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2720" tabRatio="917" activeTab="26"/>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state="hidden" r:id="rId13"/>
    <sheet name="kl3p1m" sheetId="42" state="hidden" r:id="rId14"/>
    <sheet name="kl1p" sheetId="33" state="hidden" r:id="rId15"/>
    <sheet name="CT_tram (2)" sheetId="129" state="hidden" r:id="rId16"/>
    <sheet name="CT_tram" sheetId="23" r:id="rId17"/>
    <sheet name="chitiet" sheetId="1" state="hidden"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35" i="26"/>
  <c r="F2453" i="23"/>
  <c r="F10" i="97" s="1"/>
  <c r="H9" i="114"/>
  <c r="I9" i="114"/>
  <c r="J9" i="114"/>
  <c r="H10" i="114"/>
  <c r="I10" i="114"/>
  <c r="J10" i="114"/>
  <c r="H11" i="114"/>
  <c r="I11" i="114"/>
  <c r="J11" i="114"/>
  <c r="H12" i="114"/>
  <c r="I12" i="114"/>
  <c r="J12" i="114"/>
  <c r="H13" i="114"/>
  <c r="I13" i="114"/>
  <c r="J13" i="114"/>
  <c r="H8" i="114"/>
  <c r="I8" i="114"/>
  <c r="J8" i="114"/>
  <c r="H7" i="114"/>
  <c r="I7" i="114"/>
  <c r="J7" i="114"/>
  <c r="K7" i="114"/>
  <c r="I5" i="26"/>
  <c r="I6" i="26"/>
  <c r="I2" i="26"/>
  <c r="B56" i="97"/>
  <c r="C56" i="97"/>
  <c r="D56" i="97"/>
  <c r="E56" i="97"/>
  <c r="F56" i="97"/>
  <c r="G56" i="97"/>
  <c r="H56" i="97"/>
  <c r="B57" i="97"/>
  <c r="C57" i="97"/>
  <c r="D57" i="97"/>
  <c r="E57" i="97"/>
  <c r="F57" i="97"/>
  <c r="G57" i="97"/>
  <c r="H57" i="97"/>
  <c r="B58" i="97"/>
  <c r="C58" i="97"/>
  <c r="D58" i="97"/>
  <c r="E58" i="97"/>
  <c r="F58" i="97"/>
  <c r="G58" i="97"/>
  <c r="H58" i="97"/>
  <c r="B59" i="97"/>
  <c r="C59" i="97"/>
  <c r="D59" i="97"/>
  <c r="E59" i="97"/>
  <c r="F59" i="97"/>
  <c r="G59" i="97"/>
  <c r="H59" i="97"/>
  <c r="B60" i="97"/>
  <c r="C60" i="97"/>
  <c r="D60" i="97"/>
  <c r="E60" i="97"/>
  <c r="F60" i="97"/>
  <c r="G60" i="97"/>
  <c r="H60" i="97"/>
  <c r="B61" i="97"/>
  <c r="C61" i="97"/>
  <c r="D61" i="97"/>
  <c r="E61" i="97"/>
  <c r="F61" i="97"/>
  <c r="G61" i="97"/>
  <c r="H61" i="97"/>
  <c r="B62" i="97"/>
  <c r="C62" i="97"/>
  <c r="D62" i="97"/>
  <c r="E62" i="97"/>
  <c r="F62" i="97"/>
  <c r="G62" i="97"/>
  <c r="H62" i="97"/>
  <c r="B63" i="97"/>
  <c r="C63" i="97"/>
  <c r="D63" i="97"/>
  <c r="E63" i="97"/>
  <c r="F63" i="97"/>
  <c r="G63" i="97"/>
  <c r="H63" i="97"/>
  <c r="B64" i="97"/>
  <c r="C64" i="97"/>
  <c r="D64" i="97"/>
  <c r="E64" i="97"/>
  <c r="F64" i="97"/>
  <c r="G64" i="97"/>
  <c r="H64" i="97"/>
  <c r="B65" i="97"/>
  <c r="C65" i="97"/>
  <c r="D65" i="97"/>
  <c r="E65" i="97"/>
  <c r="F65" i="97"/>
  <c r="G65" i="97"/>
  <c r="H65" i="97"/>
  <c r="B66" i="97"/>
  <c r="C66" i="97"/>
  <c r="D66" i="97"/>
  <c r="E66" i="97"/>
  <c r="F66" i="97"/>
  <c r="G66" i="97"/>
  <c r="H66" i="97"/>
  <c r="B54" i="97"/>
  <c r="C54" i="97"/>
  <c r="D54" i="97"/>
  <c r="E54" i="97"/>
  <c r="F54" i="97"/>
  <c r="G54" i="97"/>
  <c r="H54" i="97"/>
  <c r="B55" i="97"/>
  <c r="C55" i="97"/>
  <c r="D55" i="97"/>
  <c r="E55" i="97"/>
  <c r="F55" i="97"/>
  <c r="G55" i="97"/>
  <c r="H55" i="97"/>
  <c r="B51" i="97"/>
  <c r="C51" i="97"/>
  <c r="D51" i="97"/>
  <c r="E51" i="97"/>
  <c r="F51" i="97"/>
  <c r="G51" i="97"/>
  <c r="H51" i="97"/>
  <c r="B52" i="97"/>
  <c r="C52" i="97"/>
  <c r="D52" i="97"/>
  <c r="E52" i="97"/>
  <c r="F52" i="97"/>
  <c r="G52" i="97"/>
  <c r="H52" i="97"/>
  <c r="B53" i="97"/>
  <c r="C53" i="97"/>
  <c r="D53" i="97"/>
  <c r="E53" i="97"/>
  <c r="F53" i="97"/>
  <c r="G53" i="97"/>
  <c r="H53" i="97"/>
  <c r="B9" i="97"/>
  <c r="C9" i="97"/>
  <c r="D9" i="97"/>
  <c r="E9" i="97"/>
  <c r="F9" i="97"/>
  <c r="G9" i="97"/>
  <c r="H9" i="97"/>
  <c r="B99" i="97"/>
  <c r="C99" i="97"/>
  <c r="D99" i="97"/>
  <c r="E99" i="97"/>
  <c r="F99" i="97"/>
  <c r="G99" i="97"/>
  <c r="H99" i="97"/>
  <c r="B100" i="97"/>
  <c r="C100" i="97"/>
  <c r="D100" i="97"/>
  <c r="E100" i="97"/>
  <c r="F100" i="97"/>
  <c r="G100" i="97"/>
  <c r="H100" i="97"/>
  <c r="B44" i="97"/>
  <c r="C44" i="97"/>
  <c r="D44" i="97"/>
  <c r="E44" i="97"/>
  <c r="F44" i="97"/>
  <c r="G44" i="97"/>
  <c r="H44" i="97"/>
  <c r="B94" i="97"/>
  <c r="C94" i="97"/>
  <c r="D94" i="97"/>
  <c r="E94" i="97"/>
  <c r="F94" i="97"/>
  <c r="G94" i="97"/>
  <c r="H94" i="97"/>
  <c r="B45" i="97"/>
  <c r="C45" i="97"/>
  <c r="D45" i="97"/>
  <c r="E45" i="97"/>
  <c r="F45" i="97"/>
  <c r="G45" i="97"/>
  <c r="H45" i="97"/>
  <c r="B46" i="97"/>
  <c r="C46" i="97"/>
  <c r="D46" i="97"/>
  <c r="E46" i="97"/>
  <c r="F46" i="97"/>
  <c r="G46" i="97"/>
  <c r="H46" i="97"/>
  <c r="B47" i="97"/>
  <c r="C47" i="97"/>
  <c r="D47" i="97"/>
  <c r="E47" i="97"/>
  <c r="F47" i="97"/>
  <c r="G47" i="97"/>
  <c r="H47" i="97"/>
  <c r="B48" i="97"/>
  <c r="C48" i="97"/>
  <c r="D48" i="97"/>
  <c r="E48" i="97"/>
  <c r="F48" i="97"/>
  <c r="G48" i="97"/>
  <c r="H48" i="97"/>
  <c r="B49" i="97"/>
  <c r="C49" i="97"/>
  <c r="D49" i="97"/>
  <c r="E49" i="97"/>
  <c r="F49" i="97"/>
  <c r="G49" i="97"/>
  <c r="H49" i="97"/>
  <c r="B50" i="97"/>
  <c r="C50" i="97"/>
  <c r="D50" i="97"/>
  <c r="E50" i="97"/>
  <c r="F50" i="97"/>
  <c r="G50" i="97"/>
  <c r="H50" i="97"/>
  <c r="B95" i="97"/>
  <c r="C95" i="97"/>
  <c r="D95" i="97"/>
  <c r="E95" i="97"/>
  <c r="F95" i="97"/>
  <c r="G95" i="97"/>
  <c r="H95" i="97"/>
  <c r="B67" i="97"/>
  <c r="C67" i="97"/>
  <c r="D67" i="97"/>
  <c r="E67" i="97"/>
  <c r="F67" i="97"/>
  <c r="G67" i="97"/>
  <c r="H67" i="97"/>
  <c r="B96" i="97"/>
  <c r="C96" i="97"/>
  <c r="D96" i="97"/>
  <c r="E96" i="97"/>
  <c r="F96" i="97"/>
  <c r="G96" i="97"/>
  <c r="H96" i="97"/>
  <c r="B97" i="97"/>
  <c r="C97" i="97"/>
  <c r="D97" i="97"/>
  <c r="E97" i="97"/>
  <c r="F97" i="97"/>
  <c r="G97" i="97"/>
  <c r="H97" i="97"/>
  <c r="B98" i="97"/>
  <c r="C98" i="97"/>
  <c r="D98" i="97"/>
  <c r="E98" i="97"/>
  <c r="F98" i="97"/>
  <c r="G98" i="97"/>
  <c r="H98" i="97"/>
  <c r="B93" i="97"/>
  <c r="C93" i="97"/>
  <c r="D93" i="97"/>
  <c r="E93" i="97"/>
  <c r="F93" i="97"/>
  <c r="G93" i="97"/>
  <c r="H93" i="97"/>
  <c r="B90" i="97"/>
  <c r="C90" i="97"/>
  <c r="D90" i="97"/>
  <c r="E90" i="97"/>
  <c r="F90" i="97"/>
  <c r="G90" i="97"/>
  <c r="H90" i="97"/>
  <c r="B91" i="97"/>
  <c r="C91" i="97"/>
  <c r="D91" i="97"/>
  <c r="E91" i="97"/>
  <c r="F91" i="97"/>
  <c r="G91" i="97"/>
  <c r="H91" i="97"/>
  <c r="B92" i="97"/>
  <c r="C92" i="97"/>
  <c r="D92" i="97"/>
  <c r="E92" i="97"/>
  <c r="F92" i="97"/>
  <c r="G92" i="97"/>
  <c r="H92" i="97"/>
  <c r="B43" i="97"/>
  <c r="C43" i="97"/>
  <c r="D43" i="97"/>
  <c r="E43" i="97"/>
  <c r="F43" i="97"/>
  <c r="G43" i="97"/>
  <c r="H43" i="97"/>
  <c r="B88" i="97"/>
  <c r="C88" i="97"/>
  <c r="D88" i="97"/>
  <c r="E88" i="97"/>
  <c r="F88" i="97"/>
  <c r="G88" i="97"/>
  <c r="H88" i="97"/>
  <c r="B89" i="97"/>
  <c r="C89" i="97"/>
  <c r="D89" i="97"/>
  <c r="E89" i="97"/>
  <c r="F89" i="97"/>
  <c r="G89" i="97"/>
  <c r="H89" i="97"/>
  <c r="B40" i="97"/>
  <c r="C40" i="97"/>
  <c r="D40" i="97"/>
  <c r="E40" i="97"/>
  <c r="F40" i="97"/>
  <c r="G40" i="97"/>
  <c r="H40" i="97"/>
  <c r="B41" i="97"/>
  <c r="C41" i="97"/>
  <c r="D41" i="97"/>
  <c r="E41" i="97"/>
  <c r="F41" i="97"/>
  <c r="G41" i="97"/>
  <c r="H41" i="97"/>
  <c r="B42" i="97"/>
  <c r="C42" i="97"/>
  <c r="D42" i="97"/>
  <c r="E42" i="97"/>
  <c r="F42" i="97"/>
  <c r="G42" i="97"/>
  <c r="H42" i="97"/>
  <c r="B87" i="97"/>
  <c r="C87" i="97"/>
  <c r="D87" i="97"/>
  <c r="E87" i="97"/>
  <c r="F87" i="97"/>
  <c r="G87" i="97"/>
  <c r="H87" i="97"/>
  <c r="B72" i="97"/>
  <c r="C72" i="97"/>
  <c r="D72" i="97"/>
  <c r="E72" i="97"/>
  <c r="F72" i="97"/>
  <c r="G72" i="97"/>
  <c r="H72" i="97"/>
  <c r="B39" i="97"/>
  <c r="C39" i="97"/>
  <c r="D39" i="97"/>
  <c r="E39" i="97"/>
  <c r="F39" i="97"/>
  <c r="G39" i="97"/>
  <c r="H39" i="97"/>
  <c r="B8" i="97"/>
  <c r="C8" i="97"/>
  <c r="D8" i="97"/>
  <c r="E8" i="97"/>
  <c r="F8" i="97"/>
  <c r="G8" i="97"/>
  <c r="H8" i="97"/>
  <c r="B37" i="97"/>
  <c r="C37" i="97"/>
  <c r="D37" i="97"/>
  <c r="E37" i="97"/>
  <c r="F37" i="97"/>
  <c r="G37" i="97"/>
  <c r="H37" i="97"/>
  <c r="B38" i="97"/>
  <c r="C38" i="97"/>
  <c r="D38" i="97"/>
  <c r="E38" i="97"/>
  <c r="F38" i="97"/>
  <c r="G38" i="97"/>
  <c r="H38" i="97"/>
  <c r="B86" i="97"/>
  <c r="C86" i="97"/>
  <c r="D86" i="97"/>
  <c r="E86" i="97"/>
  <c r="F86" i="97"/>
  <c r="G86" i="97"/>
  <c r="H86" i="97"/>
  <c r="B29" i="97"/>
  <c r="C29" i="97"/>
  <c r="D29" i="97"/>
  <c r="E29" i="97"/>
  <c r="F29" i="97"/>
  <c r="G29" i="97"/>
  <c r="H29" i="97"/>
  <c r="B30" i="97"/>
  <c r="C30" i="97"/>
  <c r="D30" i="97"/>
  <c r="E30" i="97"/>
  <c r="F30" i="97"/>
  <c r="G30" i="97"/>
  <c r="H30" i="97"/>
  <c r="B31" i="97"/>
  <c r="C31" i="97"/>
  <c r="D31" i="97"/>
  <c r="E31" i="97"/>
  <c r="F31" i="97"/>
  <c r="G31" i="97"/>
  <c r="H31" i="97"/>
  <c r="B32" i="97"/>
  <c r="C32" i="97"/>
  <c r="D32" i="97"/>
  <c r="E32" i="97"/>
  <c r="F32" i="97"/>
  <c r="G32" i="97"/>
  <c r="H32" i="97"/>
  <c r="B33" i="97"/>
  <c r="C33" i="97"/>
  <c r="D33" i="97"/>
  <c r="E33" i="97"/>
  <c r="F33" i="97"/>
  <c r="G33" i="97"/>
  <c r="H33" i="97"/>
  <c r="B34" i="97"/>
  <c r="C34" i="97"/>
  <c r="D34" i="97"/>
  <c r="E34" i="97"/>
  <c r="F34" i="97"/>
  <c r="G34" i="97"/>
  <c r="H34" i="97"/>
  <c r="B6" i="97"/>
  <c r="C6" i="97"/>
  <c r="D6" i="97"/>
  <c r="E6" i="97"/>
  <c r="F6" i="97"/>
  <c r="G6" i="97"/>
  <c r="H6" i="97"/>
  <c r="B35" i="97"/>
  <c r="C35" i="97"/>
  <c r="D35" i="97"/>
  <c r="E35" i="97"/>
  <c r="F35" i="97"/>
  <c r="G35" i="97"/>
  <c r="H35" i="97"/>
  <c r="B85" i="97"/>
  <c r="C85" i="97"/>
  <c r="D85" i="97"/>
  <c r="E85" i="97"/>
  <c r="F85" i="97"/>
  <c r="G85" i="97"/>
  <c r="H85" i="97"/>
  <c r="B36" i="97"/>
  <c r="C36" i="97"/>
  <c r="D36" i="97"/>
  <c r="E36" i="97"/>
  <c r="F36" i="97"/>
  <c r="G36" i="97"/>
  <c r="H36" i="97"/>
  <c r="B7" i="97"/>
  <c r="C7" i="97"/>
  <c r="D7" i="97"/>
  <c r="E7" i="97"/>
  <c r="F7" i="97"/>
  <c r="G7" i="97"/>
  <c r="H7" i="97"/>
  <c r="B84" i="97"/>
  <c r="C84" i="97"/>
  <c r="D84" i="97"/>
  <c r="E84" i="97"/>
  <c r="F84" i="97"/>
  <c r="G84" i="97"/>
  <c r="H84" i="97"/>
  <c r="B27" i="97"/>
  <c r="C27" i="97"/>
  <c r="D27" i="97"/>
  <c r="E27" i="97"/>
  <c r="F27" i="97"/>
  <c r="G27" i="97"/>
  <c r="H27" i="97"/>
  <c r="B28" i="97"/>
  <c r="C28" i="97"/>
  <c r="D28" i="97"/>
  <c r="E28" i="97"/>
  <c r="F28" i="97"/>
  <c r="G28" i="97"/>
  <c r="H28" i="97"/>
  <c r="B26" i="97"/>
  <c r="C26" i="97"/>
  <c r="D26" i="97"/>
  <c r="E26" i="97"/>
  <c r="F26" i="97"/>
  <c r="G26" i="97"/>
  <c r="H26" i="97"/>
  <c r="B83" i="97"/>
  <c r="C83" i="97"/>
  <c r="D83" i="97"/>
  <c r="E83" i="97"/>
  <c r="F83" i="97"/>
  <c r="G83" i="97"/>
  <c r="H83" i="97"/>
  <c r="B79" i="97"/>
  <c r="C79" i="97"/>
  <c r="D79" i="97"/>
  <c r="E79" i="97"/>
  <c r="F79" i="97"/>
  <c r="G79" i="97"/>
  <c r="H79" i="97"/>
  <c r="B80" i="97"/>
  <c r="C80" i="97"/>
  <c r="D80" i="97"/>
  <c r="E80" i="97"/>
  <c r="F80" i="97"/>
  <c r="G80" i="97"/>
  <c r="H80" i="97"/>
  <c r="B81" i="97"/>
  <c r="C81" i="97"/>
  <c r="D81" i="97"/>
  <c r="E81" i="97"/>
  <c r="F81" i="97"/>
  <c r="G81" i="97"/>
  <c r="H81" i="97"/>
  <c r="B82" i="97"/>
  <c r="C82" i="97"/>
  <c r="D82" i="97"/>
  <c r="E82" i="97"/>
  <c r="F82" i="97"/>
  <c r="G82" i="97"/>
  <c r="H82" i="97"/>
  <c r="B25" i="97"/>
  <c r="C25" i="97"/>
  <c r="D25" i="97"/>
  <c r="E25" i="97"/>
  <c r="F25" i="97"/>
  <c r="G25" i="97"/>
  <c r="H25" i="97"/>
  <c r="B24" i="97"/>
  <c r="C24" i="97"/>
  <c r="D24" i="97"/>
  <c r="E24" i="97"/>
  <c r="F24" i="97"/>
  <c r="G24" i="97"/>
  <c r="H24" i="97"/>
  <c r="B10" i="97"/>
  <c r="C10" i="97"/>
  <c r="D10" i="97"/>
  <c r="E10" i="97"/>
  <c r="G10" i="97"/>
  <c r="H10" i="97"/>
  <c r="B23" i="97"/>
  <c r="C23" i="97"/>
  <c r="D23" i="97"/>
  <c r="E23" i="97"/>
  <c r="F23" i="97"/>
  <c r="G23" i="97"/>
  <c r="H23" i="97"/>
  <c r="B78" i="97"/>
  <c r="C78" i="97"/>
  <c r="D78" i="97"/>
  <c r="E78" i="97"/>
  <c r="F78" i="97"/>
  <c r="G78" i="97"/>
  <c r="H78" i="97"/>
  <c r="B77" i="97"/>
  <c r="C77" i="97"/>
  <c r="D77" i="97"/>
  <c r="E77" i="97"/>
  <c r="F77" i="97"/>
  <c r="G77" i="97"/>
  <c r="H77" i="97"/>
  <c r="B18" i="97"/>
  <c r="C18" i="97"/>
  <c r="D18" i="97"/>
  <c r="E18" i="97"/>
  <c r="F18" i="97"/>
  <c r="G18" i="97"/>
  <c r="H18" i="97"/>
  <c r="B19" i="97"/>
  <c r="C19" i="97"/>
  <c r="D19" i="97"/>
  <c r="E19" i="97"/>
  <c r="F19" i="97"/>
  <c r="G19" i="97"/>
  <c r="H19" i="97"/>
  <c r="B20" i="97"/>
  <c r="C20" i="97"/>
  <c r="D20" i="97"/>
  <c r="E20" i="97"/>
  <c r="F20" i="97"/>
  <c r="G20" i="97"/>
  <c r="H20" i="97"/>
  <c r="B21" i="97"/>
  <c r="C21" i="97"/>
  <c r="D21" i="97"/>
  <c r="E21" i="97"/>
  <c r="F21" i="97"/>
  <c r="G21" i="97"/>
  <c r="H21" i="97"/>
  <c r="B22" i="97"/>
  <c r="C22" i="97"/>
  <c r="D22" i="97"/>
  <c r="E22" i="97"/>
  <c r="F22" i="97"/>
  <c r="G22" i="97"/>
  <c r="H22" i="97"/>
  <c r="B76" i="97"/>
  <c r="C76" i="97"/>
  <c r="D76" i="97"/>
  <c r="E76" i="97"/>
  <c r="F76" i="97"/>
  <c r="G76" i="97"/>
  <c r="H76" i="97"/>
  <c r="B12" i="97"/>
  <c r="C12" i="97"/>
  <c r="D12" i="97"/>
  <c r="E12" i="97"/>
  <c r="F12" i="97"/>
  <c r="G12" i="97"/>
  <c r="H12" i="97"/>
  <c r="B13" i="97"/>
  <c r="C13" i="97"/>
  <c r="D13" i="97"/>
  <c r="E13" i="97"/>
  <c r="F13" i="97"/>
  <c r="G13" i="97"/>
  <c r="H13" i="97"/>
  <c r="B14" i="97"/>
  <c r="C14" i="97"/>
  <c r="D14" i="97"/>
  <c r="E14" i="97"/>
  <c r="F14" i="97"/>
  <c r="G14" i="97"/>
  <c r="H14" i="97"/>
  <c r="B15" i="97"/>
  <c r="C15" i="97"/>
  <c r="D15" i="97"/>
  <c r="E15" i="97"/>
  <c r="F15" i="97"/>
  <c r="G15" i="97"/>
  <c r="H15" i="97"/>
  <c r="B16" i="97"/>
  <c r="C16" i="97"/>
  <c r="D16" i="97"/>
  <c r="E16" i="97"/>
  <c r="F16" i="97"/>
  <c r="G16" i="97"/>
  <c r="H16" i="97"/>
  <c r="B17" i="97"/>
  <c r="C17" i="97"/>
  <c r="D17" i="97"/>
  <c r="E17" i="97"/>
  <c r="F17" i="97"/>
  <c r="G17" i="97"/>
  <c r="H17" i="97"/>
  <c r="B75" i="97"/>
  <c r="C75" i="97"/>
  <c r="D75" i="97"/>
  <c r="E75" i="97"/>
  <c r="F75" i="97"/>
  <c r="G75" i="97"/>
  <c r="H75" i="97"/>
  <c r="B74" i="97"/>
  <c r="C74" i="97"/>
  <c r="D74" i="97"/>
  <c r="E74" i="97"/>
  <c r="F74" i="97"/>
  <c r="G74" i="97"/>
  <c r="H74" i="97"/>
  <c r="B73" i="97"/>
  <c r="C73" i="97"/>
  <c r="D73" i="97"/>
  <c r="E73" i="97"/>
  <c r="F73" i="97"/>
  <c r="G73" i="97"/>
  <c r="H73" i="97"/>
  <c r="B70" i="97"/>
  <c r="C70" i="97"/>
  <c r="D70" i="97"/>
  <c r="E70" i="97"/>
  <c r="F70" i="97"/>
  <c r="G70" i="97"/>
  <c r="H70" i="97"/>
  <c r="I70" i="97"/>
  <c r="B71" i="97"/>
  <c r="C71" i="97"/>
  <c r="D71" i="97"/>
  <c r="E71" i="97"/>
  <c r="F71" i="97"/>
  <c r="G71" i="97"/>
  <c r="H71" i="97"/>
  <c r="I71" i="97"/>
  <c r="B5" i="97"/>
  <c r="C5" i="97"/>
  <c r="D5" i="97"/>
  <c r="E5" i="97"/>
  <c r="F5" i="97"/>
  <c r="G5" i="97"/>
  <c r="H5" i="97"/>
  <c r="I5" i="97"/>
  <c r="B68" i="97"/>
  <c r="C68" i="97"/>
  <c r="D68" i="97"/>
  <c r="E68" i="97"/>
  <c r="F68" i="97"/>
  <c r="G68" i="97"/>
  <c r="H68" i="97"/>
  <c r="I68" i="97"/>
  <c r="B69" i="97"/>
  <c r="C69" i="97"/>
  <c r="D69" i="97"/>
  <c r="E69" i="97"/>
  <c r="F69" i="97"/>
  <c r="G69" i="97"/>
  <c r="H69" i="97"/>
  <c r="I69" i="97"/>
  <c r="B3" i="97"/>
  <c r="C3" i="97"/>
  <c r="D3" i="97"/>
  <c r="E3" i="97"/>
  <c r="F3" i="97"/>
  <c r="G3" i="97"/>
  <c r="H3" i="97"/>
  <c r="I3" i="97"/>
  <c r="B11" i="97"/>
  <c r="C11" i="97"/>
  <c r="D11" i="97"/>
  <c r="E11" i="97"/>
  <c r="F11" i="97"/>
  <c r="G11" i="97"/>
  <c r="H11" i="97"/>
  <c r="I11" i="97"/>
  <c r="B4" i="97"/>
  <c r="C4" i="97"/>
  <c r="D4" i="97"/>
  <c r="E4" i="97"/>
  <c r="F4" i="97"/>
  <c r="G4" i="97"/>
  <c r="H4" i="97"/>
  <c r="I4" i="97"/>
  <c r="B2" i="97"/>
  <c r="C2" i="97"/>
  <c r="D2" i="97"/>
  <c r="E2" i="97"/>
  <c r="F2" i="97"/>
  <c r="G2" i="97"/>
  <c r="H2" i="97"/>
  <c r="I2" i="97"/>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D52" i="130"/>
  <c r="E52" i="130"/>
  <c r="F52" i="130"/>
  <c r="G51" i="130"/>
  <c r="D51" i="130"/>
  <c r="E51" i="130"/>
  <c r="F51" i="130"/>
  <c r="G49" i="130"/>
  <c r="G50" i="130"/>
  <c r="D49" i="130"/>
  <c r="E49" i="130"/>
  <c r="F49" i="130"/>
  <c r="D50" i="130"/>
  <c r="E50" i="130"/>
  <c r="F50" i="130"/>
  <c r="G48" i="130"/>
  <c r="D48" i="130"/>
  <c r="E48" i="130"/>
  <c r="F48" i="130"/>
  <c r="G47" i="130"/>
  <c r="D47" i="130"/>
  <c r="E47" i="130"/>
  <c r="F47" i="130"/>
  <c r="G46" i="130"/>
  <c r="D46" i="130"/>
  <c r="E46" i="130"/>
  <c r="F46" i="130"/>
  <c r="G45" i="130"/>
  <c r="D45" i="130"/>
  <c r="E45" i="130"/>
  <c r="F45" i="130"/>
  <c r="G44" i="130"/>
  <c r="D44" i="130"/>
  <c r="E44" i="130"/>
  <c r="F44" i="130"/>
  <c r="G43" i="130"/>
  <c r="D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D31" i="130"/>
  <c r="E31" i="130"/>
  <c r="F31" i="130"/>
  <c r="G30" i="130"/>
  <c r="D30" i="130"/>
  <c r="E30" i="130"/>
  <c r="F30" i="130"/>
  <c r="G29" i="130"/>
  <c r="D29" i="130"/>
  <c r="E29" i="130"/>
  <c r="F29" i="130"/>
  <c r="G28" i="130"/>
  <c r="D28" i="130"/>
  <c r="E28" i="130"/>
  <c r="F28" i="130"/>
  <c r="G27" i="130"/>
  <c r="D27" i="130"/>
  <c r="E27" i="130"/>
  <c r="F27" i="130"/>
  <c r="D18" i="114"/>
  <c r="D19" i="114"/>
  <c r="H2333" i="1"/>
  <c r="K13" i="41"/>
  <c r="K14" i="41" s="1"/>
  <c r="K15" i="41" s="1"/>
  <c r="AH16" i="41"/>
  <c r="AH2" i="41" s="1"/>
  <c r="AH3" i="41" s="1"/>
  <c r="W16" i="41"/>
  <c r="W2" i="41" s="1"/>
  <c r="W3" i="41" s="1"/>
  <c r="I3" i="130" l="1"/>
  <c r="M4" i="26"/>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P1884" i="1"/>
  <c r="P1887" i="1"/>
  <c r="P1886" i="1"/>
  <c r="P1888" i="1"/>
  <c r="Q1891" i="1"/>
  <c r="C1891" i="1"/>
  <c r="R1891" i="1"/>
  <c r="R1893" i="1"/>
  <c r="R1884" i="1"/>
  <c r="Q1884" i="1"/>
  <c r="C1885" i="1"/>
  <c r="C1991" i="1"/>
  <c r="R1885" i="1"/>
  <c r="C1893" i="1"/>
  <c r="C1890" i="1"/>
  <c r="Q1890" i="1"/>
  <c r="R1887" i="1"/>
  <c r="C1887" i="1"/>
  <c r="R1890" i="1"/>
  <c r="Q1887" i="1"/>
  <c r="Q1894" i="1"/>
  <c r="R1894" i="1"/>
  <c r="Q1893" i="1"/>
  <c r="C1884" i="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100" i="97" s="1"/>
  <c r="I2561" i="23"/>
  <c r="I93" i="97" s="1"/>
  <c r="I2550" i="23"/>
  <c r="I72" i="97" s="1"/>
  <c r="I2531" i="23"/>
  <c r="I86" i="97" s="1"/>
  <c r="I2511" i="23"/>
  <c r="I84" i="97" s="1"/>
  <c r="I2474" i="23"/>
  <c r="I83" i="97" s="1"/>
  <c r="I2450" i="23"/>
  <c r="I78" i="97" s="1"/>
  <c r="I2432" i="23"/>
  <c r="I76" i="97" s="1"/>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P1883" i="1" l="1"/>
  <c r="P1874" i="1"/>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95" i="97" s="1"/>
  <c r="I2572" i="23"/>
  <c r="I67" i="97" s="1"/>
  <c r="I2573" i="23"/>
  <c r="I96" i="97" s="1"/>
  <c r="I2574" i="23"/>
  <c r="I97" i="97" s="1"/>
  <c r="I2575" i="23"/>
  <c r="I98" i="97" s="1"/>
  <c r="I2569" i="23"/>
  <c r="I49" i="97" s="1"/>
  <c r="J2569" i="23"/>
  <c r="I2570" i="23"/>
  <c r="I50" i="97" s="1"/>
  <c r="I2577" i="23"/>
  <c r="I99" i="97" s="1"/>
  <c r="K2569" i="23"/>
  <c r="I2563" i="23"/>
  <c r="I44" i="97" s="1"/>
  <c r="I2564" i="23"/>
  <c r="I94" i="97" s="1"/>
  <c r="I2565" i="23"/>
  <c r="I45" i="97" s="1"/>
  <c r="I2566" i="23"/>
  <c r="I46" i="97" s="1"/>
  <c r="I2567" i="23"/>
  <c r="I47" i="97" s="1"/>
  <c r="I2568" i="23"/>
  <c r="I48" i="97" s="1"/>
  <c r="I2555" i="23"/>
  <c r="I89" i="97" s="1"/>
  <c r="I2556" i="23"/>
  <c r="A2556" i="23" s="1"/>
  <c r="I2552" i="23"/>
  <c r="A2552" i="23" s="1"/>
  <c r="I2557" i="23"/>
  <c r="I90" i="97" s="1"/>
  <c r="I2553" i="23"/>
  <c r="I43" i="97" s="1"/>
  <c r="I2560" i="23"/>
  <c r="A2560" i="23" s="1"/>
  <c r="I2554" i="23"/>
  <c r="I88" i="97" s="1"/>
  <c r="I2559" i="23"/>
  <c r="I92" i="97" s="1"/>
  <c r="H2559" i="23"/>
  <c r="K2559" i="23"/>
  <c r="J2559" i="23"/>
  <c r="I2558" i="23"/>
  <c r="I91" i="97" s="1"/>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R1868" i="1" l="1"/>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K5"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J240" i="97"/>
  <c r="K240" i="97" s="1"/>
  <c r="J137" i="97"/>
  <c r="J49" i="97"/>
  <c r="J199" i="97"/>
  <c r="J265" i="97"/>
  <c r="K265" i="97" s="1"/>
  <c r="J95" i="97"/>
  <c r="J124" i="97"/>
  <c r="J76" i="97"/>
  <c r="J125" i="97"/>
  <c r="J233" i="97"/>
  <c r="K233" i="97" s="1"/>
  <c r="J80" i="97"/>
  <c r="J192" i="97"/>
  <c r="J227" i="97"/>
  <c r="K227" i="97" s="1"/>
  <c r="J121" i="97"/>
  <c r="J13" i="97"/>
  <c r="J150" i="97"/>
  <c r="J77" i="97"/>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H18" i="113" l="1"/>
  <c r="D17"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G2334" i="1"/>
  <c r="F2334" i="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K122" i="97" l="1"/>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K4" i="97"/>
  <c r="K18" i="113"/>
  <c r="D18" i="113" s="1"/>
  <c r="K9" i="113"/>
  <c r="K220" i="97"/>
  <c r="C2333" i="1"/>
  <c r="K150" i="97"/>
  <c r="K221" i="97"/>
  <c r="H2348" i="1"/>
  <c r="P2348" i="1" s="1"/>
  <c r="C2348" i="1" s="1"/>
  <c r="H2332" i="1"/>
  <c r="P2332" i="1" s="1"/>
  <c r="C2332" i="1" s="1"/>
  <c r="P2334" i="1"/>
  <c r="H2334" i="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C1812" i="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68" i="97"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73"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K163" i="97"/>
  <c r="C2334" i="1"/>
  <c r="K11" i="97"/>
  <c r="P2331" i="1"/>
  <c r="K2328" i="1"/>
  <c r="H2328" i="1" s="1"/>
  <c r="K177" i="97" s="1"/>
  <c r="K19" i="113"/>
  <c r="G19" i="113" s="1"/>
  <c r="K22" i="113"/>
  <c r="G22" i="113" s="1"/>
  <c r="K21" i="113"/>
  <c r="G21" i="113" s="1"/>
  <c r="J9" i="113"/>
  <c r="K20" i="113"/>
  <c r="G20" i="113" s="1"/>
  <c r="K165" i="97"/>
  <c r="K1862" i="1"/>
  <c r="D1862" i="1" s="1"/>
  <c r="C2344" i="1"/>
  <c r="K129" i="97"/>
  <c r="A2383" i="23"/>
  <c r="I2384" i="23"/>
  <c r="K127" i="97" s="1"/>
  <c r="J1539" i="1"/>
  <c r="H866" i="1"/>
  <c r="H867" i="1"/>
  <c r="H868" i="1"/>
  <c r="H869" i="1"/>
  <c r="E177" i="31"/>
  <c r="G177" i="31" s="1"/>
  <c r="D2242" i="1"/>
  <c r="K126"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666" i="1"/>
  <c r="H670" i="1"/>
  <c r="H668" i="1"/>
  <c r="H673" i="1"/>
  <c r="H664" i="1"/>
  <c r="H672" i="1"/>
  <c r="K214" i="97" s="1"/>
  <c r="H671" i="1"/>
  <c r="K213" i="97" s="1"/>
  <c r="R431" i="1"/>
  <c r="K965" i="1"/>
  <c r="K967" i="1"/>
  <c r="K968" i="1"/>
  <c r="K964" i="1"/>
  <c r="K966" i="1"/>
  <c r="H962" i="1"/>
  <c r="K1807" i="1"/>
  <c r="H1820" i="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9" i="97" s="1"/>
  <c r="I2601" i="23"/>
  <c r="A2601" i="23" s="1"/>
  <c r="I2581" i="23"/>
  <c r="A2581" i="23" s="1"/>
  <c r="I2582" i="23"/>
  <c r="I51" i="97" s="1"/>
  <c r="I2583" i="23"/>
  <c r="I52" i="97" s="1"/>
  <c r="I2584" i="23"/>
  <c r="I2585" i="23"/>
  <c r="A2585" i="23" s="1"/>
  <c r="I2586" i="23"/>
  <c r="I54" i="97" s="1"/>
  <c r="I2587" i="23"/>
  <c r="I55" i="97" s="1"/>
  <c r="I2588" i="23"/>
  <c r="A2588" i="23" s="1"/>
  <c r="I2589" i="23"/>
  <c r="I56" i="97" s="1"/>
  <c r="I2590" i="23"/>
  <c r="I57" i="97" s="1"/>
  <c r="I2591" i="23"/>
  <c r="I2592" i="23"/>
  <c r="I59" i="97" s="1"/>
  <c r="I2593" i="23"/>
  <c r="I60" i="97" s="1"/>
  <c r="I2594" i="23"/>
  <c r="I61" i="97" s="1"/>
  <c r="I2595" i="23"/>
  <c r="I62" i="97" s="1"/>
  <c r="I2596" i="23"/>
  <c r="I63" i="97" s="1"/>
  <c r="I2597" i="23"/>
  <c r="I2598" i="23"/>
  <c r="I2599" i="23"/>
  <c r="I66" i="97" s="1"/>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I85" i="97" s="1"/>
  <c r="A2511" i="23"/>
  <c r="I2513" i="23"/>
  <c r="I2520" i="23"/>
  <c r="I34" i="97" s="1"/>
  <c r="I2519" i="23"/>
  <c r="I2518" i="23"/>
  <c r="I2517" i="23"/>
  <c r="I2514" i="23"/>
  <c r="A2514" i="23" s="1"/>
  <c r="I2515" i="23"/>
  <c r="I2516" i="23"/>
  <c r="I2521" i="23"/>
  <c r="I6" i="97" s="1"/>
  <c r="I2522" i="23"/>
  <c r="I35" i="97" s="1"/>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7" i="97" s="1"/>
  <c r="I2479" i="23"/>
  <c r="I28" i="97" s="1"/>
  <c r="A2450" i="23"/>
  <c r="I2453" i="23"/>
  <c r="I10" i="97" s="1"/>
  <c r="K10" i="97" s="1"/>
  <c r="I2454" i="23"/>
  <c r="I23" i="97" s="1"/>
  <c r="I2455" i="23"/>
  <c r="A2455" i="23" s="1"/>
  <c r="I2456" i="23"/>
  <c r="I24" i="97" s="1"/>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0" i="97" s="1"/>
  <c r="I2437" i="23"/>
  <c r="I21" i="97" s="1"/>
  <c r="K21" i="97" s="1"/>
  <c r="I2438" i="23"/>
  <c r="I22" i="97" s="1"/>
  <c r="I2439" i="23"/>
  <c r="A2439" i="23" s="1"/>
  <c r="I2440" i="23"/>
  <c r="I77" i="97" s="1"/>
  <c r="K77" i="97" s="1"/>
  <c r="D2380" i="23"/>
  <c r="D2381" i="23"/>
  <c r="I2409" i="23"/>
  <c r="A2409" i="23" s="1"/>
  <c r="I2416" i="23"/>
  <c r="I74"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56" i="97" l="1"/>
  <c r="I25" i="97"/>
  <c r="K11" i="114"/>
  <c r="D11" i="114" s="1"/>
  <c r="I31" i="97"/>
  <c r="K8" i="114"/>
  <c r="I7" i="97"/>
  <c r="K195" i="97"/>
  <c r="I65" i="97"/>
  <c r="K51" i="97"/>
  <c r="K178" i="97"/>
  <c r="I81" i="97"/>
  <c r="K93" i="97"/>
  <c r="I80" i="97"/>
  <c r="K80" i="97" s="1"/>
  <c r="K89" i="97"/>
  <c r="I26" i="97"/>
  <c r="K197" i="97"/>
  <c r="K10" i="114"/>
  <c r="D10" i="114" s="1"/>
  <c r="I30" i="97"/>
  <c r="K12" i="114"/>
  <c r="D12" i="114" s="1"/>
  <c r="I32" i="97"/>
  <c r="K172" i="97"/>
  <c r="I64" i="97"/>
  <c r="K56" i="97"/>
  <c r="K200" i="97"/>
  <c r="I19" i="97"/>
  <c r="K160" i="97"/>
  <c r="I82" i="97"/>
  <c r="K49" i="97"/>
  <c r="I79" i="97"/>
  <c r="K3" i="97"/>
  <c r="K9" i="114"/>
  <c r="D9" i="114" s="1"/>
  <c r="I29" i="97"/>
  <c r="K13" i="114"/>
  <c r="D13" i="114" s="1"/>
  <c r="I33" i="97"/>
  <c r="K22" i="97"/>
  <c r="I53" i="97"/>
  <c r="K202" i="97"/>
  <c r="I18" i="97"/>
  <c r="I36" i="97"/>
  <c r="I58" i="97"/>
  <c r="K18" i="97"/>
  <c r="K52" i="97"/>
  <c r="K53" i="97"/>
  <c r="K168" i="97"/>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186" i="97"/>
  <c r="K157" i="97"/>
  <c r="K92" i="97"/>
  <c r="K170"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I16"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38" i="97" s="1"/>
  <c r="K38" i="97" s="1"/>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40" i="97" s="1"/>
  <c r="K40" i="97" s="1"/>
  <c r="I2547" i="23"/>
  <c r="I2548" i="23"/>
  <c r="I42" i="97" s="1"/>
  <c r="K42" i="97" s="1"/>
  <c r="I2549" i="23"/>
  <c r="I87" i="97" s="1"/>
  <c r="I2534" i="23"/>
  <c r="I2533" i="23"/>
  <c r="I8" i="97" s="1"/>
  <c r="K8" i="97" s="1"/>
  <c r="A2416" i="23"/>
  <c r="I2418" i="23"/>
  <c r="I12" i="97" s="1"/>
  <c r="I2419" i="23"/>
  <c r="I2420" i="23"/>
  <c r="I14" i="97" s="1"/>
  <c r="K14" i="97" s="1"/>
  <c r="I2421" i="23"/>
  <c r="I15" i="97" s="1"/>
  <c r="K15" i="97" s="1"/>
  <c r="I2423" i="23"/>
  <c r="I17" i="97" s="1"/>
  <c r="K17"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K64" i="97" s="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175" i="97" l="1"/>
  <c r="I75" i="97"/>
  <c r="K23" i="97"/>
  <c r="I13" i="97"/>
  <c r="K13" i="97" s="1"/>
  <c r="K179" i="97"/>
  <c r="I37" i="97"/>
  <c r="K102" i="97"/>
  <c r="I39" i="97"/>
  <c r="K192" i="97"/>
  <c r="I41" i="97"/>
  <c r="K41" i="97" s="1"/>
  <c r="K206" i="97"/>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M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M11" i="26" s="1"/>
  <c r="A35" i="78"/>
  <c r="G31" i="26" s="1"/>
  <c r="A93" i="78"/>
  <c r="G89" i="26" s="1"/>
  <c r="A82" i="78"/>
  <c r="G78" i="26" s="1"/>
  <c r="A79" i="78"/>
  <c r="G75" i="26" s="1"/>
  <c r="G12" i="26" l="1"/>
  <c r="M12" i="26" s="1"/>
  <c r="G13" i="26"/>
  <c r="M13" i="26" s="1"/>
  <c r="G14" i="26"/>
  <c r="F18" i="78" s="1"/>
  <c r="E15" i="79" s="1"/>
  <c r="Q11" i="26"/>
  <c r="H12" i="26"/>
  <c r="I12" i="26" s="1"/>
  <c r="O12" i="26"/>
  <c r="L12" i="26" s="1"/>
  <c r="H7" i="26"/>
  <c r="I7" i="26" s="1"/>
  <c r="O6" i="26"/>
  <c r="L6" i="26" s="1"/>
  <c r="I125" i="26"/>
  <c r="K125" i="26"/>
  <c r="M131" i="26"/>
  <c r="O8" i="26"/>
  <c r="L8" i="26" s="1"/>
  <c r="M126" i="26"/>
  <c r="H4" i="26"/>
  <c r="I4" i="26" s="1"/>
  <c r="M14" i="26"/>
  <c r="H133" i="26"/>
  <c r="M129" i="26"/>
  <c r="O10" i="26"/>
  <c r="L10" i="26" s="1"/>
  <c r="M133" i="26"/>
  <c r="K135" i="26"/>
  <c r="M132" i="26"/>
  <c r="I134" i="26"/>
  <c r="J132" i="26"/>
  <c r="I132" i="26"/>
  <c r="H132" i="26"/>
  <c r="O4" i="26"/>
  <c r="L4" i="26" s="1"/>
  <c r="H9" i="26"/>
  <c r="I9" i="26" s="1"/>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H13" i="26"/>
  <c r="I13" i="26" s="1"/>
  <c r="I135" i="26"/>
  <c r="H128" i="26"/>
  <c r="O14" i="26"/>
  <c r="H125" i="26"/>
  <c r="M124" i="26"/>
  <c r="O11" i="26"/>
  <c r="L11" i="26" s="1"/>
  <c r="J131" i="26"/>
  <c r="O5" i="26"/>
  <c r="L5" i="26" s="1"/>
  <c r="L14" i="26"/>
  <c r="H8" i="26"/>
  <c r="I8" i="26" s="1"/>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G48" i="78" s="1"/>
  <c r="F45" i="79" s="1"/>
  <c r="J44" i="26"/>
  <c r="K44" i="26"/>
  <c r="M44" i="26"/>
  <c r="H44" i="26"/>
  <c r="F48" i="78" s="1"/>
  <c r="E45" i="79" s="1"/>
  <c r="H30" i="26"/>
  <c r="F34" i="78" s="1"/>
  <c r="E31" i="79" s="1"/>
  <c r="I30" i="26"/>
  <c r="G34" i="78" s="1"/>
  <c r="F31" i="79" s="1"/>
  <c r="J30" i="26"/>
  <c r="K30" i="26"/>
  <c r="M30" i="26"/>
  <c r="O30" i="26"/>
  <c r="K26" i="26"/>
  <c r="J26" i="26"/>
  <c r="M26" i="26"/>
  <c r="H26" i="26"/>
  <c r="F30" i="78" s="1"/>
  <c r="E27" i="79" s="1"/>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G18" i="78" l="1"/>
  <c r="F15" i="79" s="1"/>
  <c r="D3" i="11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8" i="78" l="1"/>
  <c r="I3" i="26"/>
  <c r="G7" i="78" s="1"/>
  <c r="F4" i="79" s="1"/>
  <c r="G11" i="78"/>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G11" i="109"/>
  <c r="G39" i="105"/>
  <c r="G19" i="105"/>
  <c r="G45" i="105"/>
  <c r="G46" i="105"/>
  <c r="K46" i="105" s="1"/>
  <c r="G60" i="109"/>
  <c r="G20" i="105"/>
  <c r="G7" i="109"/>
  <c r="F6" i="111"/>
  <c r="G22" i="105"/>
  <c r="G22" i="109"/>
  <c r="G23" i="105"/>
  <c r="F4" i="111"/>
  <c r="G53" i="109"/>
  <c r="F9" i="111"/>
  <c r="F16" i="111"/>
  <c r="F23" i="111"/>
  <c r="G36" i="105"/>
  <c r="G19" i="109"/>
  <c r="G34" i="109"/>
  <c r="F12" i="106"/>
  <c r="J12" i="106" s="1"/>
  <c r="F7" i="106"/>
  <c r="G13" i="105"/>
  <c r="G63" i="105"/>
  <c r="G27" i="109"/>
  <c r="G29" i="109"/>
  <c r="G44" i="105"/>
  <c r="G58" i="109"/>
  <c r="F17" i="111"/>
  <c r="G59" i="109"/>
  <c r="G4" i="106"/>
  <c r="G60" i="105"/>
  <c r="G40" i="109"/>
  <c r="G45" i="109"/>
  <c r="G8" i="105"/>
  <c r="G5" i="109"/>
  <c r="H4" i="105"/>
  <c r="G14" i="105"/>
  <c r="G29" i="105"/>
  <c r="G54" i="109"/>
  <c r="F11" i="106"/>
  <c r="J11" i="106" s="1"/>
  <c r="F21" i="111"/>
  <c r="G16" i="109"/>
  <c r="G73" i="109"/>
  <c r="F10" i="106"/>
  <c r="G10" i="109"/>
  <c r="F10" i="111"/>
  <c r="G70" i="109"/>
  <c r="G50" i="109"/>
  <c r="G17" i="105"/>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G69" i="109"/>
  <c r="F5" i="106"/>
  <c r="G25" i="111"/>
  <c r="I25" i="111" s="1"/>
  <c r="G28" i="105"/>
  <c r="G38" i="105"/>
  <c r="K38" i="105" s="1"/>
  <c r="G54" i="105"/>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G39" i="109"/>
  <c r="G30" i="109"/>
  <c r="G10" i="105"/>
  <c r="F5" i="111"/>
  <c r="F13" i="111"/>
  <c r="F4" i="106"/>
  <c r="G58" i="105"/>
  <c r="G51" i="105"/>
  <c r="G24" i="105"/>
  <c r="G18" i="109"/>
  <c r="G52" i="109"/>
  <c r="G15" i="105"/>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27" i="105" l="1"/>
  <c r="K17" i="105"/>
  <c r="J10" i="106"/>
  <c r="K54" i="105"/>
  <c r="K43" i="105"/>
  <c r="K49" i="105"/>
  <c r="K45" i="105"/>
  <c r="K37" i="105"/>
  <c r="K25" i="105"/>
  <c r="K60" i="105"/>
  <c r="K24" i="105"/>
  <c r="K58" i="105"/>
  <c r="K48" i="105"/>
  <c r="J7" i="106"/>
  <c r="K36" i="105"/>
  <c r="K15" i="105"/>
  <c r="K32"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<sst xmlns="http://schemas.openxmlformats.org/spreadsheetml/2006/main" count="32367" uniqueCount="7337">
  <si>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</si>
  <si>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</si>
  <si>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</si>
  <si>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</si>
  <si>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</si>
  <si>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</si>
  <si>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</si>
  <si>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</si>
  <si>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</si>
  <si>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</si>
  <si>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</si>
  <si>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</si>
  <si>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</si>
  <si>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</si>
  <si>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</si>
  <si>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</si>
  <si>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</si>
  <si>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</si>
  <si>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</si>
  <si>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</si>
  <si>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</si>
  <si>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</si>
  <si>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</si>
  <si>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</si>
  <si>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</si>
  <si>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</si>
  <si>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</si>
  <si>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</si>
  <si>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</si>
  <si>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</si>
  <si>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</si>
  <si>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</si>
  <si>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</si>
  <si>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</si>
  <si>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</si>
  <si>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</si>
  <si>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</si>
  <si>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</si>
  <si>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</si>
  <si>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</si>
  <si>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</si>
  <si>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</si>
  <si>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</si>
  <si>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</si>
  <si>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</si>
  <si>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</si>
  <si>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</si>
  <si>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</si>
  <si>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</si>
  <si>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</si>
  <si>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</si>
  <si>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</si>
  <si>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</si>
  <si>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</si>
  <si>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</si>
  <si>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</si>
  <si>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</si>
  <si>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</si>
  <si>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</si>
  <si>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</si>
  <si>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</si>
  <si>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</si>
  <si>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</si>
  <si>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</si>
  <si>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</si>
  <si>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</si>
  <si>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</si>
  <si>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</si>
  <si>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</si>
  <si>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</si>
  <si>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</si>
  <si>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</si>
  <si>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</si>
  <si>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</si>
  <si>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</si>
  <si>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</si>
  <si>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</si>
  <si>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</si>
  <si>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</si>
  <si>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</si>
  <si>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</si>
  <si>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</si>
  <si>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</si>
  <si>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</si>
  <si>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</si>
  <si>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</si>
  <si>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</si>
  <si>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</si>
  <si>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</si>
  <si>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</si>
  <si>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</si>
  <si>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</si>
  <si>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</si>
  <si>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</si>
  <si>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</si>
  <si>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</si>
  <si>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</si>
  <si>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</si>
  <si>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</si>
  <si>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</si>
  <si>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</si>
  <si>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</si>
  <si>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</si>
  <si>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</si>
  <si>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</si>
  <si>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</si>
  <si>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</si>
  <si>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</si>
  <si>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</si>
  <si>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</si>
  <si>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</si>
  <si>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</si>
  <si>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</si>
  <si>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</si>
  <si>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</si>
  <si>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</si>
  <si>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</si>
  <si>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</si>
  <si>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</si>
  <si>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</si>
  <si>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</si>
  <si>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</si>
  <si>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</si>
  <si>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</si>
  <si>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</si>
  <si>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</si>
  <si>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</si>
  <si>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</si>
  <si>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</si>
  <si>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</si>
  <si>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</si>
  <si>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</si>
  <si>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</si>
  <si>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</si>
  <si>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</si>
  <si>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</si>
  <si>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</si>
  <si>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</si>
  <si>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</si>
  <si>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</si>
  <si>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</si>
  <si>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</si>
  <si>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</si>
  <si>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</si>
  <si>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</si>
  <si>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</si>
  <si>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</si>
  <si>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</si>
  <si>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</si>
  <si>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</si>
  <si>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</si>
  <si>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</si>
  <si>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</si>
  <si>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</si>
  <si>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</si>
  <si>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</si>
  <si>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</si>
  <si>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</si>
  <si>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</si>
  <si>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</si>
  <si>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</si>
  <si>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</si>
  <si>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</si>
  <si>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</si>
  <si>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</si>
  <si>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</si>
  <si>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</si>
  <si>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</si>
  <si>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</si>
  <si>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</si>
  <si>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</si>
  <si>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</si>
  <si>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</si>
  <si>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</si>
  <si>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</si>
  <si>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</si>
  <si>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</si>
  <si>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</si>
  <si>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</si>
  <si>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</si>
  <si>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</si>
  <si>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</si>
  <si>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</si>
  <si>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</si>
  <si>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</si>
  <si>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</si>
  <si>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</si>
  <si>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</si>
  <si>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</si>
  <si>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</si>
  <si>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</si>
  <si>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</si>
  <si>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</si>
  <si>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</si>
  <si>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</si>
  <si>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</si>
  <si>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</si>
  <si>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</si>
  <si>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</si>
  <si>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</si>
  <si>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</si>
  <si>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</si>
  <si>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</si>
  <si>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</si>
  <si>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</si>
  <si>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</si>
  <si>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</si>
  <si>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</si>
  <si>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</si>
  <si>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</si>
  <si>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</si>
  <si>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</si>
  <si>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</si>
  <si>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</si>
  <si>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</si>
  <si>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</si>
  <si>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</si>
  <si>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</si>
  <si>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</si>
  <si>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</si>
  <si>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</si>
  <si>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</si>
  <si>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</si>
  <si>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</si>
  <si>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</si>
  <si>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</si>
  <si>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</si>
  <si>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</si>
  <si>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</si>
  <si>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</si>
  <si>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</si>
  <si>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</si>
  <si>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</si>
  <si>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</si>
  <si>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</si>
  <si>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</si>
  <si>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</si>
  <si>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</si>
  <si>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</si>
  <si>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</si>
  <si>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</si>
  <si>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</si>
  <si>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</si>
  <si>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</si>
  <si>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</si>
  <si>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</si>
  <si>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</si>
  <si>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</si>
  <si>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</si>
  <si>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</si>
  <si>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</si>
  <si>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</si>
  <si>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</si>
  <si>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</si>
  <si>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</si>
  <si>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</si>
  <si>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</si>
  <si>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</si>
  <si>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</si>
  <si>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</si>
  <si>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</si>
  <si>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</si>
  <si>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</si>
  <si>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</si>
  <si>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</si>
  <si>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</si>
  <si>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</si>
  <si>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</si>
  <si>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</si>
  <si>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</si>
  <si>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</si>
  <si>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</si>
  <si>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</si>
  <si>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</si>
  <si>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</si>
  <si>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</si>
  <si>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</si>
  <si>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</si>
  <si>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</si>
  <si>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</si>
  <si>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</si>
  <si>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</si>
  <si>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</si>
  <si>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</si>
  <si>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</si>
  <si>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</si>
  <si>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</si>
  <si>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</si>
  <si>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</si>
  <si>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</si>
  <si>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</si>
  <si>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</si>
  <si>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</si>
  <si>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</si>
  <si>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</si>
  <si>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</si>
  <si>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</si>
  <si>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</si>
  <si>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</si>
  <si>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</si>
  <si>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</si>
  <si>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</si>
  <si>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</si>
  <si>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</si>
  <si>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</si>
  <si>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</si>
  <si>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</si>
  <si>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</si>
  <si>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</si>
  <si>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</si>
  <si>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</si>
  <si>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</si>
  <si>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</si>
  <si>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</si>
  <si>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</si>
  <si>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</si>
  <si>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</si>
  <si>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</si>
  <si>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</si>
  <si>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</si>
  <si>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</si>
  <si>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</si>
  <si>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</si>
  <si>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</si>
  <si>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</si>
  <si>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</si>
  <si>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</si>
  <si>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</si>
  <si>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</si>
  <si>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</si>
  <si>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</si>
  <si>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</si>
  <si>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</si>
  <si>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</si>
  <si>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</si>
  <si>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</si>
  <si>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</si>
  <si>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</si>
  <si>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</si>
  <si>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</si>
  <si>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</si>
  <si>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</si>
  <si>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</si>
  <si>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</si>
  <si>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</si>
  <si>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</si>
  <si>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</si>
  <si>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</si>
  <si>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</si>
  <si>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</si>
  <si>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</si>
  <si>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</si>
  <si>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</si>
  <si>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</si>
  <si>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</si>
  <si>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</si>
  <si>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</si>
  <si>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</si>
  <si>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</si>
  <si>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</si>
  <si>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</si>
  <si>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</si>
  <si>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</si>
  <si>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</si>
  <si>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</si>
  <si>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</si>
  <si>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</si>
  <si>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</si>
  <si>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</si>
  <si>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</si>
  <si>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</si>
  <si>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</si>
  <si>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</si>
  <si>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</si>
  <si>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</si>
  <si>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</si>
  <si>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</si>
  <si>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</si>
  <si>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</si>
  <si>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</si>
  <si>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</si>
  <si>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</si>
  <si>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</si>
  <si>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</si>
  <si>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</si>
  <si>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</si>
  <si>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</si>
  <si>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</si>
  <si>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</si>
  <si>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</si>
  <si>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</si>
  <si>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</si>
  <si>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</si>
  <si>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</si>
  <si>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</si>
  <si>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</si>
  <si>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</si>
  <si>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</si>
  <si>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</si>
  <si>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</si>
  <si>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</si>
  <si>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</si>
  <si>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</si>
  <si>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</si>
  <si>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</si>
  <si>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</si>
  <si>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</si>
  <si>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</si>
  <si>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</si>
  <si>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</si>
  <si>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</si>
  <si>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</si>
  <si>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</si>
  <si>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</si>
  <si>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</si>
  <si>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</si>
  <si>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</si>
  <si>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</si>
  <si>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</si>
  <si>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</si>
  <si>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</si>
  <si>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</si>
  <si>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</si>
  <si>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</si>
  <si>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</si>
  <si>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</si>
  <si>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</si>
  <si>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</si>
  <si>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</si>
  <si>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</si>
  <si>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</si>
  <si>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</si>
  <si>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</si>
  <si>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</si>
  <si>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</si>
  <si>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</si>
  <si>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</si>
  <si>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</si>
  <si>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</si>
  <si>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</si>
  <si>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</si>
  <si>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</si>
  <si>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</si>
  <si>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</si>
  <si>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</si>
  <si>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</si>
  <si>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</si>
  <si>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</si>
  <si>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</si>
  <si>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</si>
  <si>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</si>
  <si>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</si>
  <si>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</si>
  <si>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</si>
  <si>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</si>
  <si>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</si>
  <si>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</si>
  <si>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</si>
  <si>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</si>
  <si>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</si>
  <si>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</si>
  <si>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</si>
  <si>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</si>
  <si>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</si>
  <si>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</si>
  <si>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</si>
  <si>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</si>
  <si>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</si>
  <si>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</si>
  <si>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</si>
  <si>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</si>
  <si>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</si>
  <si>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</si>
  <si>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</si>
  <si>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</si>
  <si>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</si>
  <si>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</si>
  <si>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</si>
  <si>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</si>
  <si>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</si>
  <si>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</si>
  <si>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</si>
  <si>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</si>
  <si>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</si>
  <si>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</si>
  <si>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</si>
  <si>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</si>
  <si>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</si>
  <si>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</si>
  <si>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</si>
  <si>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</si>
  <si>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</si>
  <si>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</si>
  <si>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</si>
  <si>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</si>
  <si>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</si>
  <si>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</si>
  <si>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</si>
  <si>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</si>
  <si>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</si>
  <si>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</si>
  <si>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</si>
  <si>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</si>
  <si>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</si>
  <si>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</si>
  <si>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</si>
  <si>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</si>
  <si>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</si>
  <si>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</si>
  <si>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</si>
  <si>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</si>
  <si>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</si>
  <si>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</si>
  <si>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</si>
  <si>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</si>
  <si>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</si>
  <si>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</si>
  <si>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</si>
  <si>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</si>
  <si>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</si>
  <si>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</si>
  <si>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</si>
  <si>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</si>
  <si>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</si>
  <si>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</si>
  <si>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</si>
  <si>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</si>
  <si>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</si>
  <si>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</si>
  <si>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</si>
  <si>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</si>
  <si>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</si>
  <si>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</si>
  <si>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</si>
  <si>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</si>
  <si>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</si>
  <si>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</si>
  <si>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</si>
  <si>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</si>
  <si>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</si>
  <si>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</si>
  <si>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</si>
  <si>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</si>
  <si>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</si>
  <si>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</si>
  <si>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</si>
  <si>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</si>
  <si>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</si>
  <si>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</si>
  <si>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</si>
  <si>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</si>
  <si>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</si>
  <si>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</si>
  <si>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</si>
  <si>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</si>
  <si>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</si>
  <si>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</si>
  <si>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</si>
  <si>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</si>
  <si>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</si>
  <si>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</si>
  <si>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</si>
  <si>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</si>
  <si>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</si>
  <si>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</si>
  <si>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</si>
  <si>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</si>
  <si>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</si>
  <si>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</si>
  <si>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</si>
  <si>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</si>
  <si>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</si>
  <si>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</si>
  <si>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</si>
  <si>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</si>
  <si>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</si>
  <si>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</si>
  <si>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</si>
  <si>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</si>
  <si>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</si>
  <si>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</si>
  <si>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</si>
  <si>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</si>
  <si>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</si>
  <si>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</si>
  <si>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</si>
  <si>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</si>
  <si>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</si>
  <si>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</si>
  <si>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</si>
  <si>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</si>
  <si>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</si>
  <si>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</si>
  <si>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</si>
  <si>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</si>
  <si>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</si>
  <si>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</si>
  <si>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</si>
  <si>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</si>
  <si>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</si>
  <si>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</si>
  <si>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</si>
  <si>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</si>
  <si>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</si>
  <si>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</si>
  <si>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</si>
  <si>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</si>
  <si>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</si>
  <si>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</si>
  <si>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</si>
  <si>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</si>
  <si>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</si>
  <si>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</si>
  <si>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</si>
  <si>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</si>
  <si>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</si>
  <si>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</si>
  <si>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</si>
  <si>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</si>
  <si>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</si>
  <si>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</si>
  <si>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</si>
  <si>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</si>
  <si>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</si>
  <si>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</si>
  <si>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</si>
  <si>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</si>
  <si>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</si>
  <si>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</si>
  <si>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</si>
  <si>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</si>
  <si>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</si>
  <si>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</si>
  <si>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</si>
  <si>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</si>
  <si>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</si>
  <si>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</si>
  <si>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</si>
  <si>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</si>
  <si>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</si>
  <si>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</si>
  <si>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</si>
  <si>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</si>
  <si>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</si>
  <si>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</si>
  <si>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</si>
  <si>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</si>
  <si>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</si>
  <si>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</si>
  <si>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</si>
  <si>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</si>
  <si>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</si>
  <si>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</si>
  <si>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</si>
  <si>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</si>
  <si>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</si>
  <si>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</si>
  <si>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</si>
  <si>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</si>
  <si>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</si>
  <si>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</si>
  <si>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</si>
  <si>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</si>
  <si>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</si>
  <si>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</si>
  <si>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</si>
  <si>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</si>
  <si>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</si>
  <si>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</si>
  <si>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</si>
  <si>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</si>
  <si>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</si>
  <si>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</si>
  <si>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</si>
  <si>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</si>
  <si>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</si>
  <si>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</si>
  <si>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</si>
  <si>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</si>
  <si>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</si>
  <si>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</si>
  <si>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</si>
  <si>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</si>
  <si>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</si>
  <si>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</si>
  <si>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</si>
  <si>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</si>
  <si>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</si>
  <si>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</si>
  <si>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</si>
  <si>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</si>
  <si>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</si>
  <si>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</si>
  <si>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</si>
  <si>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</si>
  <si>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</si>
  <si>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</si>
  <si>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</si>
  <si>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</si>
  <si>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</si>
  <si>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</si>
  <si>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</si>
  <si>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</si>
  <si>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</si>
  <si>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</si>
  <si>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</si>
  <si>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</si>
  <si>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</si>
  <si>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</si>
  <si>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</si>
  <si>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</si>
  <si>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</si>
  <si>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</si>
  <si>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</si>
  <si>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</si>
  <si>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</si>
  <si>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</si>
  <si>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</si>
  <si>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</si>
  <si>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</si>
  <si>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</si>
  <si>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</si>
  <si>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</si>
  <si>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</si>
  <si>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</si>
  <si>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</si>
  <si>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</si>
  <si>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</si>
  <si>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</si>
  <si>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</si>
  <si>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</si>
  <si>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</si>
  <si>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</si>
  <si>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</si>
  <si>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</si>
  <si>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</si>
  <si>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</si>
  <si>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</si>
  <si>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</si>
  <si>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</si>
  <si>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</si>
  <si>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</si>
  <si>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</si>
  <si>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</si>
  <si>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</si>
  <si>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</si>
  <si>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</si>
  <si>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</si>
  <si>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</si>
  <si>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</si>
  <si>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</si>
  <si>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</si>
  <si>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</si>
  <si>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</si>
  <si>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</si>
  <si>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</si>
  <si>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</si>
  <si>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</si>
  <si>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</si>
  <si>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</si>
  <si>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</si>
  <si>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</si>
  <si>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</si>
  <si>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</si>
  <si>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</si>
  <si>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</si>
  <si>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</si>
  <si>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</si>
  <si>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</si>
  <si>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</si>
  <si>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</si>
  <si>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</si>
  <si>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</si>
  <si>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</si>
  <si>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</si>
  <si>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</si>
  <si>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</si>
  <si>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</si>
  <si>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</si>
  <si>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</si>
  <si>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</si>
  <si>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</si>
  <si>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</si>
  <si>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</si>
  <si>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</si>
  <si>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</si>
  <si>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</si>
  <si>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</si>
  <si>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</si>
  <si>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</si>
  <si>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</si>
  <si>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</si>
  <si>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</si>
  <si>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</si>
  <si>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</si>
  <si>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</si>
  <si>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</si>
  <si>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</si>
  <si>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</si>
  <si>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</si>
  <si>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</si>
  <si>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</si>
  <si>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</si>
  <si>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</si>
  <si>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</si>
  <si>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</si>
  <si>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</si>
  <si>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</si>
  <si>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</si>
  <si>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</si>
  <si>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</si>
  <si>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</si>
  <si>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</si>
  <si>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</si>
  <si>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</si>
  <si>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</si>
  <si>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</si>
  <si>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</si>
  <si>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</si>
  <si>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</si>
  <si>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</si>
  <si>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</si>
  <si>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</si>
  <si>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</si>
  <si>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</si>
  <si>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</si>
  <si>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</si>
  <si>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</si>
  <si>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</si>
  <si>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</si>
  <si>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</si>
  <si>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</si>
  <si>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</si>
  <si>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</si>
  <si>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</si>
  <si>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</si>
  <si>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</si>
  <si>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</si>
  <si>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</si>
  <si>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</si>
  <si>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</si>
  <si>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</si>
  <si>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</si>
  <si>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</si>
  <si>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</si>
  <si>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</si>
  <si>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</si>
  <si>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</si>
  <si>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</si>
  <si>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</si>
  <si>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</si>
  <si>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</si>
  <si>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</si>
  <si>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</si>
  <si>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</si>
  <si>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</si>
  <si>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</si>
  <si>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</si>
  <si>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</si>
  <si>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</si>
  <si>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</si>
  <si>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</si>
  <si>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</si>
  <si>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</si>
  <si>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</si>
  <si>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</si>
  <si>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</si>
  <si>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</si>
  <si>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</si>
  <si>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</si>
  <si>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</si>
  <si>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</si>
  <si>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</si>
  <si>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</si>
  <si>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</si>
  <si>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</si>
  <si>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</si>
  <si>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</si>
  <si>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</si>
  <si>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</si>
  <si>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</si>
  <si>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</si>
  <si>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</si>
  <si>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</si>
  <si>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</si>
  <si>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</si>
  <si>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</si>
  <si>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</si>
  <si>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</si>
  <si>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</si>
  <si>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</si>
  <si>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</si>
  <si>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</si>
  <si>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</si>
  <si>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</si>
  <si>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</si>
  <si>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</si>
  <si>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</si>
  <si>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</si>
  <si>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</si>
  <si>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</si>
  <si>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</si>
  <si>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</si>
  <si>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</si>
  <si>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</si>
  <si>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</si>
  <si>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</si>
  <si>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</si>
  <si>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</si>
  <si>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</si>
  <si>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</si>
  <si>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</si>
  <si>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</si>
  <si>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</si>
  <si>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</si>
  <si>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</si>
  <si>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</si>
  <si>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</si>
  <si>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</si>
  <si>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</si>
  <si>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</si>
  <si>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</si>
  <si>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</si>
  <si>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</si>
  <si>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</si>
  <si>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</si>
  <si>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</si>
  <si>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</si>
  <si>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</si>
  <si>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</si>
  <si>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</si>
  <si>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</si>
  <si>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</si>
  <si>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</si>
  <si>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</si>
  <si>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</si>
  <si>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</si>
  <si>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</si>
  <si>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</si>
  <si>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</si>
  <si>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</si>
  <si>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</si>
  <si>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</si>
  <si>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</si>
  <si>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</si>
  <si>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</si>
  <si>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</si>
  <si>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</si>
  <si>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</si>
  <si>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</si>
  <si>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</si>
  <si>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</si>
  <si>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</si>
  <si>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</si>
  <si>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</si>
  <si>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</si>
  <si>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</si>
  <si>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</si>
  <si>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</si>
  <si>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</si>
  <si>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</si>
  <si>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</si>
  <si>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</si>
  <si>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</si>
  <si>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</si>
  <si>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</si>
  <si>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</si>
  <si>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</si>
  <si>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</si>
  <si>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</si>
  <si>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</si>
  <si>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</si>
  <si>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</si>
  <si>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</si>
  <si>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</si>
  <si>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</si>
  <si>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</si>
  <si>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</si>
  <si>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</si>
  <si>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</si>
  <si>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</si>
  <si>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</si>
  <si>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</si>
  <si>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</si>
  <si>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</si>
  <si>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</si>
  <si>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</si>
  <si>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</si>
  <si>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</si>
  <si>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</si>
  <si>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</si>
  <si>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</si>
  <si>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</si>
  <si>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</si>
  <si>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</si>
  <si>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</si>
  <si>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</si>
  <si>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</si>
  <si>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</si>
  <si>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</si>
  <si>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</si>
  <si>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</si>
  <si>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</si>
  <si>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</si>
  <si>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</si>
  <si>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</si>
  <si>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</si>
  <si>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</si>
  <si>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</si>
  <si>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</si>
  <si>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</si>
  <si>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</si>
  <si>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</si>
  <si>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</si>
  <si>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</si>
  <si>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</si>
  <si>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</si>
  <si>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</si>
  <si>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</si>
  <si>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</si>
  <si>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</si>
  <si>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</si>
  <si>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</si>
  <si>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</si>
  <si>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</si>
  <si>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</si>
  <si>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</si>
  <si>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</si>
  <si>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</si>
  <si>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</si>
  <si>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</si>
  <si>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</si>
  <si>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</si>
  <si>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</si>
  <si>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</si>
  <si>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</si>
  <si>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</si>
  <si>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</si>
  <si>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</si>
  <si>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</si>
  <si>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</si>
  <si>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</si>
  <si>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</si>
  <si>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</si>
  <si>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</si>
  <si>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</si>
  <si>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</si>
  <si>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</si>
  <si>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</si>
  <si>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</si>
  <si>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</si>
  <si>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</si>
  <si>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</si>
  <si>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</si>
  <si>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</si>
  <si>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</si>
  <si>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</si>
  <si>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</si>
  <si>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</si>
  <si>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</si>
  <si>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</si>
  <si>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</si>
  <si>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</si>
  <si>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</si>
  <si>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</si>
  <si>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</si>
  <si>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</si>
  <si>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</si>
  <si>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</si>
  <si>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</si>
  <si>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</si>
  <si>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</si>
  <si>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</si>
  <si>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</si>
  <si>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</si>
  <si>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</si>
  <si>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</si>
  <si>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</si>
  <si>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</si>
  <si>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</si>
  <si>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</si>
  <si>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</si>
  <si>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</si>
  <si>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</si>
  <si>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</si>
  <si>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</si>
  <si>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</si>
  <si>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</si>
  <si>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</si>
  <si>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</si>
  <si>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</si>
  <si>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</si>
  <si>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</si>
  <si>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</si>
  <si>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</si>
  <si>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</si>
  <si>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</si>
  <si>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</si>
  <si>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</si>
  <si>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</si>
  <si>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</si>
  <si>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</si>
  <si>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</si>
  <si>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</si>
  <si>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</si>
  <si>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</si>
  <si>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</si>
  <si>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</si>
  <si>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</si>
  <si>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</si>
  <si>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</si>
  <si>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</si>
  <si>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</si>
  <si>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</si>
  <si>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</si>
  <si>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</si>
  <si>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</si>
  <si>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</si>
  <si>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</si>
  <si>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</si>
  <si>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</si>
  <si>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</si>
  <si>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</si>
  <si>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</si>
  <si>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</si>
  <si>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</si>
  <si>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</si>
  <si>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</si>
  <si>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</si>
  <si>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</si>
  <si>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</si>
  <si>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</si>
  <si>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</si>
  <si>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</si>
  <si>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</si>
  <si>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</si>
  <si>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</si>
  <si>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</si>
  <si>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</si>
  <si>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</si>
  <si>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</si>
  <si>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</si>
  <si>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</si>
  <si>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</si>
  <si>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</si>
  <si>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</si>
  <si>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</si>
  <si>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</si>
  <si>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</si>
  <si>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</si>
  <si>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</si>
  <si>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</si>
  <si>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</si>
  <si>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</si>
  <si>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</si>
  <si>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</si>
  <si>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</si>
  <si>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</si>
  <si>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</si>
  <si>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</si>
  <si>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</si>
  <si>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</si>
  <si>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</si>
  <si>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</si>
  <si>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</si>
  <si>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</si>
  <si>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</si>
  <si>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</si>
  <si>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</si>
  <si>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</si>
  <si>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</si>
  <si>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</si>
  <si>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</si>
  <si>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</si>
  <si>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</si>
  <si>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</si>
  <si>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</si>
  <si>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</si>
  <si>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</si>
  <si>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</si>
  <si>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</si>
  <si>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</si>
  <si>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</si>
  <si>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</si>
  <si>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</si>
  <si>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</si>
  <si>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</si>
  <si>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</si>
  <si>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</si>
  <si>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</si>
  <si>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</si>
  <si>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</si>
  <si>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</si>
  <si>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</si>
  <si>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</si>
  <si>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</si>
  <si>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</si>
  <si>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</si>
  <si>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</si>
  <si>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</si>
  <si>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</si>
  <si>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</si>
  <si>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</si>
  <si>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</si>
  <si>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</si>
  <si>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</si>
  <si>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</si>
  <si>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</si>
  <si>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</si>
  <si>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</si>
  <si>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</si>
  <si>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</si>
  <si>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</si>
  <si>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</si>
  <si>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</si>
  <si>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</si>
  <si>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</si>
  <si>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</si>
  <si>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</si>
  <si>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</si>
  <si>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</si>
  <si>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</si>
  <si>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</si>
  <si>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</si>
  <si>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</si>
  <si>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</si>
  <si>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</si>
  <si>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</si>
  <si>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</si>
  <si>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</si>
  <si>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</si>
  <si>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</si>
  <si>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</si>
  <si>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</si>
  <si>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</si>
  <si>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</si>
  <si>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</si>
  <si>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</si>
  <si>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</si>
  <si>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</si>
  <si>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</si>
  <si>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</si>
  <si>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</si>
  <si>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</si>
  <si>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</si>
  <si>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</si>
  <si>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</si>
  <si>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</si>
  <si>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</si>
  <si>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</si>
  <si>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</si>
  <si>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</si>
  <si>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</si>
  <si>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</si>
  <si>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</si>
  <si>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</si>
  <si>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</si>
  <si>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</si>
  <si>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</si>
  <si>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</si>
  <si>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</si>
  <si>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</si>
  <si>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</si>
  <si>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</si>
  <si>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</si>
  <si>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</si>
  <si>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</si>
  <si>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</si>
  <si>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</si>
  <si>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</si>
  <si>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</si>
  <si>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</si>
  <si>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</si>
  <si>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</si>
  <si>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</si>
  <si>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</si>
  <si>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</si>
  <si>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</si>
  <si>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</si>
  <si>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</si>
  <si>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</si>
  <si>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</si>
  <si>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</si>
  <si>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</si>
  <si>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</si>
  <si>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</si>
  <si>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</si>
  <si>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</si>
  <si>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</si>
  <si>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</si>
  <si>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</si>
  <si>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</si>
  <si>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</si>
  <si>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</si>
  <si>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</si>
  <si>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</si>
  <si>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</si>
  <si>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</si>
  <si>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</si>
  <si>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</si>
  <si>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</si>
  <si>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</si>
  <si>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</si>
  <si>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</si>
  <si>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</si>
  <si>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</si>
  <si>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</si>
  <si>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</si>
  <si>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</si>
  <si>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</si>
  <si>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</si>
  <si>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</si>
  <si>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</si>
  <si>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</si>
  <si>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</si>
  <si>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</si>
  <si>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</si>
  <si>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</si>
  <si>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</si>
  <si>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</si>
  <si>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</si>
  <si>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</si>
  <si>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</si>
  <si>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</si>
  <si>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</si>
  <si>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</si>
  <si>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</si>
  <si>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</si>
  <si>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</si>
  <si>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</si>
  <si>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</si>
  <si>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</si>
  <si>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</si>
  <si>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</si>
  <si>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</si>
  <si>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</si>
  <si>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</si>
  <si>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</si>
  <si>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</si>
  <si>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</si>
  <si>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</si>
  <si>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</si>
  <si>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</si>
  <si>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</si>
  <si>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</si>
  <si>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</si>
  <si>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</si>
  <si>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</si>
  <si>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</si>
  <si>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</si>
  <si>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</si>
  <si>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</si>
  <si>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</si>
  <si>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</si>
  <si>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</si>
  <si>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</si>
  <si>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</si>
  <si>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</si>
  <si>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</si>
  <si>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</si>
  <si>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</si>
  <si>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</si>
  <si>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</si>
  <si>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</si>
  <si>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</si>
  <si>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</si>
  <si>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</si>
  <si>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</si>
  <si>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</si>
  <si>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</si>
  <si>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</si>
  <si>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</si>
  <si>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</si>
  <si>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</si>
  <si>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</si>
  <si>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</si>
  <si>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</si>
  <si>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</si>
  <si>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</si>
  <si>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</si>
  <si>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</si>
  <si>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</si>
  <si>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</si>
  <si>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</si>
  <si>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</si>
  <si>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</si>
  <si>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</si>
  <si>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</si>
  <si>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</si>
  <si>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</si>
  <si>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</si>
  <si>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</si>
  <si>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</si>
  <si>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</si>
  <si>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</si>
  <si>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</si>
  <si>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</si>
  <si>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</si>
  <si>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</si>
  <si>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</si>
  <si>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</si>
  <si>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</si>
  <si>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</si>
  <si>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</si>
  <si>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</si>
  <si>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</si>
  <si>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</si>
  <si>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</si>
  <si>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</si>
  <si>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</si>
  <si>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</si>
  <si>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</si>
  <si>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</si>
  <si>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</si>
  <si>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</si>
  <si>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</si>
  <si>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</si>
  <si>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</si>
  <si>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</si>
  <si>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</si>
  <si>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</si>
  <si>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</si>
  <si>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</si>
  <si>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</si>
  <si>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</si>
  <si>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</si>
  <si>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</si>
  <si>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</si>
  <si>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</si>
  <si>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</si>
  <si>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</si>
  <si>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</si>
  <si>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</si>
  <si>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</si>
  <si>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</si>
  <si>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</si>
  <si>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</si>
  <si>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</si>
  <si>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</si>
  <si>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</si>
  <si>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</si>
  <si>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</si>
  <si>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</si>
  <si>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</si>
  <si>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</si>
  <si>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</si>
  <si>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</si>
  <si>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</si>
  <si>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</si>
  <si>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</si>
  <si>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</si>
  <si>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</si>
  <si>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</si>
  <si>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</si>
  <si>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</si>
  <si>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</si>
  <si>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</si>
  <si>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</si>
  <si>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</si>
  <si>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</si>
  <si>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</si>
  <si>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</si>
  <si>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</si>
  <si>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</si>
  <si>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</si>
  <si>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</si>
  <si>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</si>
  <si>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</si>
  <si>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</si>
  <si>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</si>
  <si>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</si>
  <si>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</si>
  <si>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</si>
  <si>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</si>
  <si>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</si>
  <si>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</si>
  <si>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</si>
  <si>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</si>
  <si>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</si>
  <si>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</si>
  <si>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</si>
  <si>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</si>
  <si>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</si>
  <si>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</si>
  <si>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</si>
  <si>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</si>
  <si>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</si>
  <si>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</si>
  <si>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</si>
  <si>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</si>
  <si>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</si>
  <si>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</si>
  <si>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</si>
  <si>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</si>
  <si>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</si>
  <si>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</si>
  <si>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</si>
  <si>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</si>
  <si>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</si>
  <si>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</si>
  <si>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</si>
  <si>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</si>
  <si>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</si>
  <si>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</si>
  <si>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</si>
  <si>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</si>
  <si>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</si>
  <si>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</si>
  <si>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</si>
  <si>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</si>
  <si>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</si>
  <si>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</si>
  <si>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</si>
  <si>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</si>
  <si>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</si>
  <si>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</si>
  <si>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</si>
  <si>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</si>
  <si>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</si>
  <si>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</si>
  <si>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</si>
  <si>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</si>
  <si>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</si>
  <si>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</si>
  <si>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</si>
  <si>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</si>
  <si>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</si>
  <si>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</si>
  <si>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</si>
  <si>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</si>
  <si>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</si>
  <si>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</si>
  <si>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</si>
  <si>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</si>
  <si>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</si>
  <si>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</si>
  <si>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</si>
  <si>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</si>
  <si>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</si>
  <si>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</si>
  <si>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</si>
  <si>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</si>
  <si>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</si>
  <si>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</si>
  <si>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</si>
  <si>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</si>
  <si>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</si>
  <si>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</si>
  <si>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</si>
  <si>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</si>
  <si>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</si>
  <si>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</si>
  <si>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</si>
  <si>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</si>
  <si>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</si>
  <si>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</si>
  <si>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</si>
  <si>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</si>
  <si>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</si>
  <si>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</si>
  <si>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</si>
  <si>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</si>
  <si>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</si>
  <si>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</si>
  <si>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</si>
  <si>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</si>
  <si>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</si>
  <si>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</si>
  <si>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</si>
  <si>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</si>
  <si>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</si>
  <si>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</si>
  <si>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</si>
  <si>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</si>
  <si>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</si>
  <si>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</si>
  <si>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</si>
  <si>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</si>
  <si>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</si>
  <si>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</si>
  <si>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</si>
  <si>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</si>
  <si>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</si>
  <si>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</si>
  <si>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</si>
  <si>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</si>
  <si>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</si>
  <si>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</si>
  <si>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</si>
  <si>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</si>
  <si>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</si>
  <si>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</si>
  <si>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</si>
  <si>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</si>
  <si>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</si>
  <si>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</si>
  <si>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</si>
  <si>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</si>
  <si>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</si>
  <si>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</si>
  <si>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</si>
  <si>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</si>
  <si>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</si>
  <si>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</si>
  <si>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</si>
  <si>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</si>
  <si>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</si>
  <si>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</si>
  <si>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</si>
  <si>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</si>
  <si>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</si>
  <si>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</si>
  <si>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</si>
  <si>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</si>
  <si>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</si>
  <si>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</si>
  <si>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</si>
  <si>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</si>
  <si>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</si>
  <si>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</si>
  <si>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</si>
  <si>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</si>
  <si>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</si>
  <si>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</si>
  <si>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</si>
  <si>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</si>
  <si>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</si>
  <si>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</si>
  <si>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</si>
  <si>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</si>
  <si>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</si>
  <si>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</si>
  <si>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</si>
  <si>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</si>
  <si>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</si>
  <si>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</si>
  <si>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</si>
  <si>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</si>
  <si>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</si>
  <si>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</si>
  <si>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</si>
  <si>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</si>
  <si>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</si>
  <si>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</si>
  <si>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</si>
  <si>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</si>
  <si>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</si>
  <si>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</si>
  <si>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</si>
  <si>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</si>
  <si>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</si>
  <si>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</si>
  <si>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</si>
  <si>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</si>
  <si>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</si>
  <si>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</si>
  <si>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</si>
  <si>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</si>
  <si>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</si>
  <si>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</si>
  <si>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</si>
  <si>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</si>
  <si>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</si>
  <si>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</si>
  <si>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</si>
  <si>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</si>
  <si>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</si>
  <si>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</si>
  <si>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</si>
  <si>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</si>
  <si>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</si>
  <si>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</si>
  <si>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</si>
  <si>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</si>
  <si>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</si>
  <si>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</si>
  <si>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</si>
  <si>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</si>
  <si>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</si>
  <si>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</si>
  <si>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</si>
  <si>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</si>
  <si>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</si>
  <si>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</si>
  <si>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</si>
  <si>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</si>
  <si>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</si>
  <si>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</si>
  <si>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</si>
  <si>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</si>
  <si>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</si>
  <si>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</si>
  <si>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</si>
  <si>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</si>
  <si>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</si>
  <si>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</si>
  <si>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</si>
  <si>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</si>
  <si>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</si>
  <si>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</si>
  <si>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</si>
  <si>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</si>
  <si>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</si>
  <si>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</si>
  <si>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</si>
  <si>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</si>
  <si>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</si>
  <si>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</si>
  <si>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</si>
  <si>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</si>
  <si>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</si>
  <si>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</si>
  <si>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</si>
  <si>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</si>
  <si>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</si>
  <si>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</si>
  <si>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</si>
  <si>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</si>
  <si>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</si>
  <si>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</si>
  <si>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</si>
  <si>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</si>
  <si>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</si>
  <si>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</si>
  <si>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</si>
  <si>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</si>
  <si>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</si>
  <si>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</si>
  <si>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</si>
  <si>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</si>
  <si>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</si>
  <si>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</si>
  <si>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</si>
  <si>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</si>
  <si>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</si>
  <si>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</si>
  <si>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</si>
  <si>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</si>
  <si>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</si>
  <si>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</si>
  <si>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</si>
  <si>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</si>
  <si>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</si>
  <si>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</si>
  <si>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</si>
  <si>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</si>
  <si>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</si>
  <si>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</si>
  <si>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</si>
  <si>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</si>
  <si>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</si>
  <si>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</si>
  <si>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</si>
  <si>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</si>
  <si>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</si>
  <si>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</si>
  <si>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</si>
  <si>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</si>
  <si>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</si>
  <si>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</si>
  <si>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</si>
  <si>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</si>
  <si>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</si>
  <si>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</si>
  <si>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</si>
  <si>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</si>
  <si>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</si>
  <si>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</si>
  <si>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</si>
  <si>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</si>
  <si>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</si>
  <si>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</si>
  <si>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</si>
  <si>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</si>
  <si>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</si>
  <si>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</si>
  <si>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</si>
  <si>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</si>
  <si>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</si>
  <si>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</si>
  <si>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</si>
  <si>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</si>
  <si>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</si>
  <si>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</si>
  <si>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</si>
  <si>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</si>
  <si>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</si>
  <si>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</si>
  <si>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</si>
  <si>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</si>
  <si>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</si>
  <si>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</si>
  <si>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</si>
  <si>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</si>
  <si>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</si>
  <si>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</si>
  <si>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</si>
  <si>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</si>
  <si>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</si>
  <si>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</si>
  <si>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</si>
  <si>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</si>
  <si>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</si>
  <si>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</si>
  <si>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</si>
  <si>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</si>
  <si>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</si>
  <si>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</si>
  <si>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</si>
  <si>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</si>
  <si>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</si>
  <si>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</si>
  <si>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</si>
  <si>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</si>
  <si>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</si>
  <si>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</si>
  <si>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</si>
  <si>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</si>
  <si>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</si>
  <si>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</si>
  <si>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</si>
  <si>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</si>
  <si>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</si>
  <si>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</si>
  <si>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</si>
  <si>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</si>
  <si>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</si>
  <si>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</si>
  <si>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</si>
  <si>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</si>
  <si>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</si>
  <si>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</si>
  <si>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</si>
  <si>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</si>
  <si>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</si>
  <si>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</si>
  <si>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</si>
  <si>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</si>
  <si>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</si>
  <si>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</si>
  <si>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</si>
  <si>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</si>
  <si>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</si>
  <si>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</si>
  <si>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</si>
  <si>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</si>
  <si>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</si>
  <si>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</si>
  <si>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</si>
  <si>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</si>
  <si>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</si>
  <si>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</si>
  <si>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</si>
  <si>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</si>
  <si>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</si>
  <si>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</si>
  <si>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</si>
  <si>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</si>
  <si>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</si>
  <si>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</si>
  <si>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</si>
  <si>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</si>
  <si>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</si>
  <si>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</si>
  <si>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</si>
  <si>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</si>
  <si>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</si>
  <si>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</si>
  <si>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</si>
  <si>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</si>
  <si>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</si>
  <si>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</si>
  <si>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</si>
  <si>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</si>
  <si>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</si>
  <si>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</si>
  <si>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</si>
  <si>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</si>
  <si>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</si>
  <si>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</si>
  <si>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</si>
  <si>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</si>
  <si>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</si>
  <si>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</si>
  <si>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</si>
  <si>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</si>
  <si>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</si>
  <si>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</si>
  <si>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</si>
  <si>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</si>
  <si>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</si>
  <si>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</si>
  <si>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</si>
  <si>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</si>
  <si>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</si>
  <si>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</si>
  <si>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</si>
  <si>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</si>
  <si>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</si>
  <si>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</si>
  <si>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</si>
  <si>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</si>
  <si>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</si>
  <si>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</si>
  <si>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</si>
  <si>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</si>
  <si>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</si>
  <si>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</si>
  <si>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</si>
  <si>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</si>
  <si>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</si>
  <si>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</si>
  <si>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</si>
  <si>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</si>
  <si>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</si>
  <si>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</si>
  <si>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</si>
  <si>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</si>
  <si>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</si>
  <si>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</si>
  <si>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</si>
  <si>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</si>
  <si>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</si>
  <si>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</si>
  <si>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</si>
  <si>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</si>
  <si>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</si>
  <si>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</si>
  <si>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</si>
  <si>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</si>
  <si>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</si>
  <si>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</si>
  <si>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</si>
  <si>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</si>
  <si>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</si>
  <si>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</si>
  <si>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</si>
  <si>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</si>
  <si>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</si>
  <si>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</si>
  <si>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</si>
  <si>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</si>
  <si>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</si>
  <si>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</si>
  <si>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</si>
  <si>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</si>
  <si>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</si>
  <si>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</si>
  <si>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</si>
  <si>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</si>
  <si>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</si>
  <si>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</si>
  <si>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</si>
  <si>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</si>
  <si>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</si>
  <si>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</si>
  <si>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</si>
  <si>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</si>
  <si>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</si>
  <si>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</si>
  <si>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</si>
  <si>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</si>
  <si>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</si>
  <si>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</si>
  <si>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</si>
  <si>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</si>
  <si>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</si>
  <si>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</si>
  <si>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</si>
  <si>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</si>
  <si>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</si>
  <si>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</si>
  <si>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</si>
  <si>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</si>
  <si>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</si>
  <si>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</si>
  <si>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</si>
  <si>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</si>
  <si>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</si>
  <si>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</si>
  <si>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</si>
  <si>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</si>
  <si>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</si>
  <si>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</si>
  <si>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</si>
  <si>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</si>
  <si>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</si>
  <si>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</si>
  <si>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</si>
  <si>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</si>
  <si>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</si>
  <si>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</si>
  <si>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</si>
  <si>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</si>
  <si>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</si>
  <si>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</si>
  <si>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</si>
  <si>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</si>
  <si>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</si>
  <si>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</si>
  <si>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</si>
  <si>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</si>
  <si>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</si>
  <si>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</si>
  <si>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</si>
  <si>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</si>
  <si>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</si>
  <si>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</si>
  <si>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</si>
  <si>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</si>
  <si>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</si>
  <si>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</si>
  <si>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</si>
  <si>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</si>
  <si>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</si>
  <si>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</si>
  <si>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</si>
  <si>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</si>
  <si>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</si>
  <si>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</si>
  <si>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</si>
  <si>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</si>
  <si>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</si>
  <si>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</si>
  <si>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</si>
  <si>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</si>
  <si>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</si>
  <si>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</si>
  <si>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</si>
  <si>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</si>
  <si>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</si>
  <si>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</si>
  <si>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</si>
  <si>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</si>
  <si>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</si>
  <si>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</si>
  <si>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</si>
  <si>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</si>
  <si>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</si>
  <si>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</si>
  <si>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</si>
  <si>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</si>
  <si>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</si>
  <si>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</si>
  <si>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</si>
  <si>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</si>
  <si>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</si>
  <si>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</si>
  <si>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</si>
  <si>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</si>
  <si>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</si>
  <si>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</si>
  <si>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</si>
  <si>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</si>
  <si>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</si>
  <si>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</si>
  <si>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</si>
  <si>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</si>
  <si>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</si>
  <si>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</si>
  <si>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</si>
  <si>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</si>
  <si>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</si>
  <si>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</si>
  <si>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</si>
  <si>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</si>
  <si>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</si>
  <si>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</si>
  <si>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</si>
  <si>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</si>
  <si>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</si>
  <si>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</si>
  <si>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</si>
  <si>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</si>
  <si>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</si>
  <si>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</si>
  <si>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</si>
  <si>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</si>
  <si>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</si>
  <si>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</si>
  <si>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</si>
  <si>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</si>
  <si>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</si>
  <si>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</si>
  <si>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</si>
  <si>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</si>
  <si>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</si>
  <si>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</si>
  <si>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</si>
  <si>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</si>
  <si>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</si>
  <si>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</si>
  <si>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</si>
  <si>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</si>
  <si>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</si>
  <si>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</si>
  <si>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</si>
  <si>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</si>
  <si>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</si>
  <si>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</si>
  <si>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</si>
  <si>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</si>
  <si>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</si>
  <si>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</si>
  <si>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</si>
  <si>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</si>
  <si>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</si>
  <si>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</si>
  <si>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</si>
  <si>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</si>
  <si>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</si>
  <si>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</si>
  <si>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</si>
  <si>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</si>
  <si>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</si>
  <si>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</si>
  <si>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</si>
  <si>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</si>
  <si>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</si>
  <si>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</si>
  <si>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</si>
  <si>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</si>
  <si>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</si>
  <si>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</si>
  <si>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</si>
  <si>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</si>
  <si>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</si>
  <si>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</si>
  <si>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</si>
  <si>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</si>
  <si>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</si>
  <si>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</si>
  <si>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</si>
  <si>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</si>
  <si>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</si>
  <si>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</si>
  <si>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</si>
  <si>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</si>
  <si>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</si>
  <si>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</si>
  <si>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</si>
  <si>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</si>
  <si>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</si>
  <si>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</si>
  <si>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</si>
  <si>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</si>
  <si>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</si>
  <si>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</si>
  <si>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</si>
  <si>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</si>
  <si>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</si>
  <si>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</si>
  <si>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</si>
  <si>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</si>
  <si>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</si>
  <si>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</si>
  <si>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</si>
  <si>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</si>
  <si>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</si>
  <si>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</si>
  <si>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</si>
  <si>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</si>
  <si>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</si>
  <si>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</si>
  <si>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</si>
  <si>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</si>
  <si>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</si>
  <si>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</si>
  <si>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</si>
  <si>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</si>
  <si>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</si>
  <si>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</si>
  <si>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</si>
  <si>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</si>
  <si>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</si>
  <si>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</si>
  <si>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</si>
  <si>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</si>
  <si>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</si>
  <si>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</si>
  <si>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</si>
  <si>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</si>
  <si>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</si>
  <si>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</si>
  <si>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</si>
  <si>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</si>
  <si>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</si>
  <si>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</si>
  <si>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</si>
  <si>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</si>
  <si>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</si>
  <si>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</si>
  <si>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</si>
  <si>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</si>
  <si>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</si>
  <si>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</si>
  <si>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</si>
  <si>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</si>
  <si>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</si>
  <si>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</si>
  <si>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</si>
  <si>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</si>
  <si>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</si>
  <si>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</si>
  <si>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</si>
  <si>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</si>
  <si>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</si>
  <si>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</si>
  <si>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</si>
  <si>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</si>
  <si>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</si>
  <si>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</si>
  <si>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</si>
  <si>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</si>
  <si>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</si>
  <si>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</si>
  <si>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</si>
  <si>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</si>
  <si>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</si>
  <si>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</si>
  <si>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</si>
  <si>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</si>
  <si>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</si>
  <si>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</si>
  <si>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</si>
  <si>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</si>
  <si>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</si>
  <si>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</si>
  <si>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</si>
  <si>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</si>
  <si>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</si>
  <si>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</si>
  <si>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</si>
  <si>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</si>
  <si>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</si>
  <si>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</si>
  <si>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</si>
  <si>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</si>
  <si>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</si>
  <si>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</si>
  <si>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</si>
  <si>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</si>
  <si>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</si>
  <si>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</si>
  <si>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</si>
  <si>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</si>
  <si>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</si>
  <si>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</si>
  <si>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</si>
  <si>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</si>
  <si>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</si>
  <si>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</si>
  <si>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</si>
  <si>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</si>
  <si>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</si>
  <si>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</si>
  <si>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</si>
  <si>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</si>
  <si>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</si>
  <si>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</si>
  <si>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</si>
  <si>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</si>
  <si>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</si>
  <si>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</si>
  <si>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</si>
  <si>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</si>
  <si>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</si>
  <si>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</si>
  <si>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</si>
  <si>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</si>
  <si>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</si>
  <si>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</si>
  <si>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</si>
  <si>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</si>
  <si>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</si>
  <si>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</si>
  <si>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</si>
  <si>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</si>
  <si>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</si>
  <si>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</si>
  <si>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</si>
  <si>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</si>
  <si>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</si>
  <si>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</si>
  <si>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</si>
  <si>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</si>
  <si>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</si>
  <si>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</si>
  <si>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</si>
  <si>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</si>
  <si>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</si>
  <si>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</si>
  <si>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</si>
  <si>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</si>
  <si>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</si>
  <si>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</si>
  <si>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</si>
  <si>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</si>
  <si>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</si>
  <si>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</si>
  <si>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</si>
  <si>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</si>
  <si>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</si>
  <si>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</si>
  <si>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</si>
  <si>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</si>
  <si>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</si>
  <si>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</si>
  <si>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</si>
  <si>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</si>
  <si>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</si>
  <si>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</si>
  <si>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</si>
  <si>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</si>
  <si>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</si>
  <si>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</si>
  <si>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</si>
  <si>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</si>
  <si>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</si>
  <si>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</si>
  <si>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</si>
  <si>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</si>
  <si>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</si>
  <si>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</si>
  <si>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</si>
  <si>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</si>
  <si>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</si>
  <si>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</si>
  <si>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</si>
  <si>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</si>
  <si>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</si>
  <si>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</si>
  <si>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</si>
  <si>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</si>
  <si>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</si>
  <si>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</si>
  <si>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</si>
  <si>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</si>
  <si>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</si>
  <si>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</si>
  <si>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</si>
  <si>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</si>
  <si>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</si>
  <si>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</si>
  <si>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</si>
  <si>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</si>
  <si>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</si>
  <si>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</si>
  <si>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</si>
  <si>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</si>
  <si>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</si>
  <si>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</si>
  <si>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</si>
  <si>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</si>
  <si>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</si>
  <si>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</si>
  <si>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</si>
  <si>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</si>
  <si>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</si>
  <si>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</si>
  <si>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</si>
  <si>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</si>
  <si>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</si>
  <si>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</si>
  <si>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</si>
  <si>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</si>
  <si>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</si>
  <si>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</si>
  <si>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</si>
  <si>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</si>
  <si>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</si>
  <si>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</si>
  <si>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</si>
  <si>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</si>
  <si>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</si>
  <si>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</si>
  <si>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</si>
  <si>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</si>
  <si>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</si>
  <si>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</si>
  <si>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</si>
  <si>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</si>
  <si>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</si>
  <si>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</si>
  <si>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</si>
  <si>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</si>
  <si>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</si>
  <si>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</si>
  <si>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</si>
  <si>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</si>
  <si>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</si>
  <si>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</si>
  <si>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</si>
  <si>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</si>
  <si>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</si>
  <si>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</si>
  <si>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</si>
  <si>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</si>
  <si>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</si>
  <si>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</si>
  <si>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</si>
  <si>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</si>
  <si>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</si>
  <si>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</si>
  <si>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</si>
  <si>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</si>
  <si>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</si>
  <si>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</si>
  <si>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</si>
  <si>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</si>
  <si>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</si>
  <si>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</si>
  <si>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</si>
  <si>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</si>
  <si>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</si>
  <si>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</si>
  <si>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</si>
  <si>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</si>
  <si>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</si>
  <si>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</si>
  <si>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</si>
  <si>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</si>
  <si>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</si>
  <si>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</si>
  <si>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</si>
  <si>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</si>
  <si>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</si>
  <si>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</si>
  <si>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</si>
  <si>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</si>
  <si>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</si>
  <si>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</si>
  <si>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</si>
  <si>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</si>
  <si>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</si>
  <si>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</si>
  <si>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</si>
  <si>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</si>
  <si>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</si>
  <si>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</si>
  <si>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</si>
  <si>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</si>
  <si>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</si>
  <si>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</si>
  <si>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</si>
  <si>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</si>
  <si>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</si>
  <si>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</si>
  <si>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</si>
  <si>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</si>
  <si>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</si>
  <si>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</si>
  <si>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</si>
  <si>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</si>
  <si>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</si>
  <si>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</si>
  <si>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</si>
  <si>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</si>
  <si>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</si>
  <si>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</si>
  <si>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</si>
  <si>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</si>
  <si>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</si>
  <si>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</si>
  <si>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</si>
  <si>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</si>
  <si>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</si>
  <si>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</si>
  <si>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</si>
  <si>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</si>
  <si>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</si>
  <si>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</si>
  <si>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</si>
  <si>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</si>
  <si>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</si>
  <si>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</si>
  <si>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</si>
  <si>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</si>
  <si>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</si>
  <si>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</si>
  <si>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</si>
  <si>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</si>
  <si>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</si>
  <si>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</si>
  <si>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</si>
  <si>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</si>
  <si>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</si>
  <si>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</si>
  <si>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</si>
  <si>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</si>
  <si>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</si>
  <si>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</si>
  <si>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</si>
  <si>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</si>
  <si>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</si>
  <si>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</si>
  <si>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</si>
  <si>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</si>
  <si>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</si>
  <si>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</si>
  <si>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</si>
  <si>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</si>
  <si>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</si>
  <si>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</si>
  <si>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</si>
  <si>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</si>
  <si>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</si>
  <si>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</si>
  <si>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</si>
  <si>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</si>
  <si>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</si>
  <si>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</si>
  <si>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</si>
  <si>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</si>
  <si>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</si>
  <si>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</si>
  <si>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</si>
  <si>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</si>
  <si>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</si>
  <si>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</si>
  <si>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</si>
  <si>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</si>
  <si>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</si>
  <si>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</si>
  <si>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</si>
  <si>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</si>
  <si>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</si>
  <si>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</si>
  <si>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</si>
  <si>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</si>
  <si>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</si>
  <si>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</si>
  <si>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</si>
  <si>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</si>
  <si>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</si>
  <si>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</si>
  <si>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</si>
  <si>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</si>
  <si>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</si>
  <si>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</si>
  <si>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</si>
  <si>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</si>
  <si>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</si>
  <si>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</si>
  <si>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</si>
  <si>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</si>
  <si>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</si>
  <si>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</si>
  <si>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</si>
  <si>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</si>
  <si>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</si>
  <si>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</si>
  <si>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</si>
  <si>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</si>
  <si>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</si>
  <si>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</si>
  <si>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</si>
  <si>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</si>
  <si>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</si>
  <si>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</si>
  <si>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</si>
  <si>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</si>
  <si>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</si>
  <si>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</si>
  <si>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</si>
  <si>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</si>
  <si>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</si>
  <si>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</si>
  <si>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</si>
  <si>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</si>
  <si>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</si>
  <si>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</si>
  <si>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</si>
  <si>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</si>
  <si>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</si>
  <si>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</si>
  <si>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</si>
  <si>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</si>
  <si>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</si>
  <si>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</si>
  <si>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</si>
  <si>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</si>
  <si>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</si>
  <si>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</si>
  <si>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</si>
  <si>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</si>
  <si>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</si>
  <si>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</si>
  <si>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</si>
  <si>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</si>
  <si>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</si>
  <si>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</si>
  <si>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</si>
  <si>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</si>
  <si>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</si>
  <si>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</si>
  <si>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</si>
  <si>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</si>
  <si>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</si>
  <si>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</si>
  <si>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</si>
  <si>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</si>
  <si>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</si>
  <si>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</si>
  <si>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</si>
  <si>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</si>
  <si>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</si>
  <si>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</si>
  <si>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</si>
  <si>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</si>
  <si>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</si>
  <si>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</si>
  <si>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</si>
  <si>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</si>
  <si>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</si>
  <si>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</si>
  <si>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</si>
  <si>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</si>
  <si>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</si>
  <si>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</si>
  <si>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</si>
  <si>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</si>
  <si>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</si>
  <si>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</si>
  <si>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</si>
  <si>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</si>
  <si>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</si>
  <si>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</si>
  <si>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</si>
  <si>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</si>
  <si>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</si>
  <si>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</si>
  <si>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</si>
  <si>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</si>
  <si>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</si>
  <si>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</si>
  <si>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</si>
  <si>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</si>
  <si>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</si>
  <si>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</si>
  <si>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</si>
  <si>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</si>
  <si>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</si>
  <si>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</si>
  <si>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</si>
  <si>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</si>
  <si>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</si>
  <si>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</si>
  <si>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</si>
  <si>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</si>
  <si>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</si>
  <si>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</si>
  <si>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</si>
  <si>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</si>
  <si>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</si>
  <si>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</si>
  <si>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</si>
  <si>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</si>
  <si>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</si>
  <si>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</si>
  <si>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</si>
  <si>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</si>
  <si>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</si>
  <si>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</si>
  <si>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</si>
  <si>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</si>
  <si>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</si>
  <si>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</si>
  <si>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</si>
  <si>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</si>
  <si>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</si>
  <si>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</si>
  <si>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</si>
  <si>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</si>
  <si>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</si>
  <si>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</si>
  <si>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</si>
  <si>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</si>
  <si>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</si>
  <si>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</si>
  <si>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</si>
  <si>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</si>
  <si>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</si>
  <si>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</si>
  <si>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</si>
  <si>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</si>
  <si>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</si>
  <si>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</si>
  <si>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</si>
  <si>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</si>
  <si>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</si>
  <si>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</si>
  <si>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</si>
  <si>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</si>
  <si>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</si>
  <si>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</si>
  <si>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</si>
  <si>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</si>
  <si>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</si>
  <si>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</si>
  <si>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</si>
  <si>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</si>
  <si>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</si>
  <si>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</si>
  <si>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</si>
  <si>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</si>
  <si>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</si>
  <si>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</si>
  <si>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</si>
  <si>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</si>
  <si>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</si>
  <si>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</si>
  <si>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</si>
  <si>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</si>
  <si>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</si>
  <si>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</si>
  <si>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</si>
  <si>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</si>
  <si>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</si>
  <si>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</si>
  <si>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</si>
  <si>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</si>
  <si>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</si>
  <si>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</si>
  <si>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</si>
  <si>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</si>
  <si>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</si>
  <si>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</si>
  <si>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</si>
  <si>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</si>
  <si>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</si>
  <si>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</si>
  <si>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</si>
  <si>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</si>
  <si>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</si>
  <si>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</si>
  <si>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</si>
  <si>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</si>
  <si>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</si>
  <si>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</si>
  <si>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</si>
  <si>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</si>
  <si>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</si>
  <si>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</si>
  <si>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</si>
  <si>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</si>
  <si>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</si>
  <si>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</si>
  <si>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</si>
  <si>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</si>
  <si>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</si>
  <si>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</si>
  <si>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</si>
  <si>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</si>
  <si>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</si>
  <si>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</si>
  <si>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</si>
  <si>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</si>
  <si>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</si>
  <si>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</si>
  <si>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</si>
  <si>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</si>
  <si>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</si>
  <si>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</si>
  <si>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</si>
  <si>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</si>
  <si>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</si>
  <si>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</si>
  <si>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</si>
  <si>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</si>
  <si>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</si>
  <si>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</si>
  <si>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</si>
  <si>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</si>
  <si>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</si>
  <si>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</si>
  <si>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</si>
  <si>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</si>
  <si>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</si>
  <si>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</si>
  <si>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</si>
  <si>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</si>
  <si>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</si>
  <si>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</si>
  <si>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</si>
  <si>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</si>
  <si>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</si>
  <si>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</si>
  <si>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</si>
  <si>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</si>
  <si>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</si>
  <si>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</si>
  <si>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</si>
  <si>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</si>
  <si>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</si>
  <si>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</si>
  <si>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</si>
  <si>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</si>
  <si>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</si>
  <si>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</si>
  <si>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</si>
  <si>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</si>
  <si>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</si>
  <si>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</si>
  <si>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</si>
  <si>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</si>
  <si>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</si>
  <si>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</si>
  <si>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</si>
  <si>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</si>
  <si>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</si>
  <si>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</si>
  <si>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</si>
  <si>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</si>
  <si>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</si>
  <si>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</si>
  <si>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</si>
  <si>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</si>
  <si>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</si>
  <si>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</si>
  <si>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</si>
  <si>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</si>
  <si>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</si>
  <si>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</si>
  <si>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</si>
  <si>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</si>
  <si>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</si>
  <si>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</si>
  <si>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</si>
  <si>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</si>
  <si>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</si>
  <si>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</si>
  <si>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</si>
  <si>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</si>
  <si>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</si>
  <si>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</si>
  <si>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</si>
  <si>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</si>
  <si>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</si>
  <si>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</si>
  <si>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</si>
  <si>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</si>
  <si>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</si>
  <si>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</si>
  <si>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</si>
  <si>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</si>
  <si>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</si>
  <si>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</si>
  <si>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</si>
  <si>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</si>
  <si>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</si>
  <si>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</si>
  <si>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</si>
  <si>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</si>
  <si>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</si>
  <si>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</si>
  <si>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</si>
  <si>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</si>
  <si>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</si>
  <si>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</si>
  <si>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</si>
  <si>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</si>
  <si>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</si>
  <si>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</si>
  <si>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</si>
  <si>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</si>
  <si>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</si>
  <si>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</si>
  <si>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</si>
  <si>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</si>
  <si>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</si>
  <si>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</si>
  <si>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</si>
  <si>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</si>
  <si>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</si>
  <si>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</si>
  <si>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</si>
  <si>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</si>
  <si>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</si>
  <si>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</si>
  <si>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</si>
  <si>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</si>
  <si>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</si>
  <si>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</si>
  <si>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</si>
  <si>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</si>
  <si>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</si>
  <si>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</si>
  <si>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</si>
  <si>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</si>
  <si>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</si>
  <si>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</si>
  <si>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</si>
  <si>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</si>
  <si>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</si>
  <si>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</si>
  <si>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</si>
  <si>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</si>
  <si>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</si>
  <si>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</si>
  <si>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</si>
  <si>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</si>
  <si>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</si>
  <si>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</si>
  <si>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</si>
  <si>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</si>
  <si>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</si>
  <si>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</si>
  <si>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</si>
  <si>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</si>
  <si>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</si>
  <si>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</si>
  <si>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</si>
  <si>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</si>
  <si>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</si>
  <si>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</si>
  <si>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</si>
  <si>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</si>
  <si>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</si>
  <si>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</si>
  <si>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</si>
  <si>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</si>
  <si>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</si>
  <si>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</si>
  <si>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</si>
  <si>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</si>
  <si>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</si>
  <si>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</si>
  <si>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</si>
  <si>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</si>
  <si>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</si>
  <si>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</si>
  <si>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</si>
  <si>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</si>
  <si>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</si>
  <si>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</si>
  <si>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</si>
  <si>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</si>
  <si>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</si>
  <si>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</si>
  <si>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</si>
  <si>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</si>
  <si>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</si>
  <si>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</si>
  <si>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</si>
  <si>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</si>
  <si>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</si>
  <si>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</si>
  <si>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</si>
  <si>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</si>
  <si>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</si>
  <si>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</si>
  <si>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</si>
  <si>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</si>
  <si>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</si>
  <si>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</si>
  <si>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</si>
  <si>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</si>
  <si>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</si>
  <si>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</si>
  <si>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</si>
  <si>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</si>
  <si>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</si>
  <si>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</si>
  <si>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</si>
  <si>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</si>
  <si>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</si>
  <si>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</si>
  <si>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</si>
  <si>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</si>
  <si>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</si>
  <si>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</si>
  <si>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</si>
  <si>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</si>
  <si>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</si>
  <si>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</si>
  <si>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</si>
  <si>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</si>
  <si>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</si>
  <si>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</si>
  <si>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</si>
  <si>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</si>
  <si>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</si>
  <si>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</si>
  <si>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</si>
  <si>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</si>
  <si>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</si>
  <si>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</si>
  <si>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</si>
  <si>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</si>
  <si>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</si>
  <si>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</si>
  <si>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</si>
  <si>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</si>
  <si>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</si>
  <si>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</si>
  <si>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</si>
  <si>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</si>
  <si>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</si>
  <si>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</si>
  <si>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</si>
  <si>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</si>
  <si>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</si>
  <si>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</si>
  <si>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</si>
  <si>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</si>
  <si>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</si>
  <si>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</si>
  <si>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</si>
  <si>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</si>
  <si>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</si>
  <si>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</si>
  <si>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</si>
  <si>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</si>
  <si>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</si>
  <si>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</si>
  <si>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</si>
  <si>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</si>
  <si>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</si>
  <si>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</si>
  <si>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</si>
  <si>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</si>
  <si>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</si>
  <si>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</si>
  <si>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</si>
  <si>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</si>
  <si>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</si>
  <si>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</si>
  <si>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</si>
  <si>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</si>
  <si>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</si>
  <si>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</si>
  <si>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</si>
  <si>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</si>
  <si>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</si>
  <si>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</si>
  <si>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</si>
  <si>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</si>
  <si>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</si>
  <si>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</si>
  <si>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</si>
  <si>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</si>
  <si>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</si>
  <si>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</si>
  <si>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</si>
  <si>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</si>
  <si>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</si>
  <si>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</si>
  <si>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</si>
  <si>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</si>
  <si>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</si>
  <si>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</si>
  <si>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</si>
  <si>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</si>
  <si>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</si>
  <si>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</si>
  <si>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</si>
  <si>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</si>
  <si>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</si>
  <si>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</si>
  <si>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</si>
  <si>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</si>
  <si>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</si>
  <si>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</si>
  <si>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</si>
  <si>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</si>
  <si>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</si>
  <si>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</si>
  <si>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</si>
  <si>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</si>
  <si>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</si>
  <si>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</si>
  <si>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</si>
  <si>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</si>
  <si>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</si>
  <si>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</si>
  <si>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</si>
  <si>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</si>
  <si>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</si>
  <si>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</si>
  <si>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</si>
  <si>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</si>
  <si>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</si>
  <si>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</si>
  <si>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</si>
  <si>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</si>
  <si>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</si>
  <si>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</si>
  <si>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</si>
  <si>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</si>
  <si>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</si>
  <si>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</si>
  <si>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</si>
  <si>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</si>
  <si>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</si>
  <si>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</si>
  <si>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</si>
  <si>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</si>
  <si>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</si>
  <si>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</si>
  <si>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</si>
  <si>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</si>
  <si>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</si>
  <si>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</si>
  <si>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</si>
  <si>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</si>
  <si>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</si>
  <si>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</si>
  <si>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</si>
  <si>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</si>
  <si>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</si>
  <si>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</si>
  <si>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</si>
  <si>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</si>
  <si>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</si>
  <si>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</si>
  <si>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</si>
  <si>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</si>
  <si>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</si>
  <si>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</si>
  <si>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</si>
  <si>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</si>
  <si>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</si>
  <si>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</si>
  <si>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</si>
  <si>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</si>
  <si>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</si>
  <si>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</si>
  <si>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</si>
  <si>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</si>
  <si>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</si>
  <si>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</si>
  <si>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</si>
  <si>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</si>
  <si>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</si>
  <si>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</si>
  <si>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</si>
  <si>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</si>
  <si>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</si>
  <si>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</si>
  <si>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</si>
  <si>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</si>
  <si>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</si>
  <si>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</si>
  <si>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</si>
  <si>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</si>
  <si>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</si>
  <si>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</si>
  <si>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</si>
  <si>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</si>
  <si>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</si>
  <si>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</si>
  <si>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</si>
  <si>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</si>
  <si>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</si>
  <si>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</si>
  <si>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</si>
  <si>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</si>
  <si>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</si>
  <si>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</si>
  <si>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</si>
  <si>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</si>
  <si>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</si>
  <si>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</si>
  <si>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</si>
  <si>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</si>
  <si>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</si>
  <si>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</si>
  <si>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</si>
  <si>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</si>
  <si>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</si>
  <si>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</si>
  <si>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</si>
  <si>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</si>
  <si>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</si>
  <si>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</si>
  <si>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</si>
  <si>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</si>
  <si>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</si>
  <si>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</si>
  <si>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</si>
  <si>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</si>
  <si>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</si>
  <si>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</si>
  <si>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</si>
  <si>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</si>
  <si>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</si>
  <si>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</si>
  <si>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</si>
  <si>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</si>
  <si>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</si>
  <si>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</si>
  <si>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</si>
  <si>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</si>
  <si>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</si>
  <si>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</si>
  <si>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</si>
  <si>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</si>
  <si>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</si>
  <si>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</si>
  <si>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</si>
  <si>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</si>
  <si>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</si>
  <si>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</si>
  <si>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</si>
  <si>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</si>
  <si>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</si>
  <si>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</si>
  <si>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</si>
  <si>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</si>
  <si>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</si>
  <si>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</si>
  <si>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</si>
  <si>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</si>
  <si>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</si>
  <si>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</si>
  <si>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</si>
  <si>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</si>
  <si>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</si>
  <si>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</si>
  <si>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</si>
  <si>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</si>
  <si>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</si>
  <si>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</si>
  <si>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</si>
  <si>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</si>
  <si>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</si>
  <si>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</si>
  <si>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</si>
  <si>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</si>
  <si>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</si>
  <si>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</si>
  <si>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</si>
  <si>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</si>
  <si>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</si>
  <si>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</si>
  <si>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</si>
  <si>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</si>
  <si>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</si>
  <si>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</si>
  <si>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</si>
  <si>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</si>
  <si>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</si>
  <si>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</si>
  <si>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</si>
  <si>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</si>
  <si>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</si>
  <si>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</si>
  <si>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</si>
  <si>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</si>
  <si>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</si>
  <si>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</si>
  <si>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</si>
  <si>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</si>
  <si>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</si>
  <si>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</si>
  <si>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</si>
  <si>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</si>
  <si>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</si>
  <si>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</si>
  <si>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</si>
  <si>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</si>
  <si>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</si>
  <si>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</si>
  <si>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</si>
  <si>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</si>
  <si>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</si>
  <si>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</si>
  <si>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</si>
  <si>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</si>
  <si>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</si>
  <si>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</si>
  <si>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</si>
  <si>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</si>
  <si>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</si>
  <si>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</si>
  <si>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</si>
  <si>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</si>
  <si>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</si>
  <si>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</si>
  <si>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</si>
  <si>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</si>
  <si>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</si>
  <si>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</si>
  <si>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</si>
  <si>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</si>
  <si>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</si>
  <si>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</si>
  <si>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</si>
  <si>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</si>
  <si>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</si>
  <si>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</si>
  <si>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</si>
  <si>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</si>
  <si>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</si>
  <si>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</si>
  <si>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</si>
  <si>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</si>
  <si>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</si>
  <si>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</si>
  <si>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</si>
  <si>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</si>
  <si>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</si>
  <si>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</si>
  <si>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</si>
  <si>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</si>
  <si>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</si>
  <si>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</si>
  <si>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</si>
  <si>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</si>
  <si>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</si>
  <si>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</si>
  <si>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</si>
  <si>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</si>
  <si>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</si>
  <si>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</si>
  <si>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</si>
  <si>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</si>
  <si>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</si>
  <si>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</si>
  <si>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</si>
  <si>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</si>
  <si>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</si>
  <si>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</si>
  <si>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</si>
  <si>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</si>
  <si>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</si>
  <si>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</si>
  <si>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</si>
  <si>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</si>
  <si>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</si>
  <si>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</si>
  <si>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</si>
  <si>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</si>
  <si>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</si>
  <si>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</si>
  <si>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</si>
  <si>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</si>
  <si>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</si>
  <si>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</si>
  <si>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</si>
  <si>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</si>
  <si>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</si>
  <si>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</si>
  <si>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</si>
  <si>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</si>
  <si>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</si>
  <si>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</si>
  <si>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</si>
  <si>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</si>
  <si>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</si>
  <si>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</si>
  <si>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</si>
  <si>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</si>
  <si>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</si>
  <si>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</si>
  <si>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</si>
  <si>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</si>
  <si>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</si>
  <si>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</si>
  <si>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</si>
  <si>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</si>
  <si>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</si>
  <si>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</si>
  <si>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</si>
  <si>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</si>
  <si>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</si>
  <si>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</si>
  <si>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</si>
  <si>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</si>
  <si>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</si>
  <si>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</si>
  <si>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</si>
  <si>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</si>
  <si>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</si>
  <si>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</si>
  <si>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</si>
  <si>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</si>
  <si>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</si>
  <si>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</si>
  <si>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</si>
  <si>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</si>
  <si>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</si>
  <si>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</si>
  <si>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</si>
  <si>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</si>
  <si>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</si>
  <si>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</si>
  <si>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</si>
  <si>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</si>
  <si>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</si>
  <si>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</si>
  <si>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</si>
  <si>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</si>
  <si>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</si>
  <si>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</si>
  <si>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</si>
  <si>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</si>
  <si>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</si>
  <si>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</si>
  <si>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</si>
  <si>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</si>
  <si>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</si>
  <si>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</si>
  <si>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</si>
  <si>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</si>
  <si>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</si>
  <si>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</si>
  <si>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</si>
  <si>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</si>
  <si>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</si>
  <si>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</si>
  <si>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</si>
  <si>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</si>
  <si>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</si>
  <si>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</si>
  <si>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</si>
  <si>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</si>
  <si>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</si>
  <si>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</si>
  <si>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</si>
  <si>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</si>
  <si>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</si>
  <si>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</si>
  <si>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</si>
  <si>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</si>
  <si>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</si>
  <si>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</si>
  <si>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</si>
  <si>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</si>
  <si>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</si>
  <si>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</si>
  <si>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</si>
  <si>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</si>
  <si>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</si>
  <si>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</si>
  <si>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</si>
  <si>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</si>
  <si>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</si>
  <si>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</si>
  <si>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</si>
  <si>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</si>
  <si>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</si>
  <si>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</si>
  <si>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</si>
  <si>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</si>
  <si>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</si>
  <si>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</si>
  <si>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</si>
  <si>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</si>
  <si>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</si>
  <si>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</si>
  <si>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</si>
  <si>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</si>
  <si>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</si>
  <si>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</si>
  <si>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</si>
  <si>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</si>
  <si>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</si>
  <si>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</si>
  <si>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</si>
  <si>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</si>
  <si>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</si>
  <si>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</si>
  <si>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</si>
  <si>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</si>
  <si>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</si>
  <si>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</si>
  <si>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</si>
  <si>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</si>
  <si>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</si>
  <si>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</si>
  <si>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</si>
  <si>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</si>
  <si>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</si>
  <si>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</si>
  <si>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</si>
  <si>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</si>
  <si>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</si>
  <si>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</si>
  <si>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</si>
  <si>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</si>
  <si>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</si>
  <si>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</si>
  <si>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</si>
  <si>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</si>
  <si>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</si>
  <si>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</si>
  <si>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</si>
  <si>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</si>
  <si>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</si>
  <si>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</si>
  <si>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</si>
  <si>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</si>
  <si>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</si>
  <si>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</si>
  <si>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</si>
  <si>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</si>
  <si>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</si>
  <si>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</si>
  <si>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</si>
  <si>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</si>
  <si>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</si>
  <si>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</si>
  <si>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</si>
  <si>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</si>
  <si>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</si>
  <si>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</si>
  <si>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</si>
  <si>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</si>
  <si>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</si>
  <si>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</si>
  <si>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</si>
  <si>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</si>
  <si>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</si>
  <si>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</si>
  <si>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</si>
  <si>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</si>
  <si>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</si>
  <si>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</si>
  <si>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</si>
  <si>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</si>
  <si>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</si>
  <si>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</si>
  <si>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</si>
  <si>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</si>
  <si>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</si>
  <si>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</si>
  <si>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</si>
  <si>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</si>
  <si>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</si>
  <si>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</si>
  <si>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</si>
  <si>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</si>
  <si>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</si>
  <si>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</si>
  <si>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</si>
  <si>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</si>
  <si>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</si>
  <si>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</si>
  <si>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</si>
  <si>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</si>
  <si>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</si>
  <si>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</si>
  <si>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</si>
  <si>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</si>
  <si>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</si>
  <si>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</si>
  <si>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</si>
  <si>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</si>
  <si>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</si>
  <si>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</si>
  <si>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</si>
  <si>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</si>
  <si>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</si>
  <si>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</si>
  <si>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</si>
  <si>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</si>
  <si>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</si>
  <si>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</si>
  <si>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</si>
  <si>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</si>
  <si>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</si>
  <si>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</si>
  <si>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</si>
  <si>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</si>
  <si>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</si>
  <si>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</si>
  <si>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</si>
  <si>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</si>
  <si>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</si>
  <si>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</si>
  <si>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</si>
  <si>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</si>
  <si>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</si>
  <si>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</si>
  <si>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</si>
  <si>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</si>
  <si>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</si>
  <si>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</si>
  <si>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</si>
  <si>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</si>
  <si>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</si>
  <si>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</si>
  <si>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</si>
  <si>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</si>
  <si>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</si>
  <si>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</si>
  <si>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</si>
  <si>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</si>
  <si>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</si>
  <si>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</si>
  <si>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</si>
  <si>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</si>
  <si>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</si>
  <si>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</si>
  <si>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</si>
  <si>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</si>
  <si>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</si>
  <si>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</si>
  <si>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</si>
  <si>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</si>
  <si>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</si>
  <si>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</si>
  <si>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</si>
  <si>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</si>
  <si>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</si>
  <si>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</si>
  <si>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</si>
  <si>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</si>
  <si>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</si>
  <si>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</si>
  <si>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</si>
  <si>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</si>
  <si>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</si>
  <si>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</si>
  <si>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</si>
  <si>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</si>
  <si>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</si>
  <si>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</si>
  <si>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</si>
  <si>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</si>
  <si>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</si>
  <si>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</si>
  <si>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</si>
  <si>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</si>
  <si>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</si>
  <si>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</si>
  <si>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</si>
  <si>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</si>
  <si>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</si>
  <si>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</si>
  <si>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</si>
  <si>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</si>
  <si>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</si>
  <si>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</si>
  <si>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</si>
  <si>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</si>
  <si>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</si>
  <si>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</si>
  <si>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</si>
  <si>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</si>
  <si>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</si>
  <si>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</si>
  <si>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</si>
  <si>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</si>
  <si>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</si>
  <si>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</si>
  <si>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</si>
  <si>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</si>
  <si>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</si>
  <si>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</si>
  <si>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</si>
  <si>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</si>
  <si>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</si>
  <si>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</si>
  <si>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</si>
  <si>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</si>
  <si>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</si>
  <si>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</si>
  <si>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</si>
  <si>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</si>
  <si>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</si>
  <si>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</si>
  <si>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</si>
  <si>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</si>
  <si>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</si>
  <si>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</si>
  <si>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</si>
  <si>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</si>
  <si>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</si>
  <si>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</si>
  <si>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</si>
  <si>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</si>
  <si>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</si>
  <si>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</si>
  <si>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</si>
  <si>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</si>
  <si>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</si>
  <si>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</si>
  <si>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</si>
  <si>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</si>
  <si>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</si>
  <si>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</si>
  <si>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</si>
  <si>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</si>
  <si>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</si>
  <si>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</si>
  <si>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</si>
  <si>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</si>
  <si>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</si>
  <si>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</si>
  <si>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</si>
  <si>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</si>
  <si>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</si>
  <si>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</si>
  <si>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</si>
  <si>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</si>
  <si>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</si>
  <si>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</si>
  <si>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</si>
  <si>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</si>
  <si>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</si>
  <si>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</si>
  <si>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</si>
  <si>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</si>
  <si>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</si>
  <si>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</si>
  <si>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</si>
  <si>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</si>
  <si>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</si>
  <si>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</si>
  <si>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</si>
  <si>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</si>
  <si>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</si>
  <si>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</si>
  <si>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</si>
  <si>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</si>
  <si>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</si>
  <si>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</si>
  <si>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</si>
  <si>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</si>
  <si>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</si>
  <si>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</si>
  <si>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</si>
  <si>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</si>
  <si>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</si>
  <si>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</si>
  <si>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</si>
  <si>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</si>
  <si>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</si>
  <si>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</si>
  <si>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</si>
  <si>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</si>
  <si>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</si>
  <si>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</si>
  <si>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</si>
  <si>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</si>
  <si>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</si>
  <si>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</si>
  <si>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</si>
  <si>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</si>
  <si>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</si>
  <si>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</si>
  <si>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</si>
  <si>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</si>
  <si>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</si>
  <si>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</si>
  <si>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</si>
  <si>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</si>
  <si>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</si>
  <si>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</si>
  <si>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</si>
  <si>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</si>
  <si>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</si>
  <si>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</si>
  <si>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</si>
  <si>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</si>
  <si>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</si>
  <si>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</si>
  <si>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</si>
  <si>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</si>
  <si>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</si>
  <si>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</si>
  <si>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</si>
  <si>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</si>
  <si>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</si>
  <si>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</si>
  <si>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</si>
  <si>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</si>
  <si>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</si>
  <si>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</si>
  <si>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</si>
  <si>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</si>
  <si>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</si>
  <si>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</si>
  <si>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</si>
  <si>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</si>
  <si>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</si>
  <si>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</si>
  <si>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</si>
  <si>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</si>
  <si>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</si>
  <si>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</si>
  <si>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</si>
  <si>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</si>
  <si>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</si>
  <si>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</si>
  <si>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</si>
  <si>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</si>
  <si>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</si>
  <si>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</si>
  <si>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</si>
  <si>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</si>
  <si>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</si>
  <si>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</si>
  <si>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</si>
  <si>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</si>
  <si>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</si>
  <si>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</si>
  <si>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</si>
  <si>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</si>
  <si>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</si>
  <si>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</si>
  <si>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</si>
  <si>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</si>
  <si>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</si>
  <si>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</si>
  <si>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</si>
  <si>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</si>
  <si>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</si>
  <si>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</si>
  <si>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</si>
  <si>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</si>
  <si>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</si>
  <si>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</si>
  <si>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</si>
  <si>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</si>
  <si>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</si>
  <si>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</si>
  <si>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</si>
  <si>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</si>
  <si>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</si>
  <si>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</si>
  <si>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</si>
  <si>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</si>
  <si>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</si>
  <si>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</si>
  <si>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</si>
  <si>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</si>
  <si>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</si>
  <si>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</si>
  <si>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</si>
  <si>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</si>
  <si>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</si>
  <si>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</si>
  <si>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</si>
  <si>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</si>
  <si>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</si>
  <si>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</si>
  <si>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</si>
  <si>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</si>
  <si>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</si>
  <si>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</si>
  <si>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</si>
  <si>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</si>
  <si>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</si>
  <si>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</si>
  <si>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</si>
  <si>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</si>
  <si>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</si>
  <si>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</si>
  <si>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</si>
  <si>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</si>
  <si>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</si>
  <si>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</si>
  <si>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</si>
  <si>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</si>
  <si>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</si>
  <si>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</si>
  <si>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</si>
  <si>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</si>
  <si>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</si>
  <si>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</si>
  <si>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</si>
  <si>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</si>
  <si>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</si>
  <si>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</si>
  <si>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</si>
  <si>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</si>
  <si>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</si>
  <si>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</si>
  <si>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</si>
  <si>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</si>
  <si>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</si>
  <si>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</si>
  <si>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</si>
  <si>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</si>
  <si>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</si>
  <si>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</si>
  <si>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</si>
  <si>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</si>
  <si>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</si>
  <si>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</si>
  <si>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</si>
  <si>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</si>
  <si>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</si>
  <si>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</si>
  <si>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</si>
  <si>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</si>
  <si>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</si>
  <si>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</si>
  <si>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</si>
  <si>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</si>
  <si>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</si>
  <si>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</si>
  <si>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</si>
  <si>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</si>
  <si>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</si>
  <si>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</si>
  <si>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</si>
  <si>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</si>
  <si>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</si>
  <si>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</si>
  <si>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</si>
  <si>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</si>
  <si>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</si>
  <si>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</si>
  <si>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</si>
  <si>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</si>
  <si>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</si>
  <si>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</si>
  <si>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</si>
  <si>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</si>
  <si>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</si>
  <si>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</si>
  <si>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</si>
  <si>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</si>
  <si>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</si>
  <si>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</si>
  <si>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</si>
  <si>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</si>
  <si>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</si>
  <si>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</si>
  <si>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</si>
  <si>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</si>
  <si>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</si>
  <si>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</si>
  <si>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</si>
  <si>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</si>
  <si>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</si>
  <si>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</si>
  <si>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</si>
  <si>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</si>
  <si>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</si>
  <si>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</si>
  <si>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</si>
  <si>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</si>
  <si>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</si>
  <si>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</si>
  <si>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</si>
  <si>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</si>
  <si>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</si>
  <si>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</si>
  <si>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</si>
  <si>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</si>
  <si>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</si>
  <si>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</si>
  <si>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</si>
  <si>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</si>
  <si>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</si>
  <si>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</si>
  <si>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</si>
  <si>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</si>
  <si>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</si>
  <si>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</si>
  <si>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</si>
  <si>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</si>
  <si>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</si>
  <si>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</si>
  <si>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</si>
  <si>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</si>
  <si>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</si>
  <si>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</si>
  <si>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</si>
  <si>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</si>
  <si>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</si>
  <si>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</si>
  <si>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</si>
  <si>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</si>
  <si>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</si>
  <si>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</si>
  <si>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</si>
  <si>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</si>
  <si>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</si>
  <si>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</si>
  <si>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</si>
  <si>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</si>
  <si>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</si>
  <si>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</si>
  <si>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</si>
  <si>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</si>
  <si>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</si>
  <si>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</si>
  <si>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</si>
  <si>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</si>
  <si>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</si>
  <si>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</si>
  <si>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</si>
  <si>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</si>
  <si>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</si>
  <si>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</si>
  <si>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</si>
  <si>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</si>
  <si>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</si>
  <si>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</si>
  <si>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</si>
  <si>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</si>
  <si>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</si>
  <si>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</si>
  <si>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</si>
  <si>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</si>
  <si>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</si>
  <si>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</si>
  <si>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</si>
  <si>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</si>
  <si>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</si>
  <si>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</si>
  <si>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</si>
  <si>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</si>
  <si>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</si>
  <si>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</si>
  <si>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</si>
  <si>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</si>
  <si>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</si>
  <si>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</si>
  <si>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</si>
  <si>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</si>
  <si>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</si>
  <si>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</si>
  <si>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</si>
  <si>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</si>
  <si>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</si>
  <si>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</si>
  <si>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</si>
  <si>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</si>
  <si>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</si>
  <si>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</si>
  <si>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</si>
  <si>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</si>
  <si>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</si>
  <si>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</si>
  <si>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</si>
  <si>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</si>
  <si>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</si>
  <si>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</si>
  <si>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</si>
  <si>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</si>
  <si>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</si>
  <si>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</si>
  <si>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</si>
  <si>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</si>
  <si>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</si>
  <si>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</si>
  <si>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</si>
  <si>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</si>
  <si>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</si>
  <si>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</si>
  <si>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</si>
  <si>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</si>
  <si>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</si>
  <si>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</si>
  <si>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</si>
  <si>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</si>
  <si>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</si>
  <si>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</si>
  <si>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</si>
  <si>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</si>
  <si>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</si>
  <si>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</si>
  <si>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</si>
  <si>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</si>
  <si>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</si>
  <si>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</si>
  <si>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</si>
  <si>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</si>
  <si>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</si>
  <si>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</si>
  <si>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</si>
  <si>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</si>
  <si>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</si>
  <si>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</si>
  <si>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</si>
  <si>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</si>
  <si>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</si>
  <si>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</si>
  <si>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</si>
  <si>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</si>
  <si>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</si>
  <si>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</si>
  <si>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</si>
  <si>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</si>
  <si>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</si>
  <si>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</si>
  <si>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</si>
  <si>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</si>
  <si>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</si>
  <si>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</si>
  <si>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</si>
  <si>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</si>
  <si>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</si>
  <si>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</si>
  <si>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</si>
  <si>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</si>
  <si>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</si>
  <si>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</si>
  <si>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</si>
  <si>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</si>
  <si>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</si>
  <si>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</si>
  <si>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</si>
  <si>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</si>
  <si>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</si>
  <si>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</si>
  <si>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</si>
  <si>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</si>
  <si>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</si>
  <si>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</si>
  <si>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</si>
  <si>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</si>
  <si>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</si>
  <si>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</si>
  <si>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</si>
  <si>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</si>
  <si>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</si>
  <si>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</si>
  <si>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</si>
  <si>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</si>
  <si>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</si>
  <si>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</si>
  <si>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</si>
  <si>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</si>
  <si>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</si>
  <si>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</si>
  <si>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</si>
  <si>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</si>
  <si>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</si>
  <si>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</si>
  <si>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</si>
  <si>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</si>
  <si>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</si>
  <si>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</si>
  <si>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</si>
  <si>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</si>
  <si>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</si>
  <si>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</si>
  <si>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</si>
  <si>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</si>
  <si>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</si>
  <si>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</si>
  <si>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</si>
  <si>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</si>
  <si>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</si>
  <si>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</si>
  <si>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</si>
  <si>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</si>
  <si>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</si>
  <si>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</si>
  <si>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</si>
  <si>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</si>
  <si>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</si>
  <si>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</si>
  <si>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</si>
  <si>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</si>
  <si>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</si>
  <si>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</si>
  <si>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</si>
  <si>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</si>
  <si>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</si>
  <si>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</si>
  <si>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</si>
  <si>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</si>
  <si>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</si>
  <si>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</si>
  <si>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</si>
  <si>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</si>
  <si>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</si>
  <si>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</si>
  <si>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</si>
  <si>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</si>
  <si>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</si>
  <si>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</si>
  <si>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</si>
  <si>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</si>
  <si>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</si>
  <si>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</si>
  <si>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</si>
  <si>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</si>
  <si>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</si>
  <si>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</si>
  <si>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</si>
  <si>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</si>
  <si>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</si>
  <si>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</si>
  <si>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</si>
  <si>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</si>
  <si>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</si>
  <si>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</si>
  <si>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</si>
  <si>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</si>
  <si>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</si>
  <si>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</si>
  <si>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</si>
  <si>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</si>
  <si>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</si>
  <si>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</si>
  <si>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</si>
  <si>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</si>
  <si>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</si>
  <si>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</si>
  <si>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</si>
  <si>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</si>
  <si>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</si>
  <si>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</si>
  <si>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</si>
  <si>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</si>
  <si>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</si>
  <si>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</si>
  <si>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</si>
  <si>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</si>
  <si>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</si>
  <si>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</si>
  <si>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</si>
  <si>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</si>
  <si>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</si>
  <si>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</si>
  <si>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</si>
  <si>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</si>
  <si>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</si>
  <si>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</si>
  <si>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</si>
  <si>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</si>
  <si>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</si>
  <si>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</si>
  <si>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</si>
  <si>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</si>
  <si>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</si>
  <si>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</si>
  <si>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</si>
  <si>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</si>
  <si>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</si>
  <si>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</si>
  <si>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</si>
  <si>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</si>
  <si>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</si>
  <si>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</si>
  <si>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</si>
  <si>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</si>
  <si>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</si>
  <si>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</si>
  <si>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</si>
  <si>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</si>
  <si>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</si>
  <si>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</si>
  <si>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</si>
  <si>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</si>
  <si>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</si>
  <si>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</si>
  <si>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</si>
  <si>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</si>
  <si>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</si>
  <si>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</si>
  <si>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</si>
  <si>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</si>
  <si>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</si>
  <si>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</si>
  <si>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</si>
  <si>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</si>
  <si>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</si>
  <si>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</si>
  <si>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</si>
  <si>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</si>
  <si>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</si>
  <si>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</si>
  <si>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</si>
  <si>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</si>
  <si>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</si>
  <si>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</si>
  <si>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</si>
  <si>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</si>
  <si>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</si>
  <si>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</si>
  <si>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</si>
  <si>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</si>
  <si>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</si>
  <si>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</si>
  <si>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</si>
  <si>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</si>
  <si>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</si>
  <si>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</si>
  <si>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</si>
  <si>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</si>
  <si>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</si>
  <si>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</si>
  <si>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</si>
  <si>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</si>
  <si>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</si>
  <si>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</si>
  <si>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</si>
  <si>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</si>
  <si>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</si>
  <si>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</si>
  <si>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</si>
  <si>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</si>
  <si>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</si>
  <si>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</si>
  <si>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</si>
  <si>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</si>
  <si>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</si>
  <si>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</si>
  <si>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</si>
  <si>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</si>
  <si>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</si>
  <si>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</si>
  <si>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</si>
  <si>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</si>
  <si>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</si>
  <si>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</si>
  <si>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</si>
  <si>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</si>
  <si>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</si>
  <si>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</si>
  <si>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</si>
  <si>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</si>
  <si>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</si>
  <si>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</si>
  <si>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</si>
  <si>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</si>
  <si>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</si>
  <si>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</si>
  <si>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</si>
  <si>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</si>
  <si>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</si>
  <si>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</si>
  <si>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</si>
  <si>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</si>
  <si>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</si>
  <si>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</si>
  <si>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</si>
  <si>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</si>
  <si>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</si>
  <si>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</si>
  <si>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</si>
  <si>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</si>
  <si>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</si>
  <si>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</si>
  <si>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</si>
  <si>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</si>
  <si>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</si>
  <si>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</si>
  <si>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</si>
  <si>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</si>
  <si>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</si>
  <si>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</si>
  <si>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</si>
  <si>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</si>
  <si>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</si>
  <si>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</si>
  <si>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</si>
  <si>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</si>
  <si>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</si>
  <si>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</si>
  <si>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</si>
  <si>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</si>
  <si>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</si>
  <si>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</si>
  <si>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</si>
  <si>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</si>
  <si>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</si>
  <si>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</si>
  <si>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</si>
  <si>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</si>
  <si>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</si>
  <si>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</si>
  <si>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</si>
  <si>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</si>
  <si>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</si>
  <si>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</si>
  <si>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</si>
  <si>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</si>
  <si>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</si>
  <si>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</si>
  <si>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</si>
  <si>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</si>
  <si>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</si>
  <si>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</si>
  <si>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</si>
  <si>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</si>
  <si>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</si>
  <si>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</si>
  <si>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</si>
  <si>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</si>
  <si>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</si>
  <si>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</si>
  <si>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</si>
  <si>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</si>
  <si>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</si>
  <si>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</si>
  <si>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</si>
  <si>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</si>
  <si>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</si>
  <si>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</si>
  <si>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</si>
  <si>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</si>
  <si>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</si>
  <si>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</si>
  <si>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</si>
  <si>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</si>
  <si>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</si>
  <si>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</si>
  <si>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</si>
  <si>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</si>
  <si>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</si>
  <si>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</si>
  <si>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</si>
  <si>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</si>
  <si>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</si>
  <si>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</si>
  <si>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</si>
  <si>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</si>
  <si>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</si>
  <si>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</si>
  <si>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</si>
  <si>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</si>
  <si>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</si>
  <si>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</si>
  <si>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</si>
  <si>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</si>
  <si>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</si>
  <si>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</si>
  <si>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</si>
  <si>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</si>
  <si>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</si>
  <si>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</si>
  <si>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</si>
  <si>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</si>
  <si>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</si>
  <si>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</si>
  <si>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</si>
  <si>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</si>
  <si>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</si>
  <si>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</si>
  <si>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</si>
  <si>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</si>
  <si>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</si>
  <si>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</si>
  <si>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</si>
  <si>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</si>
  <si>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</si>
  <si>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</si>
  <si>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</si>
  <si>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</si>
  <si>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</si>
  <si>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</si>
  <si>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</si>
  <si>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</si>
  <si>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</si>
  <si>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</si>
  <si>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</si>
  <si>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</si>
  <si>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</si>
  <si>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</si>
  <si>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</si>
  <si>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</si>
  <si>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</si>
  <si>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</si>
  <si>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</si>
  <si>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</si>
  <si>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</si>
  <si>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</si>
  <si>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</si>
  <si>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</si>
  <si>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</si>
  <si>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</si>
  <si>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</si>
  <si>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</si>
  <si>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</si>
  <si>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</si>
  <si>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</si>
  <si>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</si>
  <si>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</si>
  <si>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</si>
  <si>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</si>
  <si>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</si>
  <si>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</si>
  <si>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</si>
  <si>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</si>
  <si>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</si>
  <si>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</si>
  <si>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</si>
  <si>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</si>
  <si>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</si>
  <si>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</si>
  <si>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</si>
  <si>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</si>
  <si>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</si>
  <si>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</si>
  <si>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</si>
  <si>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</si>
  <si>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</si>
  <si>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</si>
  <si>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</si>
  <si>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</si>
  <si>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</si>
  <si>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</si>
  <si>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</si>
  <si>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</si>
  <si>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</si>
  <si>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</si>
  <si>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</si>
  <si>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</si>
  <si>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</si>
  <si>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</si>
  <si>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</si>
  <si>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</si>
  <si>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</si>
  <si>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</si>
  <si>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</si>
  <si>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</si>
  <si>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</si>
  <si>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</si>
  <si>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</si>
  <si>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</si>
  <si>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</si>
  <si>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</si>
  <si>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</si>
  <si>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</si>
  <si>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</si>
  <si>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</si>
  <si>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</si>
  <si>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</si>
  <si>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</si>
  <si>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</si>
  <si>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</si>
  <si>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</si>
  <si>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</si>
  <si>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</si>
  <si>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</si>
  <si>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</si>
  <si>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</si>
  <si>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</si>
  <si>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</si>
  <si>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</si>
  <si>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</si>
  <si>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</si>
  <si>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</si>
  <si>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</si>
  <si>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</si>
  <si>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</si>
  <si>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</si>
  <si>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</si>
  <si>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</si>
  <si>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</si>
  <si>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</si>
  <si>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</si>
  <si>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</si>
  <si>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</si>
  <si>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</si>
  <si>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</si>
  <si>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</si>
  <si>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</si>
  <si>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</si>
  <si>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</si>
  <si>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</si>
  <si>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</si>
  <si>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</si>
  <si>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</si>
  <si>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</si>
  <si>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</si>
  <si>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</si>
  <si>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</si>
  <si>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</si>
  <si>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</si>
  <si>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</si>
  <si>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</si>
  <si>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</si>
  <si>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</si>
  <si>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</si>
  <si>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</si>
  <si>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</si>
  <si>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</si>
  <si>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</si>
  <si>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</si>
  <si>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</si>
  <si>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</si>
  <si>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</si>
  <si>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</si>
  <si>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</si>
  <si>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</si>
  <si>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</si>
  <si>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</si>
  <si>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</si>
  <si>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</si>
  <si>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</si>
  <si>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</si>
  <si>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</si>
  <si>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</si>
  <si>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</si>
  <si>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</si>
  <si>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</si>
  <si>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</si>
  <si>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</si>
  <si>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</si>
  <si>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</si>
  <si>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</si>
  <si>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</si>
  <si>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</si>
  <si>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</si>
  <si>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</si>
  <si>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</si>
  <si>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</si>
  <si>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</si>
  <si>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</si>
  <si>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</si>
  <si>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</si>
  <si>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</si>
  <si>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</si>
  <si>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</si>
  <si>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</si>
  <si>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</si>
  <si>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</si>
  <si>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</si>
  <si>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</si>
  <si>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</si>
  <si>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</si>
  <si>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</si>
  <si>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</si>
  <si>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</si>
  <si>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</si>
  <si>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</si>
  <si>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</si>
  <si>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</si>
  <si>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</si>
  <si>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</si>
  <si>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</si>
  <si>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</si>
  <si>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</si>
  <si>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</si>
  <si>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</si>
  <si>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</si>
  <si>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</si>
  <si>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</si>
  <si>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</si>
  <si>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</si>
  <si>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</si>
  <si>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</si>
  <si>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</si>
  <si>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</si>
  <si>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</si>
  <si>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</si>
  <si>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</si>
  <si>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</si>
  <si>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</si>
  <si>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</si>
  <si>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</si>
  <si>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</si>
  <si>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</si>
  <si>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</si>
  <si>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</si>
  <si>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</si>
  <si>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</si>
  <si>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</si>
  <si>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</si>
  <si>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</si>
  <si>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</si>
  <si>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</si>
  <si>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</si>
  <si>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</si>
  <si>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</si>
  <si>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</si>
  <si>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</si>
  <si>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</si>
  <si>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</si>
  <si>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</si>
  <si>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</si>
  <si>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</si>
  <si>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</si>
  <si>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</si>
  <si>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</si>
  <si>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</si>
  <si>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</si>
  <si>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</si>
  <si>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</si>
  <si>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</si>
  <si>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</si>
  <si>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</si>
  <si>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</si>
  <si>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</si>
  <si>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</si>
  <si>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</si>
  <si>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</si>
  <si>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</si>
  <si>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</si>
  <si>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</si>
  <si>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</si>
  <si>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</si>
  <si>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</si>
  <si>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</si>
  <si>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</si>
  <si>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</si>
  <si>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</si>
  <si>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</si>
  <si>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</si>
  <si>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</si>
  <si>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</si>
  <si>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</si>
  <si>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</si>
  <si>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</si>
  <si>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</si>
  <si>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</si>
  <si>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</si>
  <si>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</si>
  <si>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</si>
  <si>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</si>
  <si>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</si>
  <si>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</si>
  <si>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</si>
  <si>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</si>
  <si>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</si>
  <si>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</si>
  <si>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</si>
  <si>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</si>
  <si>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</si>
  <si>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</si>
  <si>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</si>
  <si>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</si>
  <si>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</si>
  <si>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</si>
  <si>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</si>
  <si>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</si>
  <si>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</si>
  <si>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</si>
  <si>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</si>
  <si>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</si>
  <si>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</si>
  <si>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</si>
  <si>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</si>
  <si>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</si>
  <si>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</si>
  <si>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</si>
  <si>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</si>
  <si>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</si>
  <si>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</si>
  <si>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</si>
  <si>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</si>
  <si>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</si>
  <si>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</si>
  <si>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</si>
  <si>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</si>
  <si>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</si>
  <si>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</si>
  <si>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</si>
  <si>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</si>
  <si>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</si>
  <si>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</si>
  <si>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</si>
  <si>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</si>
  <si>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</si>
  <si>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</si>
  <si>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</si>
  <si>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</si>
  <si>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</si>
  <si>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</si>
  <si>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</si>
  <si>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</si>
  <si>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</si>
  <si>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</si>
  <si>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</si>
  <si>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</si>
  <si>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</si>
  <si>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</si>
  <si>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</si>
  <si>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</si>
  <si>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</si>
  <si>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</si>
  <si>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</si>
  <si>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</si>
  <si>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</si>
  <si>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</si>
  <si>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</si>
  <si>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</si>
  <si>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</si>
  <si>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</si>
  <si>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</si>
  <si>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</si>
  <si>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</si>
  <si>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</si>
  <si>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</si>
  <si>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</si>
  <si>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</si>
  <si>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</si>
  <si>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</si>
  <si>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</si>
  <si>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</si>
  <si>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</si>
  <si>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</si>
  <si>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</si>
  <si>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</si>
  <si>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</si>
  <si>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</si>
  <si>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</si>
  <si>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</si>
  <si>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</si>
  <si>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</si>
  <si>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</si>
  <si>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</si>
  <si>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</si>
  <si>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</si>
  <si>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</si>
  <si>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</si>
  <si>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</si>
  <si>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</si>
  <si>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</si>
  <si>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</si>
  <si>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</si>
  <si>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</si>
  <si>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</si>
  <si>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</si>
  <si>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</si>
  <si>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</si>
  <si>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</si>
  <si>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</si>
  <si>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</si>
  <si>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</si>
  <si>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</si>
  <si>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</si>
  <si>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</si>
  <si>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</si>
  <si>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</si>
  <si>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</si>
  <si>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</si>
  <si>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</si>
  <si>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</si>
  <si>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</si>
  <si>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</si>
  <si>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</si>
  <si>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</si>
  <si>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</si>
  <si>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</si>
  <si>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</si>
  <si>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</si>
  <si>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</si>
  <si>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</si>
  <si>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</si>
  <si>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</si>
  <si>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</si>
  <si>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</si>
  <si>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</si>
  <si>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</si>
  <si>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</si>
  <si>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</si>
  <si>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</si>
  <si>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</si>
  <si>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</si>
  <si>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</si>
  <si>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</si>
  <si>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</si>
  <si>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</si>
  <si>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</si>
  <si>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</si>
  <si>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</si>
  <si>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</si>
  <si>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</si>
  <si>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</si>
  <si>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</si>
  <si>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</si>
  <si>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</si>
  <si>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</si>
  <si>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</si>
  <si>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</si>
  <si>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</si>
  <si>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</si>
  <si>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</si>
  <si>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</si>
  <si>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</si>
  <si>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</si>
  <si>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</si>
  <si>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</si>
  <si>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</si>
  <si>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</si>
  <si>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</si>
  <si>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</si>
  <si>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</si>
  <si>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</si>
  <si>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</si>
  <si>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</si>
  <si>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</si>
  <si>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</si>
  <si>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</si>
  <si>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</si>
  <si>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</si>
  <si>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</si>
  <si>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</si>
  <si>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</si>
  <si>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</si>
  <si>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</si>
  <si>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</si>
  <si>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</si>
  <si>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</si>
  <si>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</si>
  <si>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</si>
  <si>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</si>
  <si>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</si>
  <si>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</si>
  <si>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</si>
  <si>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</si>
  <si>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</si>
  <si>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</si>
  <si>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</si>
  <si>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</si>
  <si>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</si>
  <si>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</si>
  <si>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</si>
  <si>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</si>
  <si>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</si>
  <si>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</si>
  <si>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</si>
  <si>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</si>
  <si>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</si>
  <si>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</si>
  <si>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</si>
  <si>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</si>
  <si>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</si>
  <si>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</si>
  <si>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</si>
  <si>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</si>
  <si>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</si>
  <si>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</si>
  <si>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</si>
  <si>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</si>
  <si>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</si>
  <si>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</si>
  <si>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</si>
  <si>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</si>
  <si>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</si>
  <si>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</si>
  <si>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</si>
  <si>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</si>
  <si>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</si>
  <si>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</si>
  <si>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</si>
  <si>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</si>
  <si>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</si>
  <si>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</si>
  <si>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</si>
  <si>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</si>
  <si>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</si>
  <si>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</si>
  <si>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</si>
  <si>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</si>
  <si>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</si>
  <si>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</si>
  <si>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</si>
  <si>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</si>
  <si>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</si>
  <si>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</si>
  <si>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</si>
  <si>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</si>
  <si>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</si>
  <si>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</si>
  <si>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</si>
  <si>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</si>
  <si>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</si>
  <si>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</si>
  <si>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</si>
  <si>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</si>
  <si>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</si>
  <si>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</si>
  <si>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</si>
  <si>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</si>
  <si>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</si>
  <si>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</si>
  <si>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</si>
  <si>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</si>
  <si>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</si>
  <si>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</si>
  <si>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</si>
  <si>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</si>
  <si>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</si>
  <si>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</si>
  <si>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</si>
  <si>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</si>
  <si>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</si>
  <si>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</si>
  <si>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</si>
  <si>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</si>
  <si>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</si>
  <si>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</si>
  <si>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</si>
  <si>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</si>
  <si>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</si>
  <si>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</si>
  <si>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</si>
  <si>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</si>
  <si>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</si>
  <si>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</si>
  <si>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</si>
  <si>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</si>
  <si>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</si>
  <si>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</si>
  <si>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</si>
  <si>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</si>
  <si>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</si>
  <si>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</si>
  <si>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</si>
  <si>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</si>
  <si>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</si>
  <si>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</si>
  <si>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</si>
  <si>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</si>
  <si>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</si>
  <si>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</si>
  <si>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</si>
  <si>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</si>
  <si>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</si>
  <si>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</si>
  <si>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</si>
  <si>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</si>
  <si>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</si>
  <si>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</si>
  <si>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</si>
  <si>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</si>
  <si>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</si>
  <si>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</si>
  <si>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</si>
  <si>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</si>
  <si>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</si>
  <si>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</si>
  <si>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</si>
  <si>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</si>
  <si>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</si>
  <si>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</si>
  <si>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</si>
  <si>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</si>
  <si>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</si>
  <si>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</si>
  <si>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</si>
  <si>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</si>
  <si>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</si>
  <si>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</si>
  <si>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</si>
  <si>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</si>
  <si>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</si>
  <si>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</si>
  <si>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</si>
  <si>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</si>
  <si>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</si>
  <si>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</si>
  <si>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</si>
  <si>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</si>
  <si>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</si>
  <si>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</si>
  <si>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</si>
  <si>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</si>
  <si>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</si>
  <si>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</si>
  <si>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</si>
  <si>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</si>
  <si>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</si>
  <si>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</si>
  <si>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</si>
  <si>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</si>
  <si>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</si>
  <si>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</si>
  <si>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</si>
  <si>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</si>
  <si>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</si>
  <si>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</si>
  <si>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</si>
  <si>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</si>
  <si>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</si>
  <si>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</si>
  <si>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</si>
  <si>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</si>
  <si>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</si>
  <si>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</si>
  <si>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</si>
  <si>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</si>
  <si>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</si>
  <si>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</si>
  <si>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</si>
  <si>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</si>
  <si>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</si>
  <si>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</si>
  <si>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</si>
  <si>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</si>
  <si>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</si>
  <si>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</si>
  <si>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</si>
  <si>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</si>
  <si>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</si>
  <si>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</si>
  <si>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</si>
  <si>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</si>
  <si>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</si>
  <si>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</si>
  <si>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</si>
  <si>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</si>
  <si>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</si>
  <si>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</si>
  <si>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</si>
  <si>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</si>
  <si>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</si>
  <si>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</si>
  <si>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</si>
  <si>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</si>
  <si>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</si>
  <si>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</si>
  <si>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</si>
  <si>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</si>
  <si>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</si>
  <si>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</si>
  <si>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</si>
  <si>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</si>
  <si>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</si>
  <si>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</si>
  <si>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</si>
  <si>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</si>
  <si>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</si>
  <si>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</si>
  <si>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</si>
  <si>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</si>
  <si>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</si>
  <si>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</si>
  <si>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</si>
  <si>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</si>
  <si>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</si>
  <si>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</si>
  <si>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</si>
  <si>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</si>
  <si>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</si>
  <si>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</si>
  <si>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</si>
  <si>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</si>
  <si>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</si>
  <si>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</si>
  <si>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</si>
  <si>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</si>
  <si>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</si>
  <si>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</si>
  <si>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</si>
  <si>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</si>
  <si>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</si>
  <si>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</si>
  <si>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</si>
  <si>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</si>
  <si>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</si>
  <si>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</si>
  <si>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</si>
  <si>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</si>
  <si>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</si>
  <si>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</si>
  <si>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</si>
  <si>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</si>
  <si>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</si>
  <si>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</si>
  <si>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</si>
  <si>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</si>
  <si>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</si>
  <si>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</si>
  <si>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</si>
  <si>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</si>
  <si>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</si>
  <si>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</si>
  <si>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</si>
  <si>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</si>
  <si>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</si>
  <si>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</si>
  <si>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</si>
  <si>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</si>
  <si>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</si>
  <si>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</si>
  <si>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</si>
  <si>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</si>
  <si>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</si>
  <si>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</si>
  <si>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</si>
  <si>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</si>
  <si>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</si>
  <si>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</si>
  <si>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</si>
  <si>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</si>
  <si>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</si>
  <si>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</si>
  <si>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</si>
  <si>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</si>
  <si>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</si>
  <si>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</si>
  <si>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</si>
  <si>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</si>
  <si>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</si>
  <si>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</si>
  <si>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</si>
  <si>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</si>
  <si>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</si>
  <si>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</si>
  <si>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</si>
  <si>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</si>
  <si>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</si>
  <si>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</si>
  <si>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</si>
  <si>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</si>
  <si>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</si>
  <si>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</si>
  <si>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</si>
  <si>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</si>
  <si>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</si>
  <si>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</si>
  <si>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</si>
  <si>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</si>
  <si>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</si>
  <si>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</si>
  <si>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</si>
  <si>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</si>
  <si>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</si>
  <si>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</si>
  <si>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</si>
  <si>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</si>
  <si>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</si>
  <si>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</si>
  <si>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</si>
  <si>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</si>
  <si>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</si>
  <si>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</si>
  <si>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</si>
  <si>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</si>
  <si>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</si>
  <si>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</si>
  <si>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</si>
  <si>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</si>
  <si>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</si>
  <si>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</si>
  <si>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</si>
  <si>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</si>
  <si>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</si>
  <si>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</si>
  <si>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</si>
  <si>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</si>
  <si>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</si>
  <si>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</si>
  <si>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</si>
  <si>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</si>
  <si>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</si>
  <si>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</si>
  <si>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</si>
  <si>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</si>
  <si>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</si>
  <si>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</si>
  <si>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</si>
  <si>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</si>
  <si>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</si>
  <si>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</si>
  <si>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</si>
  <si>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</si>
  <si>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</si>
  <si>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</si>
  <si>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</si>
  <si>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</si>
  <si>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</si>
  <si>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</si>
  <si>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</si>
  <si>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</si>
  <si>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</si>
  <si>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</si>
  <si>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</si>
  <si>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</si>
  <si>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</si>
  <si>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</si>
  <si>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</si>
  <si>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</si>
  <si>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</si>
  <si>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</si>
  <si>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</si>
  <si>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</si>
  <si>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</si>
  <si>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</si>
  <si>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</si>
  <si>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</si>
  <si>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</si>
  <si>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</si>
  <si>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</si>
  <si>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</si>
  <si>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</si>
  <si>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</si>
  <si>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</si>
  <si>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</si>
  <si>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</si>
  <si>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</si>
  <si>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</si>
  <si>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</si>
  <si>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</si>
  <si>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</si>
  <si>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</si>
  <si>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</si>
  <si>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</si>
  <si>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</si>
  <si>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</si>
  <si>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</si>
  <si>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</si>
  <si>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</si>
  <si>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</si>
  <si>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</si>
  <si>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</si>
  <si>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</si>
  <si>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</si>
  <si>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</si>
  <si>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</si>
  <si>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</si>
  <si>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</si>
  <si>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</si>
  <si>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</si>
  <si>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</si>
  <si>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</si>
  <si>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</si>
  <si>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</si>
  <si>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</si>
  <si>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</si>
  <si>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</si>
  <si>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</si>
  <si>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</si>
  <si>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</si>
  <si>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</si>
  <si>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</si>
  <si>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</si>
  <si>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</si>
  <si>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</si>
  <si>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</si>
  <si>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</si>
  <si>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</si>
  <si>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</si>
  <si>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</si>
  <si>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</si>
  <si>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</si>
  <si>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</si>
  <si>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</si>
  <si>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</si>
  <si>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</si>
  <si>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</si>
  <si>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</si>
  <si>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</si>
  <si>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</si>
  <si>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</si>
  <si>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</si>
  <si>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</si>
  <si>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</si>
  <si>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</si>
  <si>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</si>
  <si>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</si>
  <si>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</si>
  <si>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</si>
  <si>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</si>
  <si>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</si>
  <si>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</si>
  <si>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</si>
  <si>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</si>
  <si>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</si>
  <si>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</si>
  <si>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</si>
  <si>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</si>
  <si>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</si>
  <si>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</si>
  <si>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</si>
  <si>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</si>
  <si>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</si>
  <si>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</si>
  <si>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</si>
  <si>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</si>
  <si>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</si>
  <si>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</si>
  <si>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</si>
  <si>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</si>
  <si>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</si>
  <si>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</si>
  <si>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</si>
  <si>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</si>
  <si>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</si>
  <si>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</si>
  <si>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</si>
  <si>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</si>
  <si>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</si>
  <si>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</si>
  <si>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</si>
  <si>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</si>
  <si>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</si>
  <si>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</si>
  <si>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</si>
  <si>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</si>
  <si>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</si>
  <si>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</si>
  <si>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</si>
  <si>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</si>
  <si>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</si>
  <si>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</si>
  <si>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</si>
  <si>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</si>
  <si>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</si>
  <si>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</si>
  <si>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</si>
  <si>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</si>
  <si>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</si>
  <si>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</si>
  <si>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</si>
  <si>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</si>
  <si>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</si>
  <si>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</si>
  <si>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</si>
  <si>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</si>
  <si>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</si>
  <si>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</si>
  <si>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</si>
  <si>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</si>
  <si>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</si>
  <si>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</si>
  <si>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</si>
  <si>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</si>
  <si>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</si>
  <si>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</si>
  <si>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</si>
  <si>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</si>
  <si>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</si>
  <si>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</si>
  <si>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</si>
  <si>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</si>
  <si>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</si>
  <si>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</si>
  <si>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</si>
  <si>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</si>
  <si>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</si>
  <si>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</si>
  <si>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</si>
  <si>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</si>
  <si>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</si>
  <si>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</si>
  <si>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</si>
  <si>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</si>
  <si>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</si>
  <si>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</si>
  <si>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</si>
  <si>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</si>
  <si>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</si>
  <si>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</si>
  <si>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</si>
  <si>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</si>
  <si>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</si>
  <si>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</si>
  <si>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</si>
  <si>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</si>
  <si>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</si>
  <si>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</si>
  <si>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</si>
  <si>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</si>
  <si>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</si>
  <si>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</si>
  <si>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</si>
  <si>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</si>
  <si>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</si>
  <si>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</si>
  <si>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</si>
  <si>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</si>
  <si>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</si>
  <si>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</si>
  <si>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</si>
  <si>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</si>
  <si>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</si>
  <si>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</si>
  <si>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</si>
  <si>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</si>
  <si>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</si>
  <si>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</si>
  <si>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</si>
  <si>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</si>
  <si>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</si>
  <si>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</si>
  <si>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</si>
  <si>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</si>
  <si>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</si>
  <si>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</si>
  <si>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</si>
  <si>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</si>
  <si>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</si>
  <si>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</si>
  <si>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</si>
  <si>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</si>
  <si>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</si>
  <si>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</si>
  <si>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</si>
  <si>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</si>
  <si>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</si>
  <si>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</si>
  <si>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</si>
  <si>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</si>
  <si>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</si>
  <si>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</si>
  <si>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</si>
  <si>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</si>
  <si>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</si>
  <si>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</si>
  <si>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</si>
  <si>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</si>
  <si>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</si>
  <si>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</si>
  <si>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</si>
  <si>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</si>
  <si>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</si>
  <si>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</si>
  <si>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</si>
  <si>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</si>
  <si>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</si>
  <si>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</si>
  <si>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</si>
  <si>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</si>
  <si>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</si>
  <si>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</si>
  <si>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</si>
  <si>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</si>
  <si>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</si>
  <si>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</si>
  <si>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</si>
  <si>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</si>
  <si>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</si>
  <si>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</si>
  <si>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</si>
  <si>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</si>
  <si>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</si>
  <si>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</si>
  <si>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</si>
  <si>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</si>
  <si>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</si>
  <si>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</si>
  <si>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</si>
  <si>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</si>
  <si>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</si>
  <si>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</si>
  <si>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</si>
  <si>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</si>
  <si>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</si>
  <si>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</si>
  <si>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</si>
  <si>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</si>
  <si>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</si>
  <si>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</si>
  <si>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</si>
  <si>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</si>
  <si>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</si>
  <si>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</si>
  <si>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</si>
  <si>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</si>
  <si>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</si>
  <si>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</si>
  <si>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</si>
  <si>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</si>
  <si>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</si>
  <si>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</si>
  <si>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</si>
  <si>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</si>
  <si>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</si>
  <si>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</si>
  <si>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</si>
  <si>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</si>
  <si>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</si>
  <si>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</si>
  <si>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</si>
  <si>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</si>
  <si>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</si>
  <si>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</si>
  <si>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</si>
  <si>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</si>
  <si>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</si>
  <si>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</si>
  <si>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</si>
  <si>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</si>
  <si>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</si>
  <si>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</si>
  <si>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</si>
  <si>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</si>
  <si>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</si>
  <si>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</si>
  <si>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</si>
  <si>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</si>
  <si>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</si>
  <si>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</si>
  <si>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</si>
  <si>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</si>
  <si>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</si>
  <si>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</si>
  <si>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</si>
  <si>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</si>
  <si>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</si>
  <si>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</si>
  <si>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</si>
  <si>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</si>
  <si>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</si>
  <si>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</si>
  <si>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</si>
  <si>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</si>
  <si>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</si>
  <si>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</si>
  <si>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</si>
  <si>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</si>
  <si>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</si>
  <si>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</si>
  <si>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</si>
  <si>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</si>
  <si>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</si>
  <si>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</si>
  <si>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</si>
  <si>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</si>
  <si>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</si>
  <si>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</si>
  <si>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</si>
  <si>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</si>
  <si>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</si>
  <si>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</si>
  <si>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</si>
  <si>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</si>
  <si>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</si>
  <si>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</si>
  <si>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</si>
  <si>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</si>
  <si>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</si>
  <si>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</si>
  <si>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</si>
  <si>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</si>
  <si>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</si>
  <si>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</si>
  <si>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</si>
  <si>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</si>
  <si>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</si>
  <si>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</si>
  <si>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</si>
  <si>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</si>
  <si>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</si>
  <si>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</si>
  <si>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</si>
  <si>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</si>
  <si>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</si>
  <si>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</si>
  <si>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</si>
  <si>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</si>
  <si>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</si>
  <si>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</si>
  <si>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</si>
  <si>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</si>
  <si>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</si>
  <si>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</si>
  <si>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</si>
  <si>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</si>
  <si>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</si>
  <si>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</si>
  <si>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</si>
  <si>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</si>
  <si>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</si>
  <si>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</si>
  <si>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</si>
  <si>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</si>
  <si>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</si>
  <si>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</si>
  <si>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</si>
  <si>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</si>
  <si>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</si>
  <si>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</si>
  <si>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</si>
  <si>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</si>
  <si>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</si>
  <si>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</si>
  <si>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</si>
  <si>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</si>
  <si>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</si>
  <si>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</si>
  <si>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</si>
  <si>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</si>
  <si>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</si>
  <si>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</si>
  <si>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</si>
  <si>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</si>
  <si>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</si>
  <si>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</si>
  <si>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</si>
  <si>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</si>
  <si>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</si>
  <si>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</si>
  <si>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</si>
  <si>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</si>
  <si>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</si>
  <si>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</si>
  <si>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</si>
  <si>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</si>
  <si>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</si>
  <si>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</si>
  <si>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</si>
  <si>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</si>
  <si>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</si>
  <si>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</si>
  <si>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</si>
  <si>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</si>
  <si>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</si>
  <si>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</si>
  <si>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</si>
  <si>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</si>
  <si>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</si>
  <si>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</si>
  <si>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</si>
  <si>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</si>
  <si>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</si>
  <si>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</si>
  <si>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</si>
  <si>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</si>
  <si>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</si>
  <si>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</si>
  <si>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</si>
  <si>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</si>
  <si>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</si>
  <si>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</si>
  <si>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</si>
  <si>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</si>
  <si>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</si>
  <si>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</si>
  <si>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</si>
  <si>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</si>
  <si>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</si>
  <si>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</si>
  <si>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</si>
  <si>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</si>
  <si>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</si>
  <si>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</si>
  <si>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</si>
  <si>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</si>
  <si>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</si>
  <si>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</si>
  <si>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</si>
  <si>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</si>
  <si>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</si>
  <si>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</si>
  <si>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</si>
  <si>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</si>
  <si>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</si>
  <si>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</si>
  <si>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</si>
  <si>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</si>
  <si>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</si>
  <si>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</si>
  <si>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</si>
  <si>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</si>
  <si>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</si>
  <si>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</si>
  <si>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</si>
  <si>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</si>
  <si>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</si>
  <si>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</si>
  <si>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</si>
  <si>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</si>
  <si>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</si>
  <si>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</si>
  <si>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</si>
  <si>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</si>
  <si>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</si>
  <si>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</si>
  <si>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</si>
  <si>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</si>
  <si>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</si>
  <si>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</si>
  <si>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</si>
  <si>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</si>
  <si>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</si>
  <si>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</si>
  <si>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</si>
  <si>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</si>
  <si>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</si>
  <si>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</si>
  <si>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</si>
  <si>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</si>
  <si>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</si>
  <si>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</si>
  <si>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</si>
  <si>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</si>
  <si>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</si>
  <si>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</si>
  <si>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</si>
  <si>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</si>
  <si>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</si>
  <si>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</si>
  <si>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</si>
  <si>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</si>
  <si>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</si>
  <si>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</si>
  <si>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</si>
  <si>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</si>
  <si>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</si>
  <si>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</si>
  <si>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</si>
  <si>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</si>
  <si>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</si>
  <si>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</si>
  <si>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</si>
  <si>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</si>
  <si>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</si>
  <si>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</si>
  <si>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</si>
  <si>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</si>
  <si>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</si>
  <si>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</si>
  <si>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</si>
  <si>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</si>
  <si>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</si>
  <si>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</si>
  <si>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</si>
  <si>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</si>
  <si>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</si>
  <si>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</si>
  <si>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</si>
  <si>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</si>
  <si>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</si>
  <si>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</si>
  <si>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</si>
  <si>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</si>
  <si>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</si>
  <si>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</si>
  <si>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</si>
  <si>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</si>
  <si>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</si>
  <si>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</si>
  <si>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</si>
  <si>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</si>
  <si>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</si>
  <si>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</si>
  <si>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</si>
  <si>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</si>
  <si>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</si>
  <si>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</si>
  <si>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</si>
  <si>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</si>
  <si>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</si>
  <si>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</si>
  <si>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</si>
  <si>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</si>
  <si>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</si>
  <si>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</si>
  <si>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</si>
  <si>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</si>
  <si>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</si>
  <si>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</si>
  <si>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</si>
  <si>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</si>
  <si>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</si>
  <si>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</si>
  <si>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</si>
  <si>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</si>
  <si>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</si>
  <si>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</si>
  <si>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</si>
  <si>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</si>
  <si>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</si>
  <si>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</si>
  <si>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</si>
  <si>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</si>
  <si>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</si>
  <si>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</si>
  <si>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</si>
  <si>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</si>
  <si>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</si>
  <si>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</si>
  <si>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</si>
  <si>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</si>
  <si>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</si>
  <si>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</si>
  <si>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</si>
  <si>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</si>
  <si>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</si>
  <si>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</si>
  <si>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</si>
  <si>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</si>
  <si>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</si>
  <si>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</si>
  <si>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</si>
  <si>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</si>
  <si>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</si>
  <si>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</si>
  <si>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</si>
  <si>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</si>
  <si>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</si>
  <si>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</si>
  <si>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</si>
  <si>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</si>
  <si>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</si>
  <si>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</si>
  <si>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</si>
  <si>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</si>
  <si>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</si>
  <si>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</si>
  <si>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</si>
  <si>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</si>
  <si>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</si>
  <si>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</si>
  <si>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</si>
  <si>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</si>
  <si>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</si>
  <si>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</si>
  <si>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</si>
  <si>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</si>
  <si>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</si>
  <si>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</si>
  <si>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</si>
  <si>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</si>
  <si>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</si>
  <si>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</si>
  <si>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</si>
  <si>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</si>
  <si>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</si>
  <si>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</si>
  <si>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</si>
  <si>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</si>
  <si>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</si>
  <si>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</si>
  <si>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</si>
  <si>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</si>
  <si>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</si>
  <si>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</si>
  <si>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</si>
  <si>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</si>
  <si>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</si>
  <si>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</si>
  <si>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</si>
  <si>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</si>
  <si>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</si>
  <si>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</si>
  <si>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</si>
  <si>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</si>
  <si>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</si>
  <si>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</si>
  <si>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</si>
  <si>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</si>
  <si>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</si>
  <si>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</si>
  <si>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</si>
  <si>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</si>
  <si>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</si>
  <si>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</si>
  <si>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</si>
  <si>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</si>
  <si>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</si>
  <si>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</si>
  <si>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</si>
  <si>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</si>
  <si>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</si>
  <si>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</si>
  <si>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</si>
  <si>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</si>
  <si>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</si>
  <si>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</si>
  <si>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</si>
  <si>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</si>
  <si>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</si>
  <si>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</si>
  <si>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</si>
  <si>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</si>
  <si>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</si>
  <si>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</si>
  <si>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</si>
  <si>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</si>
  <si>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</si>
  <si>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</si>
  <si>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</si>
  <si>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</si>
  <si>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</si>
  <si>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</si>
  <si>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</si>
  <si>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</si>
  <si>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</si>
  <si>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</si>
  <si>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</si>
  <si>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</si>
  <si>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</si>
  <si>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</si>
  <si>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</si>
  <si>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</si>
  <si>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</si>
  <si>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</si>
  <si>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</si>
  <si>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</si>
  <si>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</si>
  <si>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</si>
  <si>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</si>
  <si>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</si>
  <si>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</si>
  <si>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</si>
  <si>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</si>
  <si>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</si>
  <si>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</si>
  <si>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</si>
  <si>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</si>
  <si>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</si>
  <si>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</si>
  <si>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</si>
  <si>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</si>
  <si>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</si>
  <si>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</si>
  <si>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</si>
  <si>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</si>
  <si>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</si>
  <si>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</si>
  <si>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</si>
  <si>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</si>
  <si>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</si>
  <si>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</si>
  <si>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</si>
  <si>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</si>
  <si>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</si>
  <si>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</si>
  <si>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</si>
  <si>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</si>
  <si>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</si>
  <si>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</si>
  <si>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</si>
  <si>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</si>
  <si>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</si>
  <si>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</si>
  <si>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</si>
  <si>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</si>
  <si>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</si>
  <si>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</si>
  <si>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</si>
  <si>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</si>
  <si>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</si>
  <si>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</si>
  <si>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</si>
  <si>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</si>
  <si>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</si>
  <si>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</si>
  <si>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</si>
  <si>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</si>
  <si>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</si>
  <si>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</si>
  <si>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</si>
  <si>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</si>
  <si>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</si>
  <si>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</si>
  <si>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</si>
  <si>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</si>
  <si>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</si>
  <si>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</si>
  <si>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</si>
  <si>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</si>
  <si>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</si>
  <si>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</si>
  <si>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</si>
  <si>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</si>
  <si>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</si>
  <si>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</si>
  <si>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</si>
  <si>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</si>
  <si>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</si>
  <si>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</si>
  <si>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</si>
  <si>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</si>
  <si>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</si>
  <si>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</si>
  <si>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</si>
  <si>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</si>
  <si>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</si>
  <si>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</si>
  <si>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</si>
  <si>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</si>
  <si>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</si>
  <si>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</si>
  <si>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</si>
  <si>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</si>
  <si>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</si>
  <si>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</si>
  <si>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</si>
  <si>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</si>
  <si>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</si>
  <si>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</si>
  <si>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</si>
  <si>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</si>
  <si>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</si>
  <si>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</si>
  <si>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</si>
  <si>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</si>
  <si>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</si>
  <si>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</si>
  <si>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</si>
  <si>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</si>
  <si>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</si>
  <si>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</si>
  <si>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</si>
  <si>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</si>
  <si>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</si>
  <si>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</si>
  <si>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</si>
  <si>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</si>
  <si>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</si>
  <si>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</si>
  <si>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</si>
  <si>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</si>
  <si>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</si>
  <si>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</si>
  <si>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</si>
  <si>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</si>
  <si>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</si>
  <si>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</si>
  <si>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</si>
  <si>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</si>
  <si>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</si>
  <si>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</si>
  <si>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</si>
  <si>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</si>
  <si>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</si>
  <si>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</si>
  <si>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</si>
  <si>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</si>
  <si>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</si>
  <si>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</si>
  <si>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</si>
  <si>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</si>
  <si>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</si>
  <si>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</si>
  <si>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</si>
  <si>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</si>
  <si>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</si>
  <si>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</si>
  <si>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</si>
  <si>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</si>
  <si>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</si>
  <si>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</si>
  <si>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</si>
  <si>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</si>
  <si>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</si>
  <si>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</si>
  <si>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</si>
  <si>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</si>
  <si>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</si>
  <si>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</si>
  <si>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</si>
  <si>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</si>
  <si>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</si>
  <si>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</si>
  <si>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</si>
  <si>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</si>
  <si>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</si>
  <si>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</si>
  <si>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</si>
  <si>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</si>
  <si>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</si>
  <si>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</si>
  <si>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</si>
  <si>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</si>
  <si>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</si>
  <si>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</si>
  <si>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</si>
  <si>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</si>
  <si>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</si>
  <si>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</si>
  <si>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</si>
  <si>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</si>
  <si>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</si>
  <si>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</si>
  <si>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</si>
  <si>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</si>
  <si>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</si>
  <si>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</si>
  <si>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</si>
  <si>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</si>
  <si>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</si>
  <si>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</si>
  <si>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</si>
  <si>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</si>
  <si>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</si>
  <si>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</si>
  <si>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</si>
  <si>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</si>
  <si>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</si>
  <si>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</si>
  <si>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</si>
  <si>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</si>
  <si>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</si>
  <si>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</si>
  <si>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</si>
  <si>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</si>
  <si>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</si>
  <si>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</si>
  <si>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</si>
  <si>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</si>
  <si>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</si>
  <si>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</si>
  <si>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</si>
  <si>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</si>
  <si>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</si>
  <si>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</si>
  <si>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</si>
  <si>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</si>
  <si>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</si>
  <si>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</si>
  <si>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</si>
  <si>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</si>
  <si>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</si>
  <si>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</si>
  <si>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</si>
  <si>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</si>
  <si>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</si>
  <si>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</si>
  <si>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</si>
  <si>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</si>
  <si>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</si>
  <si>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</si>
  <si>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</si>
  <si>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</si>
  <si>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</si>
  <si>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</si>
  <si>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</si>
  <si>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</si>
  <si>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</si>
  <si>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</si>
  <si>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</si>
  <si>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</si>
  <si>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</si>
  <si>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</si>
  <si>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</si>
  <si>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</si>
  <si>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</si>
  <si>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</si>
  <si>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</si>
  <si>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</si>
  <si>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</si>
  <si>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</si>
  <si>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</si>
  <si>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</si>
  <si>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</si>
  <si>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</si>
  <si>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</si>
  <si>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</si>
  <si>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</si>
  <si>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</si>
  <si>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</si>
  <si>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</si>
  <si>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</si>
  <si>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</si>
  <si>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</si>
  <si>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</si>
  <si>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</si>
  <si>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</si>
  <si>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</si>
  <si>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</si>
  <si>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</si>
  <si>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</si>
  <si>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</si>
  <si>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</si>
  <si>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</si>
  <si>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</si>
  <si>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</si>
  <si>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</si>
  <si>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</si>
  <si>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</si>
  <si>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</si>
  <si>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</si>
  <si>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</si>
  <si>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</si>
  <si>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</si>
  <si>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</si>
  <si>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</si>
  <si>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</si>
  <si>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</si>
  <si>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</si>
  <si>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</si>
  <si>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</si>
  <si>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</si>
  <si>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</si>
  <si>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</si>
  <si>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</si>
  <si>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</si>
  <si>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</si>
  <si>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</si>
  <si>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</si>
  <si>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</si>
  <si>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</si>
  <si>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</si>
  <si>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</si>
  <si>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</si>
  <si>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</si>
  <si>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</si>
  <si>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</si>
  <si>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</si>
  <si>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</si>
  <si>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</si>
  <si>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</si>
  <si>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</si>
  <si>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</si>
  <si>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</si>
  <si>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</si>
  <si>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</si>
  <si>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</si>
  <si>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</si>
  <si>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</si>
  <si>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</si>
  <si>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</si>
  <si>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</si>
  <si>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</si>
  <si>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</si>
  <si>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</si>
  <si>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</si>
  <si>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</si>
  <si>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</si>
  <si>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</si>
  <si>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</si>
  <si>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</si>
  <si>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</si>
  <si>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</si>
  <si>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</si>
  <si>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</si>
  <si>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</si>
  <si>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</si>
  <si>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</si>
  <si>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</si>
  <si>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</si>
  <si>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</si>
  <si>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</si>
  <si>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</si>
  <si>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</si>
  <si>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</si>
  <si>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</si>
  <si>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</si>
  <si>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</si>
  <si>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</si>
  <si>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</si>
  <si>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</si>
  <si>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</si>
  <si>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</si>
  <si>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</si>
  <si>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</si>
  <si>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</si>
  <si>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</si>
  <si>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</si>
  <si>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</si>
  <si>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</si>
  <si>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</si>
  <si>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</si>
  <si>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</si>
  <si>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</si>
  <si>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</si>
  <si>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</si>
  <si>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</si>
  <si>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</si>
  <si>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</si>
  <si>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</si>
  <si>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</si>
  <si>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</si>
  <si>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</si>
  <si>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</si>
  <si>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</si>
  <si>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</si>
  <si>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</si>
  <si>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</si>
  <si>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</si>
  <si>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</si>
  <si>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</si>
  <si>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</si>
  <si>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</si>
  <si>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</si>
  <si>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</si>
  <si>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</si>
  <si>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</si>
  <si>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</si>
  <si>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</si>
  <si>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</si>
  <si>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</si>
  <si>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</si>
  <si>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</si>
  <si>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</si>
  <si>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</si>
  <si>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</si>
  <si>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</si>
  <si>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</si>
  <si>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</si>
  <si>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</si>
  <si>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</si>
  <si>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</si>
  <si>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</si>
  <si>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</si>
  <si>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</si>
  <si>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</si>
  <si>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</si>
  <si>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</si>
  <si>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</si>
  <si>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</si>
  <si>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</si>
  <si>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</si>
  <si>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</si>
  <si>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</si>
  <si>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</si>
  <si>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</si>
  <si>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</si>
  <si>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</si>
  <si>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</si>
  <si>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</si>
  <si>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</si>
  <si>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</si>
  <si>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</si>
  <si>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</si>
  <si>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</si>
  <si>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</si>
  <si>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</si>
  <si>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</si>
  <si>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</si>
  <si>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</si>
  <si>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</si>
  <si>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</si>
  <si>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</si>
  <si>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</si>
  <si>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</si>
  <si>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</si>
  <si>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</si>
  <si>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</si>
  <si>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</si>
  <si>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</si>
  <si>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</si>
  <si>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</si>
  <si>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</si>
  <si>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</si>
  <si>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</si>
  <si>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</si>
  <si>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</si>
  <si>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</si>
  <si>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</si>
  <si>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</si>
  <si>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</si>
  <si>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</si>
  <si>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</si>
  <si>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</si>
  <si>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</si>
  <si>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</si>
  <si>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</si>
  <si>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</si>
  <si>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</si>
  <si>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</si>
  <si>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</si>
  <si>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</si>
  <si>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</si>
  <si>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</si>
  <si>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</si>
  <si>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</si>
  <si>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</si>
  <si>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</si>
  <si>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</si>
  <si>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</si>
  <si>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</si>
  <si>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</si>
  <si>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</si>
  <si>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</si>
  <si>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</si>
  <si>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</si>
  <si>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</si>
  <si>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</si>
  <si>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</si>
  <si>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</si>
  <si>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</si>
  <si>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</si>
  <si>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</si>
  <si>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</si>
  <si>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</si>
  <si>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</si>
  <si>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</si>
  <si>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</si>
  <si>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</si>
  <si>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</si>
  <si>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</si>
  <si>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</si>
  <si>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</si>
  <si>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</si>
  <si>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</si>
  <si>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</si>
  <si>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</si>
  <si>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</si>
  <si>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</si>
  <si>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</si>
  <si>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</si>
  <si>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</si>
  <si>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</si>
  <si>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</si>
  <si>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</si>
  <si>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</si>
  <si>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</si>
  <si>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</si>
  <si>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</si>
  <si>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</si>
  <si>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</si>
  <si>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</si>
  <si>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</si>
  <si>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</si>
  <si>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</si>
  <si>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</si>
  <si>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</si>
  <si>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</si>
  <si>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</si>
  <si>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</si>
  <si>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</si>
  <si>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</si>
  <si>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</si>
  <si>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</si>
  <si>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</si>
  <si>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</si>
  <si>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</si>
  <si>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</si>
  <si>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</si>
  <si>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</si>
  <si>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</si>
  <si>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</si>
  <si>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</si>
  <si>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</si>
  <si>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</si>
  <si>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</si>
  <si>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</si>
  <si>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</si>
  <si>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</si>
  <si>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</si>
  <si>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</si>
  <si>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</si>
  <si>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</si>
  <si>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</si>
  <si>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</si>
  <si>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</si>
  <si>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</si>
  <si>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</si>
  <si>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</si>
  <si>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</si>
  <si>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</si>
  <si>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</si>
  <si>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</si>
  <si>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</si>
  <si>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</si>
  <si>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</si>
  <si>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</si>
  <si>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</si>
  <si>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</si>
  <si>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</si>
  <si>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</si>
  <si>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</si>
  <si>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</si>
  <si>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</si>
  <si>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</si>
  <si>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</si>
  <si>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</si>
  <si>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</si>
  <si>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</si>
  <si>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</si>
  <si>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</si>
  <si>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</si>
  <si>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</si>
  <si>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</si>
  <si>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</si>
  <si>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</si>
  <si>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</si>
  <si>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</si>
  <si>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</si>
  <si>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</si>
  <si>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</si>
  <si>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</si>
  <si>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</si>
  <si>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</si>
  <si>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</si>
  <si>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</si>
  <si>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</si>
  <si>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</si>
  <si>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</si>
  <si>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</si>
  <si>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</si>
  <si>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</si>
  <si>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</si>
  <si>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</si>
  <si>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</si>
  <si>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</si>
  <si>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</si>
  <si>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</si>
  <si>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</si>
  <si>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</si>
  <si>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</si>
  <si>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</si>
  <si>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</si>
  <si>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</si>
  <si>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</si>
  <si>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</si>
  <si>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</si>
  <si>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</si>
  <si>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</si>
  <si>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</si>
  <si>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</si>
  <si>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</si>
  <si>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</si>
  <si>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</si>
  <si>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</si>
  <si>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</si>
  <si>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</si>
  <si>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</si>
  <si>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</si>
  <si>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</si>
  <si>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</si>
  <si>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</si>
  <si>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</si>
  <si>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</si>
  <si>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</si>
  <si>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</si>
  <si>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</si>
  <si>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</si>
  <si>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</si>
  <si>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</si>
  <si>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</si>
  <si>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</si>
  <si>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</si>
  <si>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</si>
  <si>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</si>
  <si>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</si>
  <si>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</si>
  <si>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</si>
  <si>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</si>
  <si>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</si>
  <si>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</si>
  <si>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</si>
  <si>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</si>
  <si>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</si>
  <si>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</si>
  <si>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</si>
  <si>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</si>
  <si>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</si>
  <si>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</si>
  <si>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</si>
  <si>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</si>
  <si>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</si>
  <si>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</si>
  <si>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</si>
  <si>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</si>
  <si>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</si>
  <si>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</si>
  <si>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</si>
  <si>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</si>
  <si>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</si>
  <si>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</si>
  <si>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</si>
  <si>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</si>
  <si>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</si>
  <si>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</si>
  <si>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</si>
  <si>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</si>
  <si>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</si>
  <si>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</si>
  <si>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</si>
  <si>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</si>
  <si>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</si>
  <si>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</si>
  <si>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</si>
  <si>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</si>
  <si>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</si>
  <si>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</si>
  <si>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</si>
  <si>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</si>
  <si>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</si>
  <si>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</si>
  <si>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</si>
  <si>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</si>
  <si>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</si>
  <si>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</si>
  <si>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</si>
  <si>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</si>
  <si>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</si>
  <si>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</si>
  <si>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</si>
  <si>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</si>
  <si>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</si>
  <si>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</si>
  <si>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</si>
  <si>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</si>
  <si>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</si>
  <si>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</si>
  <si>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</si>
  <si>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</si>
  <si>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</si>
  <si>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</si>
  <si>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</si>
  <si>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</si>
  <si>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</si>
  <si>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</si>
  <si>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</si>
  <si>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</si>
  <si>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</si>
  <si>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</si>
  <si>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</si>
  <si>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</si>
  <si>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</si>
  <si>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</si>
  <si>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</si>
  <si>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</si>
  <si>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</si>
  <si>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</si>
  <si>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</si>
  <si>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</si>
  <si>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</si>
  <si>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</si>
  <si>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</si>
  <si>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</si>
  <si>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</si>
  <si>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</si>
  <si>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</si>
  <si>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</si>
  <si>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</si>
  <si>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</si>
  <si>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</si>
  <si>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</si>
  <si>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</si>
  <si>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</si>
  <si>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</si>
  <si>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</si>
  <si>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</si>
  <si>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</si>
  <si>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</si>
  <si>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</si>
  <si>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</si>
  <si>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</si>
  <si>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</si>
  <si>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</si>
  <si>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</si>
  <si>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</si>
  <si>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</si>
  <si>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</si>
  <si>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</si>
  <si>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</si>
  <si>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</si>
  <si>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</si>
  <si>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</si>
  <si>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</si>
  <si>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</si>
  <si>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</si>
  <si>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</si>
  <si>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</si>
  <si>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</si>
  <si>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</si>
  <si>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</si>
  <si>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</si>
  <si>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</si>
  <si>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</si>
  <si>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</si>
  <si>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</si>
  <si>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</si>
  <si>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</si>
  <si>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</si>
  <si>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</si>
  <si>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</si>
  <si>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</si>
  <si>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</si>
  <si>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</si>
  <si>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</si>
  <si>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</si>
  <si>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</si>
  <si>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</si>
  <si>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</si>
  <si>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</si>
  <si>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</si>
  <si>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</si>
  <si>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</si>
  <si>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</si>
  <si>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</si>
  <si>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</si>
  <si>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</si>
  <si>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</si>
  <si>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</si>
  <si>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</si>
  <si>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</si>
  <si>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</si>
  <si>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</si>
  <si>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</si>
  <si>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</si>
  <si>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</si>
  <si>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</si>
  <si>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</si>
  <si>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</si>
  <si>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</si>
  <si>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</si>
  <si>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</si>
  <si>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</si>
  <si>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</si>
  <si>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</si>
  <si>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</si>
  <si>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</si>
  <si>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</si>
  <si>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</si>
  <si>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</si>
  <si>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</si>
  <si>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</si>
  <si>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</si>
  <si>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</si>
  <si>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</si>
  <si>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</si>
  <si>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</si>
  <si>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</si>
  <si>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</si>
  <si>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</si>
  <si>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</si>
  <si>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</si>
  <si>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</si>
  <si>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</si>
  <si>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</si>
  <si>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</si>
  <si>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</si>
  <si>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</si>
  <si>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</si>
  <si>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</si>
  <si>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</si>
  <si>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</si>
  <si>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</si>
  <si>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</si>
  <si>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</si>
  <si>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</si>
  <si>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</si>
  <si>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</si>
  <si>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</si>
  <si>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</si>
  <si>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</si>
  <si>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</si>
  <si>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</si>
  <si>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</si>
  <si>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</si>
  <si>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</si>
  <si>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</si>
  <si>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</si>
  <si>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</si>
  <si>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</si>
  <si>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</si>
  <si>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</si>
  <si>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</si>
  <si>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</si>
  <si>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</si>
  <si>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</si>
  <si>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</si>
  <si>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</si>
  <si>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</si>
  <si>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</si>
  <si>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</si>
  <si>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</si>
  <si>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</si>
  <si>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</si>
  <si>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</si>
  <si>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</si>
  <si>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</si>
  <si>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</si>
  <si>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</si>
  <si>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</si>
  <si>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</si>
  <si>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</si>
  <si>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</si>
  <si>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</si>
  <si>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</si>
  <si>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</si>
  <si>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</si>
  <si>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</si>
  <si>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</si>
  <si>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</si>
  <si>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</si>
  <si>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</si>
  <si>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</si>
  <si>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</si>
  <si>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</si>
  <si>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</si>
  <si>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</si>
  <si>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</si>
  <si>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</si>
  <si>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</si>
  <si>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</si>
  <si>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</si>
  <si>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</si>
  <si>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</si>
  <si>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</si>
  <si>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</si>
  <si>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</si>
  <si>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</si>
  <si>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</si>
  <si>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</si>
  <si>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</si>
  <si>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</si>
  <si>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</si>
  <si>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</si>
  <si>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</si>
  <si>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</si>
  <si>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</si>
  <si>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</si>
  <si>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</si>
  <si>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</si>
  <si>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</si>
  <si>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</si>
  <si>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</si>
  <si>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</si>
  <si>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</si>
  <si>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</si>
  <si>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</si>
  <si>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</si>
  <si>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</si>
  <si>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</si>
  <si>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</si>
  <si>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</si>
  <si>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</si>
  <si>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</si>
  <si>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</si>
  <si>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</si>
  <si>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</si>
  <si>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</si>
  <si>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</si>
  <si>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</si>
  <si>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</si>
  <si>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</si>
  <si>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</si>
  <si>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</si>
  <si>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</si>
  <si>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</si>
  <si>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</si>
  <si>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</si>
  <si>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</si>
  <si>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</si>
  <si>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</si>
  <si>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</si>
  <si>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</si>
  <si>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</si>
  <si>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</si>
  <si>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</si>
  <si>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</si>
  <si>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</si>
  <si>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</si>
  <si>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</si>
  <si>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</si>
  <si>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</si>
  <si>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</si>
  <si>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</si>
  <si>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</si>
  <si>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</si>
  <si>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</si>
  <si>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</si>
  <si>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</si>
  <si>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</si>
  <si>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</si>
  <si>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</si>
  <si>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</si>
  <si>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</si>
  <si>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</si>
  <si>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</si>
  <si>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</si>
  <si>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</si>
  <si>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</si>
  <si>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</si>
  <si>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</si>
  <si>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</si>
  <si>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</si>
  <si>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</si>
  <si>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</si>
  <si>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</si>
  <si>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</si>
  <si>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</si>
  <si>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</si>
  <si>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</si>
  <si>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</si>
  <si>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</si>
  <si>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</si>
  <si>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</si>
  <si>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</si>
  <si>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</si>
  <si>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</si>
  <si>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</si>
  <si>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</si>
  <si>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</si>
  <si>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</si>
  <si>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</si>
  <si>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</si>
  <si>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</si>
  <si>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</si>
  <si>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</si>
  <si>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</si>
  <si>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</si>
  <si>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</si>
  <si>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</si>
  <si>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</si>
  <si>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</si>
  <si>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</si>
  <si>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</si>
  <si>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</si>
  <si>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</si>
  <si>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</si>
  <si>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</si>
  <si>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</si>
  <si>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</si>
  <si>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</si>
  <si>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</si>
  <si>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</si>
  <si>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</si>
  <si>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</si>
  <si>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</si>
  <si>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</si>
  <si>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</si>
  <si>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</si>
  <si>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</si>
  <si>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</si>
  <si>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</si>
  <si>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</si>
  <si>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</si>
  <si>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</si>
  <si>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</si>
  <si>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</si>
  <si>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</si>
  <si>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</si>
  <si>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</si>
  <si>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</si>
  <si>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</si>
  <si>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</si>
  <si>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</si>
  <si>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</si>
  <si>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</si>
  <si>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</si>
  <si>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</si>
  <si>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</si>
  <si>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</si>
  <si>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</si>
  <si>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</si>
  <si>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</si>
  <si>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</si>
  <si>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</si>
  <si>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</si>
  <si>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</si>
  <si>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</si>
  <si>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</si>
  <si>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</si>
  <si>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</si>
  <si>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</si>
  <si>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</si>
  <si>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</si>
  <si>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</si>
  <si>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</si>
  <si>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</si>
  <si>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</si>
  <si>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</si>
  <si>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</si>
  <si>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</si>
  <si>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</si>
  <si>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</si>
  <si>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</si>
  <si>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</si>
  <si>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</si>
  <si>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</si>
  <si>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</si>
  <si>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</si>
  <si>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</si>
  <si>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</si>
  <si>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</si>
  <si>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</si>
  <si>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</si>
  <si>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</si>
  <si>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</si>
  <si>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</si>
  <si>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</si>
  <si>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</si>
  <si>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</si>
  <si>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</si>
  <si>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</si>
  <si>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</si>
  <si>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</si>
  <si>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</si>
  <si>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</si>
  <si>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</si>
  <si>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</si>
  <si>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</si>
  <si>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</si>
  <si>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</si>
  <si>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</si>
  <si>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</si>
  <si>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</si>
  <si>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</si>
  <si>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</si>
  <si>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</si>
  <si>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</si>
  <si>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</si>
  <si>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</si>
  <si>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</si>
  <si>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</si>
  <si>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</si>
  <si>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</si>
  <si>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</si>
  <si>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</si>
  <si>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</si>
  <si>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</si>
  <si>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</si>
  <si>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</si>
  <si>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</si>
  <si>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</si>
  <si>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</si>
  <si>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</si>
  <si>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</si>
  <si>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</si>
  <si>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</si>
  <si>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</si>
  <si>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</si>
  <si>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</si>
  <si>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</si>
  <si>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</si>
  <si>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</si>
  <si>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</si>
  <si>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</si>
  <si>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</si>
  <si>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</si>
  <si>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</si>
  <si>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</si>
  <si>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</si>
  <si>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</si>
  <si>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</si>
  <si>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</si>
  <si>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</si>
  <si>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</si>
  <si>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</si>
  <si>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</si>
  <si>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</si>
  <si>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</si>
  <si>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</si>
  <si>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</si>
  <si>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</si>
  <si>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</si>
  <si>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</si>
  <si>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</si>
  <si>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</si>
  <si>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</si>
  <si>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</si>
  <si>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</si>
  <si>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</si>
  <si>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</si>
  <si>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</si>
  <si>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</si>
  <si>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</si>
  <si>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</si>
  <si>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</si>
  <si>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</si>
  <si>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</si>
  <si>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</si>
  <si>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</si>
  <si>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</si>
  <si>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</si>
  <si>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</si>
  <si>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</si>
  <si>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</si>
  <si>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</si>
  <si>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</si>
  <si>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</si>
  <si>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</si>
  <si>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</si>
  <si>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</si>
  <si>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</si>
  <si>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</si>
  <si>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</si>
  <si>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</si>
  <si>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</si>
  <si>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</si>
  <si>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</si>
  <si>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</si>
  <si>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</si>
  <si>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</si>
  <si>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</si>
  <si>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</si>
  <si>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</si>
  <si>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</si>
  <si>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</si>
  <si>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</si>
  <si>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</si>
  <si>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</si>
  <si>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</si>
  <si>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</si>
  <si>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</si>
  <si>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</si>
  <si>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</si>
  <si>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</si>
  <si>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</si>
  <si>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</si>
  <si>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</si>
  <si>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</si>
  <si>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</si>
  <si>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</si>
  <si>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</si>
  <si>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</si>
  <si>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</si>
  <si>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</si>
  <si>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</si>
  <si>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</si>
  <si>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</si>
  <si>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</si>
  <si>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</si>
  <si>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</si>
  <si>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</si>
  <si>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</si>
  <si>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</si>
  <si>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</si>
  <si>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</si>
  <si>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</si>
  <si>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</si>
  <si>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</si>
  <si>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</si>
  <si>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</si>
  <si>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</si>
  <si>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</si>
  <si>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</si>
  <si>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</si>
  <si>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</si>
  <si>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</si>
  <si>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</si>
  <si>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</si>
  <si>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</si>
  <si>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</si>
  <si>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</si>
  <si>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</si>
  <si>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</si>
  <si>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</si>
  <si>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</si>
  <si>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</si>
  <si>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</si>
  <si>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</si>
  <si>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</si>
  <si>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</si>
  <si>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</si>
  <si>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</si>
  <si>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</si>
  <si>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</si>
  <si>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</si>
  <si>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</si>
  <si>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</si>
  <si>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</si>
  <si>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</si>
  <si>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</si>
  <si>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</si>
  <si>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</si>
  <si>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</si>
  <si>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</si>
  <si>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</si>
  <si>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</si>
  <si>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</si>
  <si>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</si>
  <si>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</si>
  <si>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</si>
  <si>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</si>
  <si>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</si>
  <si>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</si>
  <si>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</si>
  <si>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</si>
  <si>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</si>
  <si>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</si>
  <si>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</si>
  <si>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</si>
  <si>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</si>
  <si>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</si>
  <si>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</si>
  <si>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</si>
  <si>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</si>
  <si>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</si>
  <si>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</si>
  <si>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</si>
  <si>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</si>
  <si>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</si>
  <si>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</si>
  <si>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</si>
  <si>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</si>
  <si>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</si>
  <si>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</si>
  <si>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</si>
  <si>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</si>
  <si>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</si>
  <si>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</si>
  <si>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</si>
  <si>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</si>
  <si>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</si>
  <si>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</si>
  <si>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</si>
  <si>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</si>
  <si>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</si>
  <si>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</si>
  <si>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</si>
  <si>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</si>
  <si>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</si>
  <si>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</si>
  <si>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</si>
  <si>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</si>
  <si>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</si>
  <si>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</si>
  <si>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</si>
  <si>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</si>
  <si>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</si>
  <si>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</si>
  <si>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</si>
  <si>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</si>
  <si>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</si>
  <si>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</si>
  <si>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</si>
  <si>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</si>
  <si>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</si>
  <si>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</si>
  <si>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</si>
  <si>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</si>
  <si>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</si>
  <si>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</si>
  <si>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</si>
  <si>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</si>
  <si>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</si>
  <si>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</si>
  <si>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</si>
  <si>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</si>
  <si>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</si>
  <si>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</si>
  <si>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</si>
  <si>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</si>
  <si>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</si>
  <si>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</si>
  <si>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</si>
  <si>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</si>
  <si>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</si>
  <si>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</si>
  <si>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</si>
  <si>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</si>
  <si>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</si>
  <si>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</si>
  <si>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</si>
  <si>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</si>
  <si>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</si>
  <si>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</si>
  <si>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</si>
  <si>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</si>
  <si>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</si>
  <si>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</si>
  <si>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</si>
  <si>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</si>
  <si>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</si>
  <si>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</si>
  <si>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</si>
  <si>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</si>
  <si>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</si>
  <si>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</si>
  <si>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</si>
  <si>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</si>
  <si>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</si>
  <si>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</si>
  <si>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</si>
  <si>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</si>
  <si>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</si>
  <si>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</si>
  <si>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</si>
  <si>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</si>
  <si>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</si>
  <si>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</si>
  <si>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024A/006</t>
  </si>
  <si>
    <t xml:space="preserve"> - Trạm biến áp được đặt tại trụ 024A/006 nằm trong đường dây hiện hữu</t>
  </si>
  <si>
    <t>Xuân Thành</t>
  </si>
  <si>
    <t>10.2020/BBXX/DTA-TL</t>
  </si>
  <si>
    <t>Phạm Quốc Huy</t>
  </si>
  <si>
    <t>Xây dựng mới TBA 3 pha 1000 kVA - 22/0,4kV Công ty Cổ phần ADE Garnet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</si>
</sst>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6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2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371471"/>
          <a:ext cx="18681916" cy="1503325"/>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62150" y="332517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Quốc Huy</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Quốc Huy</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118348" y="29453547"/>
          <a:ext cx="11954437" cy="1626221"/>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94336" y="28519759"/>
          <a:ext cx="6587490" cy="244792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Quốc Huy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88671875" defaultRowHeight="12.75"/>
  <cols>
    <col min="1" max="1" width="15.33203125" style="1637" customWidth="1"/>
    <col min="2" max="2" width="9.77734375" style="1635" customWidth="1"/>
    <col min="3" max="3" width="58.44140625" style="1637" customWidth="1"/>
    <col min="4" max="4" width="8.88671875" style="54" customWidth="1"/>
    <col min="5" max="5" width="5.109375" style="1968" customWidth="1"/>
    <col min="6" max="7" width="8.88671875" style="54"/>
    <col min="8" max="8" width="10.21875" style="54" customWidth="1"/>
    <col min="9" max="16384" width="8.88671875" style="54"/>
  </cols>
  <sheetData>
    <row r="1" spans="1:11" s="1717" customFormat="1" ht="27.75" customHeight="1">
      <c r="A1" s="1005" t="s">
        <v>393</v>
      </c>
      <c r="B1" s="1631" t="s">
        <v>2596</v>
      </c>
      <c r="C1" s="1345" t="s">
        <v>2597</v>
      </c>
      <c r="D1" s="1345" t="s">
        <v>2598</v>
      </c>
      <c r="F1" s="1717" t="s">
        <v>1704</v>
      </c>
      <c r="G1" s="1717" t="s">
        <v>4455</v>
      </c>
      <c r="H1" s="1717" t="s">
        <v>4746</v>
      </c>
      <c r="I1" s="1717" t="s">
        <v>4747</v>
      </c>
      <c r="K1" s="1717" t="s">
        <v>7290</v>
      </c>
    </row>
    <row r="2" spans="1:11" s="1632" customFormat="1" ht="21.75" hidden="1" customHeight="1">
      <c r="A2" s="1630"/>
      <c r="B2" s="1631">
        <v>2</v>
      </c>
      <c r="C2" s="1630">
        <v>3</v>
      </c>
      <c r="D2" s="1345">
        <v>4</v>
      </c>
      <c r="E2" s="1717"/>
      <c r="F2" s="1632">
        <v>3000</v>
      </c>
    </row>
    <row r="3" spans="1:11" hidden="1">
      <c r="A3" s="2966" t="s">
        <v>6488</v>
      </c>
      <c r="B3" s="2967"/>
      <c r="C3" s="2966" t="s">
        <v>6489</v>
      </c>
      <c r="D3" s="69" t="s">
        <v>6490</v>
      </c>
      <c r="E3" s="2968"/>
      <c r="F3" s="2968">
        <v>7</v>
      </c>
      <c r="G3" s="2968" t="s">
        <v>6491</v>
      </c>
      <c r="H3" s="2968"/>
      <c r="I3" s="2968"/>
      <c r="J3" s="2968" t="str">
        <f>A3</f>
        <v>CXDV3x120</v>
      </c>
      <c r="K3" s="2969" t="str">
        <f t="shared" ref="K3:K66" si="0">A3&amp;C3</f>
        <v>CXDV3x120 Cáp 24kV C/XLPE/DSTA/PVC 3x120mm2</v>
      </c>
    </row>
    <row r="4" spans="1:11" hidden="1">
      <c r="A4" s="2966" t="s">
        <v>6492</v>
      </c>
      <c r="B4" s="2967"/>
      <c r="C4" s="2966" t="s">
        <v>6493</v>
      </c>
      <c r="D4" s="69" t="s">
        <v>6490</v>
      </c>
      <c r="E4" s="2968"/>
      <c r="F4" s="2968">
        <v>7</v>
      </c>
      <c r="G4" s="2968" t="s">
        <v>6491</v>
      </c>
      <c r="H4" s="2968"/>
      <c r="I4" s="2968"/>
      <c r="J4" s="2968" t="str">
        <f t="shared" ref="J4:J67" si="1">A4</f>
        <v>CXDV3x150</v>
      </c>
      <c r="K4" s="2969" t="str">
        <f t="shared" si="0"/>
        <v>CXDV3x150 Cáp 24kV C/XLPE/DSTA/PVC 3x150mm2</v>
      </c>
    </row>
    <row r="5" spans="1:11" hidden="1">
      <c r="A5" s="2966" t="s">
        <v>6494</v>
      </c>
      <c r="B5" s="2967"/>
      <c r="C5" s="2966" t="s">
        <v>6495</v>
      </c>
      <c r="D5" s="69" t="s">
        <v>6490</v>
      </c>
      <c r="E5" s="69"/>
      <c r="F5" s="2968">
        <v>7</v>
      </c>
      <c r="G5" s="2968" t="s">
        <v>6491</v>
      </c>
      <c r="H5" s="69"/>
      <c r="I5" s="69"/>
      <c r="J5" s="2968" t="str">
        <f t="shared" si="1"/>
        <v>CXDV3x185</v>
      </c>
      <c r="K5" s="2969" t="str">
        <f t="shared" si="0"/>
        <v>CXDV3x185 Cáp 24kV C/XLPE/DSTA/PVC 3x185mm2</v>
      </c>
    </row>
    <row r="6" spans="1:11" hidden="1">
      <c r="A6" s="2966" t="s">
        <v>6496</v>
      </c>
      <c r="B6" s="2967"/>
      <c r="C6" s="2966" t="s">
        <v>6497</v>
      </c>
      <c r="D6" s="69" t="s">
        <v>6490</v>
      </c>
      <c r="E6" s="2968"/>
      <c r="F6" s="2968">
        <v>7</v>
      </c>
      <c r="G6" s="2968" t="s">
        <v>6491</v>
      </c>
      <c r="H6" s="2968"/>
      <c r="I6" s="2968"/>
      <c r="J6" s="2968" t="str">
        <f t="shared" si="1"/>
        <v>CXDV3x240</v>
      </c>
      <c r="K6" s="2969" t="str">
        <f t="shared" si="0"/>
        <v>CXDV3x240 Cáp 24kV C/XLPE/DSTA/PVC 3x240mm2</v>
      </c>
    </row>
    <row r="7" spans="1:11" hidden="1">
      <c r="A7" s="2966" t="s">
        <v>6498</v>
      </c>
      <c r="B7" s="2967"/>
      <c r="C7" s="2966" t="s">
        <v>6499</v>
      </c>
      <c r="D7" s="69" t="s">
        <v>6490</v>
      </c>
      <c r="E7" s="2968"/>
      <c r="F7" s="2968">
        <v>7</v>
      </c>
      <c r="G7" s="2968" t="s">
        <v>6491</v>
      </c>
      <c r="H7" s="2968"/>
      <c r="I7" s="2968"/>
      <c r="J7" s="2968" t="str">
        <f t="shared" si="1"/>
        <v>CXDV3x25</v>
      </c>
      <c r="K7" s="2969" t="str">
        <f t="shared" si="0"/>
        <v>CXDV3x25 Cáp 24kV C/XLPE/DSTA/PVC 3x25mm2</v>
      </c>
    </row>
    <row r="8" spans="1:11" hidden="1">
      <c r="A8" s="2966" t="s">
        <v>6500</v>
      </c>
      <c r="B8" s="2967"/>
      <c r="C8" s="2966" t="s">
        <v>6501</v>
      </c>
      <c r="D8" s="69" t="s">
        <v>6490</v>
      </c>
      <c r="E8" s="2968"/>
      <c r="F8" s="2968">
        <v>7</v>
      </c>
      <c r="G8" s="2968" t="s">
        <v>6491</v>
      </c>
      <c r="H8" s="2968"/>
      <c r="I8" s="2968"/>
      <c r="J8" s="2968" t="str">
        <f t="shared" si="1"/>
        <v>CXDV3x35</v>
      </c>
      <c r="K8" s="2969" t="str">
        <f t="shared" si="0"/>
        <v>CXDV3x35 Cáp 24kV C/XLPE/DSTA/PVC 3x35mm2</v>
      </c>
    </row>
    <row r="9" spans="1:11" hidden="1">
      <c r="A9" s="2966" t="s">
        <v>6502</v>
      </c>
      <c r="B9" s="2967"/>
      <c r="C9" s="2966" t="s">
        <v>6503</v>
      </c>
      <c r="D9" s="69" t="s">
        <v>6490</v>
      </c>
      <c r="E9" s="2968"/>
      <c r="F9" s="2968">
        <v>7</v>
      </c>
      <c r="G9" s="2968" t="s">
        <v>6491</v>
      </c>
      <c r="H9" s="2968"/>
      <c r="I9" s="2968"/>
      <c r="J9" s="2968" t="str">
        <f t="shared" si="1"/>
        <v>CXDV3x50</v>
      </c>
      <c r="K9" s="2969" t="str">
        <f t="shared" si="0"/>
        <v>CXDV3x50 Cáp 24kV C/XLPE/DSTA/PVC 3x50mm2</v>
      </c>
    </row>
    <row r="10" spans="1:11" hidden="1">
      <c r="A10" s="2966" t="s">
        <v>6504</v>
      </c>
      <c r="B10" s="2967"/>
      <c r="C10" s="2966" t="s">
        <v>6505</v>
      </c>
      <c r="D10" s="69" t="s">
        <v>6490</v>
      </c>
      <c r="E10" s="2968"/>
      <c r="F10" s="2968">
        <v>7</v>
      </c>
      <c r="G10" s="2968" t="s">
        <v>6491</v>
      </c>
      <c r="H10" s="2968"/>
      <c r="I10" s="2968"/>
      <c r="J10" s="2968" t="str">
        <f t="shared" si="1"/>
        <v>CXDV3x70</v>
      </c>
      <c r="K10" s="2969" t="str">
        <f t="shared" si="0"/>
        <v>CXDV3x70 Cáp 24kV C/XLPE/DSTA/PVC 3x70mm2</v>
      </c>
    </row>
    <row r="11" spans="1:11" hidden="1">
      <c r="A11" s="2966" t="s">
        <v>6506</v>
      </c>
      <c r="B11" s="2967"/>
      <c r="C11" s="2966" t="s">
        <v>6507</v>
      </c>
      <c r="D11" s="69" t="s">
        <v>6490</v>
      </c>
      <c r="E11" s="2968"/>
      <c r="F11" s="2968">
        <v>7</v>
      </c>
      <c r="G11" s="2968" t="s">
        <v>6491</v>
      </c>
      <c r="H11" s="2968"/>
      <c r="I11" s="2968"/>
      <c r="J11" s="2968" t="str">
        <f t="shared" si="1"/>
        <v>CXDV3x95</v>
      </c>
      <c r="K11" s="2969" t="str">
        <f t="shared" si="0"/>
        <v>CXDV3x95 Cáp 24kV C/XLPE/DSTA/PVC 3x95mm2</v>
      </c>
    </row>
    <row r="12" spans="1:11" hidden="1">
      <c r="A12" s="2966" t="s">
        <v>6508</v>
      </c>
      <c r="B12" s="2967"/>
      <c r="C12" s="2966" t="s">
        <v>6509</v>
      </c>
      <c r="D12" s="69" t="s">
        <v>2379</v>
      </c>
      <c r="E12" s="2968"/>
      <c r="F12" s="2968">
        <v>9</v>
      </c>
      <c r="G12" s="2968" t="s">
        <v>6510</v>
      </c>
      <c r="H12" s="2968"/>
      <c r="I12" s="2968"/>
      <c r="J12" s="2968" t="str">
        <f t="shared" si="1"/>
        <v>DS630</v>
      </c>
      <c r="K12" s="2969" t="str">
        <f t="shared" si="0"/>
        <v xml:space="preserve">DS630 DS 3P - 24KV - 630A  </v>
      </c>
    </row>
    <row r="13" spans="1:11" hidden="1">
      <c r="A13" s="2966" t="s">
        <v>6511</v>
      </c>
      <c r="B13" s="2967"/>
      <c r="C13" s="2966" t="s">
        <v>6512</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6513</v>
      </c>
      <c r="B14" s="2967"/>
      <c r="C14" s="2966" t="s">
        <v>6514</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6515</v>
      </c>
      <c r="B15" s="2967"/>
      <c r="C15" s="2966" t="s">
        <v>6516</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6517</v>
      </c>
      <c r="B16" s="2967"/>
      <c r="C16" s="2966" t="s">
        <v>6518</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6519</v>
      </c>
      <c r="B17" s="2967"/>
      <c r="C17" s="2966" t="s">
        <v>6520</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6521</v>
      </c>
      <c r="B18" s="2967"/>
      <c r="C18" s="2966" t="s">
        <v>6522</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6523</v>
      </c>
      <c r="B19" s="2967"/>
      <c r="C19" s="2966" t="s">
        <v>6524</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6525</v>
      </c>
      <c r="B20" s="2967"/>
      <c r="C20" s="2966" t="s">
        <v>6526</v>
      </c>
      <c r="D20" s="69" t="s">
        <v>2379</v>
      </c>
      <c r="E20" s="2968"/>
      <c r="F20" s="2968">
        <v>50</v>
      </c>
      <c r="G20" s="2968" t="s">
        <v>510</v>
      </c>
      <c r="H20" s="2968"/>
      <c r="I20" s="2968"/>
      <c r="J20" s="2968" t="str">
        <f t="shared" si="1"/>
        <v>HCN3x95</v>
      </c>
      <c r="K20" s="2969" t="str">
        <f t="shared" si="0"/>
        <v xml:space="preserve">HCN3x95 Hộp nối cáp ngầm 24kV 3x95mm2 </v>
      </c>
    </row>
    <row r="21" spans="1:11">
      <c r="A21" s="2966" t="s">
        <v>6527</v>
      </c>
      <c r="B21" s="2967"/>
      <c r="C21" s="2966" t="s">
        <v>7328</v>
      </c>
      <c r="D21" s="69" t="s">
        <v>2379</v>
      </c>
      <c r="E21" s="2968"/>
      <c r="F21" s="2968">
        <v>9</v>
      </c>
      <c r="G21" s="2968" t="s">
        <v>6510</v>
      </c>
      <c r="H21" s="2968"/>
      <c r="I21" s="2968"/>
      <c r="J21" s="2968" t="str">
        <f t="shared" si="1"/>
        <v>LBS630</v>
      </c>
      <c r="K21" s="2969" t="str">
        <f t="shared" si="0"/>
        <v>LBS630 LBS SF6 3pha 24kV 630A - 16kA (MBA cấp nguồn + Phụ kiện)</v>
      </c>
    </row>
    <row r="22" spans="1:11" hidden="1">
      <c r="A22" s="2966" t="s">
        <v>6528</v>
      </c>
      <c r="B22" s="2967"/>
      <c r="C22" s="2966" t="s">
        <v>6529</v>
      </c>
      <c r="D22" s="69" t="s">
        <v>2379</v>
      </c>
      <c r="E22" s="2968"/>
      <c r="F22" s="2968">
        <v>9</v>
      </c>
      <c r="G22" s="2968" t="s">
        <v>6510</v>
      </c>
      <c r="H22" s="2968"/>
      <c r="I22" s="2968"/>
      <c r="J22" s="2968" t="str">
        <f t="shared" si="1"/>
        <v>LTD800</v>
      </c>
      <c r="K22" s="2969" t="str">
        <f t="shared" si="0"/>
        <v xml:space="preserve">LTD800 LTD 1P 24KV - 800A </v>
      </c>
    </row>
    <row r="23" spans="1:11" hidden="1">
      <c r="A23" s="2966" t="s">
        <v>6530</v>
      </c>
      <c r="B23" s="2967"/>
      <c r="C23" s="2966" t="s">
        <v>6531</v>
      </c>
      <c r="D23" s="69" t="s">
        <v>2379</v>
      </c>
      <c r="E23" s="2968"/>
      <c r="F23" s="2968">
        <v>9</v>
      </c>
      <c r="G23" s="2968" t="s">
        <v>6510</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6510</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6510</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6510</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6510</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6510</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6510</v>
      </c>
      <c r="H29" s="2968"/>
      <c r="I29" s="2968"/>
      <c r="J29" s="2968" t="str">
        <f t="shared" si="1"/>
        <v>ACB4000</v>
      </c>
      <c r="K29" s="2969" t="str">
        <f t="shared" si="0"/>
        <v>ACB4000ACB 3P - 4000A - 85KA (nạp lò xo bằng tay)</v>
      </c>
    </row>
    <row r="30" spans="1:11" hidden="1">
      <c r="A30" s="2966" t="s">
        <v>5606</v>
      </c>
      <c r="B30" s="2967" t="s">
        <v>5603</v>
      </c>
      <c r="C30" s="2966" t="s">
        <v>5607</v>
      </c>
      <c r="D30" s="69" t="s">
        <v>2547</v>
      </c>
      <c r="E30" s="2968"/>
      <c r="F30" s="2968">
        <v>4</v>
      </c>
      <c r="G30" s="2968" t="s">
        <v>6510</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6510</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6510</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6510</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6510</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6510</v>
      </c>
      <c r="H36" s="2968"/>
      <c r="I36" s="2968"/>
      <c r="J36" s="2968" t="str">
        <f t="shared" si="1"/>
        <v>ATM40A</v>
      </c>
      <c r="K36" s="2969" t="str">
        <f t="shared" si="0"/>
        <v>ATM40AAptomat 2 cực 220V - 40A - 7,5kA</v>
      </c>
    </row>
    <row r="37" spans="1:11" hidden="1">
      <c r="A37" s="2966" t="s">
        <v>5583</v>
      </c>
      <c r="B37" s="2967"/>
      <c r="C37" s="2966" t="s">
        <v>5584</v>
      </c>
      <c r="D37" s="69" t="s">
        <v>2547</v>
      </c>
      <c r="E37" s="2968"/>
      <c r="F37" s="2968">
        <v>4</v>
      </c>
      <c r="G37" s="2968" t="s">
        <v>6510</v>
      </c>
      <c r="H37" s="2968"/>
      <c r="I37" s="2968"/>
      <c r="J37" s="2968" t="str">
        <f t="shared" si="1"/>
        <v>ATM50A</v>
      </c>
      <c r="K37" s="2969" t="str">
        <f t="shared" si="0"/>
        <v>ATM50AAptomat 2 cực 220V - 50A - 15kA</v>
      </c>
    </row>
    <row r="38" spans="1:11" hidden="1">
      <c r="A38" s="2966" t="s">
        <v>5585</v>
      </c>
      <c r="B38" s="2967"/>
      <c r="C38" s="2966" t="s">
        <v>5586</v>
      </c>
      <c r="D38" s="69" t="s">
        <v>2547</v>
      </c>
      <c r="E38" s="2968"/>
      <c r="F38" s="2968">
        <v>4</v>
      </c>
      <c r="G38" s="2968" t="s">
        <v>6510</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6510</v>
      </c>
      <c r="H39" s="2968"/>
      <c r="I39" s="2968"/>
      <c r="J39" s="2968" t="str">
        <f t="shared" si="1"/>
        <v>ATM100A</v>
      </c>
      <c r="K39" s="2969" t="str">
        <f t="shared" si="0"/>
        <v>ATM100AAptomat 2 cực 220V -100A</v>
      </c>
    </row>
    <row r="40" spans="1:11" hidden="1">
      <c r="A40" s="2966" t="s">
        <v>5589</v>
      </c>
      <c r="B40" s="2967"/>
      <c r="C40" s="2966" t="s">
        <v>5590</v>
      </c>
      <c r="D40" s="69" t="s">
        <v>2547</v>
      </c>
      <c r="E40" s="2968"/>
      <c r="F40" s="2968">
        <v>4</v>
      </c>
      <c r="G40" s="2968" t="s">
        <v>6510</v>
      </c>
      <c r="H40" s="2968"/>
      <c r="I40" s="2968"/>
      <c r="J40" s="2968" t="str">
        <f t="shared" si="1"/>
        <v>ATM125A</v>
      </c>
      <c r="K40" s="2969" t="str">
        <f t="shared" si="0"/>
        <v>ATM125AAptomat 2 cực 220V -125A-30kA</v>
      </c>
    </row>
    <row r="41" spans="1:11" hidden="1">
      <c r="A41" s="2966" t="s">
        <v>5587</v>
      </c>
      <c r="B41" s="2967"/>
      <c r="C41" s="2966" t="s">
        <v>5588</v>
      </c>
      <c r="D41" s="69" t="s">
        <v>2547</v>
      </c>
      <c r="E41" s="2968"/>
      <c r="F41" s="2968">
        <v>4</v>
      </c>
      <c r="G41" s="2968" t="s">
        <v>6510</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5625</v>
      </c>
      <c r="B46" s="2967"/>
      <c r="C46" s="2966" t="s">
        <v>5626</v>
      </c>
      <c r="D46" s="69" t="s">
        <v>2547</v>
      </c>
      <c r="E46" s="2968"/>
      <c r="F46" s="2968">
        <v>50</v>
      </c>
      <c r="G46" s="2968" t="s">
        <v>510</v>
      </c>
      <c r="H46" s="2968"/>
      <c r="I46" s="2968"/>
      <c r="J46" s="2968" t="str">
        <f t="shared" si="1"/>
        <v>BANGdc</v>
      </c>
      <c r="K46" s="2969" t="str">
        <f t="shared" si="0"/>
        <v>BANGdcBảng báo độ cao</v>
      </c>
    </row>
    <row r="47" spans="1:11" hidden="1">
      <c r="A47" s="2966" t="s">
        <v>6532</v>
      </c>
      <c r="B47" s="2967"/>
      <c r="C47" s="2966" t="s">
        <v>6533</v>
      </c>
      <c r="D47" s="69" t="s">
        <v>2433</v>
      </c>
      <c r="E47" s="2968"/>
      <c r="F47" s="2968">
        <v>50</v>
      </c>
      <c r="G47" s="2968" t="s">
        <v>510</v>
      </c>
      <c r="H47" s="2968"/>
      <c r="I47" s="2968"/>
      <c r="J47" s="2968" t="str">
        <f t="shared" si="1"/>
        <v>BANGNH</v>
      </c>
      <c r="K47" s="2969" t="str">
        <f t="shared" si="0"/>
        <v>BANGNHBảng cảnh báo nguy hiểm</v>
      </c>
    </row>
    <row r="48" spans="1:11" hidden="1">
      <c r="A48" s="2966" t="s">
        <v>6534</v>
      </c>
      <c r="B48" s="2967"/>
      <c r="C48" s="2966" t="s">
        <v>6535</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6536</v>
      </c>
      <c r="B51" s="2967"/>
      <c r="C51" s="2966" t="s">
        <v>6537</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6538</v>
      </c>
      <c r="B52" s="2967"/>
      <c r="C52" s="2966" t="s">
        <v>6539</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6540</v>
      </c>
      <c r="B53" s="2967"/>
      <c r="C53" s="2966" t="s">
        <v>6541</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5714</v>
      </c>
      <c r="B54" s="2967"/>
      <c r="C54" s="2966" t="s">
        <v>4897</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6542</v>
      </c>
      <c r="B55" s="2967"/>
      <c r="C55" s="2966" t="s">
        <v>4897</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6543</v>
      </c>
      <c r="B58" s="2967"/>
      <c r="C58" s="2966" t="s">
        <v>6544</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6545</v>
      </c>
      <c r="B59" s="2967"/>
      <c r="C59" s="2966" t="s">
        <v>6546</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6010</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6547</v>
      </c>
      <c r="B62" s="2967"/>
      <c r="C62" s="2966" t="s">
        <v>7315</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4801</v>
      </c>
      <c r="D63" s="69" t="s">
        <v>2433</v>
      </c>
      <c r="E63" s="2968"/>
      <c r="F63" s="2968">
        <v>50</v>
      </c>
      <c r="G63" s="2968" t="s">
        <v>510</v>
      </c>
      <c r="H63" s="2968"/>
      <c r="I63" s="2968"/>
      <c r="J63" s="2968" t="str">
        <f t="shared" si="1"/>
        <v>BATLL</v>
      </c>
      <c r="K63" s="2969" t="str">
        <f t="shared" si="0"/>
        <v>BATLLBass LL bắt FCO, LA</v>
      </c>
    </row>
    <row r="64" spans="1:11" hidden="1">
      <c r="A64" s="2966" t="s">
        <v>6548</v>
      </c>
      <c r="B64" s="2967"/>
      <c r="C64" s="2966" t="s">
        <v>6549</v>
      </c>
      <c r="D64" s="69" t="s">
        <v>853</v>
      </c>
      <c r="E64" s="2968"/>
      <c r="F64" s="2968">
        <v>2000</v>
      </c>
      <c r="G64" s="2968" t="s">
        <v>510</v>
      </c>
      <c r="H64" s="2968"/>
      <c r="I64" s="2968"/>
      <c r="J64" s="2968" t="str">
        <f t="shared" si="1"/>
        <v>BT12M200</v>
      </c>
      <c r="K64" s="2969" t="str">
        <f t="shared" si="0"/>
        <v>BT12M200Bê tông mác 200 đá 1x2</v>
      </c>
    </row>
    <row r="65" spans="1:11" hidden="1">
      <c r="A65" s="2966" t="s">
        <v>5400</v>
      </c>
      <c r="B65" s="2967"/>
      <c r="C65" s="2966" t="s">
        <v>5401</v>
      </c>
      <c r="D65" s="69" t="s">
        <v>853</v>
      </c>
      <c r="E65" s="2968"/>
      <c r="F65" s="2968">
        <v>3000</v>
      </c>
      <c r="G65" s="2968" t="s">
        <v>510</v>
      </c>
      <c r="H65" s="2968"/>
      <c r="I65" s="2968"/>
      <c r="J65" s="2968" t="str">
        <f t="shared" si="1"/>
        <v>BT200</v>
      </c>
      <c r="K65" s="2969" t="str">
        <f t="shared" si="0"/>
        <v>BT200Bêtông đá 1x2 mac 200</v>
      </c>
    </row>
    <row r="66" spans="1:11" hidden="1">
      <c r="A66" s="2966" t="s">
        <v>5402</v>
      </c>
      <c r="B66" s="2967"/>
      <c r="C66" s="2966" t="s">
        <v>5403</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5526</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5520</v>
      </c>
      <c r="B85" s="2967"/>
      <c r="C85" s="2966" t="s">
        <v>5521</v>
      </c>
      <c r="D85" s="69" t="s">
        <v>2547</v>
      </c>
      <c r="E85" s="2968"/>
      <c r="F85" s="2968">
        <v>2000</v>
      </c>
      <c r="G85" s="2968" t="s">
        <v>510</v>
      </c>
      <c r="H85" s="2968"/>
      <c r="I85" s="2968"/>
      <c r="J85" s="2968" t="str">
        <f t="shared" si="3"/>
        <v>TI1000</v>
      </c>
      <c r="K85" s="2969" t="str">
        <f t="shared" si="2"/>
        <v>TI1000Biến dòng 600V - 1000/5A</v>
      </c>
    </row>
    <row r="86" spans="1:11" hidden="1">
      <c r="A86" s="2966" t="s">
        <v>5522</v>
      </c>
      <c r="B86" s="2967"/>
      <c r="C86" s="2966" t="s">
        <v>5523</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5524</v>
      </c>
      <c r="B89" s="2967"/>
      <c r="C89" s="2966" t="s">
        <v>5525</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6550</v>
      </c>
      <c r="B102" s="2967" t="s">
        <v>6551</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5"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6552</v>
      </c>
      <c r="B104" s="2967" t="s">
        <v>6553</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5"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5"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6554</v>
      </c>
      <c r="B107" s="2967" t="s">
        <v>5310</v>
      </c>
      <c r="C107" s="2966" t="s">
        <v>6555</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6556</v>
      </c>
      <c r="B110" s="2967" t="s">
        <v>6557</v>
      </c>
      <c r="C110" s="2966" t="s">
        <v>6558</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6559</v>
      </c>
      <c r="B113" s="2967" t="s">
        <v>5319</v>
      </c>
      <c r="C113" s="2966" t="s">
        <v>6560</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6561</v>
      </c>
      <c r="B116" s="2967" t="s">
        <v>5066</v>
      </c>
      <c r="C116" s="2966" t="s">
        <v>6562</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6563</v>
      </c>
      <c r="B118" s="2967" t="s">
        <v>5322</v>
      </c>
      <c r="C118" s="2966" t="s">
        <v>6564</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6565</v>
      </c>
      <c r="B123" s="2967" t="s">
        <v>5066</v>
      </c>
      <c r="C123" s="2966" t="s">
        <v>6566</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6567</v>
      </c>
      <c r="B126" s="2967" t="s">
        <v>5313</v>
      </c>
      <c r="C126" s="2966" t="s">
        <v>6568</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6569</v>
      </c>
      <c r="B129" s="2967" t="s">
        <v>5307</v>
      </c>
      <c r="C129" s="2966" t="s">
        <v>6570</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6571</v>
      </c>
      <c r="B133" s="2967" t="s">
        <v>5066</v>
      </c>
      <c r="C133" s="2966" t="s">
        <v>6572</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5166</v>
      </c>
      <c r="B143" s="2967"/>
      <c r="C143" s="2966" t="s">
        <v>5167</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4628</v>
      </c>
      <c r="B144" s="2967"/>
      <c r="C144" s="2966" t="s">
        <v>4629</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6457</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4632</v>
      </c>
      <c r="B146" s="2967"/>
      <c r="C146" s="2966" t="s">
        <v>4633</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6573</v>
      </c>
      <c r="B147" s="2967"/>
      <c r="C147" s="2966" t="s">
        <v>6574</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6575</v>
      </c>
      <c r="B148" s="2967" t="s">
        <v>5066</v>
      </c>
      <c r="C148" s="2966" t="s">
        <v>6576</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6577</v>
      </c>
      <c r="B149" s="2967" t="s">
        <v>5066</v>
      </c>
      <c r="C149" s="2966" t="s">
        <v>6578</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6349</v>
      </c>
      <c r="B150" s="2967"/>
      <c r="C150" s="2966" t="s">
        <v>6348</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6350</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6345</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5" hidden="1">
      <c r="A154" s="2974" t="s">
        <v>1618</v>
      </c>
      <c r="B154" s="2967"/>
      <c r="C154" s="2966" t="s">
        <v>6420</v>
      </c>
      <c r="D154" s="69" t="s">
        <v>2433</v>
      </c>
      <c r="E154" s="2968"/>
      <c r="F154" s="2968">
        <v>2000</v>
      </c>
      <c r="G154" s="2968" t="s">
        <v>355</v>
      </c>
      <c r="H154" s="2968"/>
      <c r="I154" s="2968"/>
      <c r="J154" s="2968" t="str">
        <f t="shared" si="5"/>
        <v>Nth-T</v>
      </c>
      <c r="K154" s="2969" t="str">
        <f t="shared" si="4"/>
        <v>Nth-TBộ khóa néo dây trung hòa vào trụ đơn</v>
      </c>
    </row>
    <row r="155" spans="1:11" ht="16.5" hidden="1">
      <c r="A155" s="2974" t="s">
        <v>532</v>
      </c>
      <c r="B155" s="2967"/>
      <c r="C155" s="2966" t="s">
        <v>6422</v>
      </c>
      <c r="D155" s="69" t="s">
        <v>2433</v>
      </c>
      <c r="E155" s="2968"/>
      <c r="F155" s="2968">
        <v>2000</v>
      </c>
      <c r="G155" s="2968" t="s">
        <v>355</v>
      </c>
      <c r="H155" s="2968"/>
      <c r="I155" s="2968"/>
      <c r="J155" s="2968" t="str">
        <f t="shared" si="5"/>
        <v>Nth-T-g</v>
      </c>
      <c r="K155" s="2969" t="str">
        <f t="shared" si="4"/>
        <v>Nth-T-gBộ khóa néo dây trung hòa vào trụ ghép</v>
      </c>
    </row>
    <row r="156" spans="1:11" ht="16.5" hidden="1">
      <c r="A156" s="2974" t="s">
        <v>2155</v>
      </c>
      <c r="B156" s="2967"/>
      <c r="C156" s="2966" t="s">
        <v>6421</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6579</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6579</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6579</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6579</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6579</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6579</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6579</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6579</v>
      </c>
      <c r="H164" s="2968"/>
      <c r="I164" s="2968"/>
      <c r="J164" s="2968" t="str">
        <f t="shared" si="5"/>
        <v xml:space="preserve">MNX15-6 </v>
      </c>
      <c r="K164" s="2969" t="str">
        <f t="shared" si="4"/>
        <v>MNX15-6 Bộ móng neo 1500x600 cho chằng xuống: MNX15-6</v>
      </c>
    </row>
    <row r="165" spans="1:11" hidden="1">
      <c r="A165" s="2966" t="s">
        <v>6580</v>
      </c>
      <c r="B165" s="2967" t="s">
        <v>6557</v>
      </c>
      <c r="C165" s="2966" t="s">
        <v>6581</v>
      </c>
      <c r="D165" s="69" t="s">
        <v>2379</v>
      </c>
      <c r="E165" s="2968"/>
      <c r="F165" s="2968">
        <v>2000</v>
      </c>
      <c r="G165" s="2968" t="s">
        <v>6579</v>
      </c>
      <c r="H165" s="2968"/>
      <c r="I165" s="2968"/>
      <c r="J165" s="2968" t="str">
        <f t="shared" si="5"/>
        <v>NXL-H</v>
      </c>
      <c r="K165" s="2969" t="str">
        <f t="shared" si="4"/>
        <v>NXL-HBộ móng neo xòe cho chằng lệch (HT)</v>
      </c>
    </row>
    <row r="166" spans="1:11" hidden="1">
      <c r="A166" s="2966" t="s">
        <v>6582</v>
      </c>
      <c r="B166" s="2967" t="s">
        <v>5258</v>
      </c>
      <c r="C166" s="2966" t="s">
        <v>6583</v>
      </c>
      <c r="D166" s="69" t="s">
        <v>2379</v>
      </c>
      <c r="E166" s="2968"/>
      <c r="F166" s="2968">
        <v>2000</v>
      </c>
      <c r="G166" s="2968" t="s">
        <v>6579</v>
      </c>
      <c r="H166" s="2968"/>
      <c r="I166" s="2968"/>
      <c r="J166" s="2968" t="str">
        <f t="shared" si="5"/>
        <v>NXL-HD</v>
      </c>
      <c r="K166" s="2969" t="str">
        <f t="shared" si="4"/>
        <v>NXL-HDBộ móng neo xòe cho chằng lệch (HT) - Lỗ đá</v>
      </c>
    </row>
    <row r="167" spans="1:11" hidden="1">
      <c r="A167" s="2966" t="s">
        <v>6584</v>
      </c>
      <c r="B167" s="2967" t="s">
        <v>5316</v>
      </c>
      <c r="C167" s="2966" t="s">
        <v>6585</v>
      </c>
      <c r="D167" s="69" t="s">
        <v>2379</v>
      </c>
      <c r="E167" s="2968"/>
      <c r="F167" s="2968">
        <v>2000</v>
      </c>
      <c r="G167" s="2968" t="s">
        <v>6579</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6579</v>
      </c>
      <c r="H168" s="2968"/>
      <c r="I168" s="2968"/>
      <c r="J168" s="2968" t="str">
        <f t="shared" si="5"/>
        <v>NXL</v>
      </c>
      <c r="K168" s="2969" t="str">
        <f t="shared" si="4"/>
        <v>NXLBộ móng neo xòe cho chằng lệch: NXL</v>
      </c>
    </row>
    <row r="169" spans="1:11" hidden="1">
      <c r="A169" s="2966" t="s">
        <v>6586</v>
      </c>
      <c r="B169" s="2967" t="s">
        <v>6587</v>
      </c>
      <c r="C169" s="2966" t="s">
        <v>6588</v>
      </c>
      <c r="D169" s="69" t="s">
        <v>2379</v>
      </c>
      <c r="E169" s="2968"/>
      <c r="F169" s="2968">
        <v>2000</v>
      </c>
      <c r="G169" s="2968" t="s">
        <v>6579</v>
      </c>
      <c r="H169" s="2968"/>
      <c r="I169" s="2968"/>
      <c r="J169" s="2968" t="str">
        <f t="shared" si="5"/>
        <v>NXX-H</v>
      </c>
      <c r="K169" s="2969" t="str">
        <f t="shared" si="4"/>
        <v>NXX-HBộ móng neo xòe cho chằng xuống (HT)</v>
      </c>
    </row>
    <row r="170" spans="1:11" hidden="1">
      <c r="A170" s="2966" t="s">
        <v>6589</v>
      </c>
      <c r="B170" s="2967" t="s">
        <v>5307</v>
      </c>
      <c r="C170" s="2966" t="s">
        <v>6590</v>
      </c>
      <c r="D170" s="69" t="s">
        <v>2379</v>
      </c>
      <c r="E170" s="2968"/>
      <c r="F170" s="2968">
        <v>2000</v>
      </c>
      <c r="G170" s="2968" t="s">
        <v>6579</v>
      </c>
      <c r="H170" s="2968"/>
      <c r="I170" s="2968"/>
      <c r="J170" s="2968" t="str">
        <f t="shared" si="5"/>
        <v>NXX-HD</v>
      </c>
      <c r="K170" s="2969" t="str">
        <f t="shared" si="4"/>
        <v>NXX-HDBộ móng neo xòe cho chằng xuống (HT) - Lỗ đá</v>
      </c>
    </row>
    <row r="171" spans="1:11" hidden="1">
      <c r="A171" s="2966" t="s">
        <v>6591</v>
      </c>
      <c r="B171" s="2967" t="s">
        <v>5316</v>
      </c>
      <c r="C171" s="2966" t="s">
        <v>6592</v>
      </c>
      <c r="D171" s="69" t="s">
        <v>2379</v>
      </c>
      <c r="E171" s="2968"/>
      <c r="F171" s="2968">
        <v>2000</v>
      </c>
      <c r="G171" s="2968" t="s">
        <v>6579</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6579</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6593</v>
      </c>
      <c r="B174" s="2967" t="s">
        <v>6594</v>
      </c>
      <c r="C174" s="2966" t="s">
        <v>6595</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6596</v>
      </c>
      <c r="B175" s="2967" t="s">
        <v>6597</v>
      </c>
      <c r="C175" s="2966" t="s">
        <v>6598</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6599</v>
      </c>
      <c r="B176" s="2967" t="s">
        <v>6600</v>
      </c>
      <c r="C176" s="2966" t="s">
        <v>6601</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6602</v>
      </c>
      <c r="B177" s="2967" t="s">
        <v>6603</v>
      </c>
      <c r="C177" s="2966" t="s">
        <v>6604</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6605</v>
      </c>
      <c r="B178" s="2967" t="s">
        <v>6606</v>
      </c>
      <c r="C178" s="2966" t="s">
        <v>6607</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6608</v>
      </c>
      <c r="B179" s="2967" t="s">
        <v>5435</v>
      </c>
      <c r="C179" s="2966" t="s">
        <v>6609</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6610</v>
      </c>
      <c r="B180" s="2967" t="s">
        <v>5431</v>
      </c>
      <c r="C180" s="2966" t="s">
        <v>6611</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6612</v>
      </c>
      <c r="B181" s="2967" t="s">
        <v>5431</v>
      </c>
      <c r="C181" s="2966" t="s">
        <v>6613</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6614</v>
      </c>
      <c r="B182" s="2967" t="s">
        <v>5432</v>
      </c>
      <c r="C182" s="2966" t="s">
        <v>6615</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t="15.75" hidden="1">
      <c r="A186" s="2975" t="s">
        <v>4224</v>
      </c>
      <c r="B186" s="2967"/>
      <c r="C186" s="2976" t="s">
        <v>4795</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6616</v>
      </c>
      <c r="B187" s="2967"/>
      <c r="C187" s="2966" t="s">
        <v>6617</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6618</v>
      </c>
      <c r="B188" s="2967"/>
      <c r="C188" s="2966" t="s">
        <v>6619</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5" hidden="1">
      <c r="A189" s="2974" t="s">
        <v>2493</v>
      </c>
      <c r="B189" s="2967"/>
      <c r="C189" s="2966" t="s">
        <v>6453</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6620</v>
      </c>
      <c r="B190" s="2967" t="s">
        <v>6621</v>
      </c>
      <c r="C190" s="2966" t="s">
        <v>6622</v>
      </c>
      <c r="D190" s="69" t="s">
        <v>2433</v>
      </c>
      <c r="E190" s="2968"/>
      <c r="F190" s="2968">
        <v>2000</v>
      </c>
      <c r="G190" s="2968" t="s">
        <v>355</v>
      </c>
      <c r="H190" s="2968"/>
      <c r="I190" s="2968"/>
      <c r="J190" s="2968" t="str">
        <f t="shared" si="5"/>
        <v>U-D</v>
      </c>
      <c r="K190" s="2969" t="str">
        <f t="shared" si="4"/>
        <v>U-DBộ Uclevis đỡ dây trung hòa (trụ đơn)</v>
      </c>
    </row>
    <row r="191" spans="1:11" ht="16.5" hidden="1">
      <c r="A191" s="2974" t="s">
        <v>2527</v>
      </c>
      <c r="B191" s="2967"/>
      <c r="C191" s="2966" t="s">
        <v>6455</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6623</v>
      </c>
      <c r="B192" s="2967" t="s">
        <v>6624</v>
      </c>
      <c r="C192" s="2966" t="s">
        <v>6455</v>
      </c>
      <c r="D192" s="69" t="s">
        <v>2433</v>
      </c>
      <c r="E192" s="2968"/>
      <c r="F192" s="2968">
        <v>2000</v>
      </c>
      <c r="G192" s="2968" t="s">
        <v>355</v>
      </c>
      <c r="H192" s="2968"/>
      <c r="I192" s="2968"/>
      <c r="J192" s="2968" t="str">
        <f t="shared" si="5"/>
        <v>U-K</v>
      </c>
      <c r="K192" s="2969" t="str">
        <f t="shared" si="4"/>
        <v>U-KBộ Uclevis đỡ dây trung hòa trụ ghép</v>
      </c>
    </row>
    <row r="193" spans="1:11" ht="16.5" hidden="1">
      <c r="A193" s="2974" t="s">
        <v>2529</v>
      </c>
      <c r="B193" s="2967"/>
      <c r="C193" s="2966" t="s">
        <v>6456</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6625</v>
      </c>
      <c r="B194" s="2967"/>
      <c r="C194" s="2966" t="s">
        <v>6456</v>
      </c>
      <c r="D194" s="69" t="s">
        <v>2433</v>
      </c>
      <c r="E194" s="2968"/>
      <c r="F194" s="2968">
        <v>2000</v>
      </c>
      <c r="G194" s="2968" t="s">
        <v>355</v>
      </c>
      <c r="H194" s="2968"/>
      <c r="I194" s="2968"/>
      <c r="J194" s="2968" t="str">
        <f t="shared" si="5"/>
        <v>U-X</v>
      </c>
      <c r="K194" s="2969" t="str">
        <f t="shared" si="4"/>
        <v>U-XBộ Uclevis đỡ dây trung hòa vào xà</v>
      </c>
    </row>
    <row r="195" spans="1:11" ht="16.5" hidden="1">
      <c r="A195" s="2974" t="s">
        <v>1617</v>
      </c>
      <c r="B195" s="2967"/>
      <c r="C195" s="2966" t="s">
        <v>6454</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6626</v>
      </c>
      <c r="B197" s="2967" t="s">
        <v>6627</v>
      </c>
      <c r="C197" s="2966" t="s">
        <v>6628</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6629</v>
      </c>
      <c r="B198" s="2967" t="s">
        <v>6627</v>
      </c>
      <c r="C198" s="2966" t="s">
        <v>6630</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6631</v>
      </c>
      <c r="B199" s="2967" t="s">
        <v>6632</v>
      </c>
      <c r="C199" s="2966" t="s">
        <v>6633</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6634</v>
      </c>
      <c r="B200" s="2967" t="s">
        <v>6632</v>
      </c>
      <c r="C200" s="2966" t="s">
        <v>6635</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6636</v>
      </c>
      <c r="B204" s="2967" t="s">
        <v>6637</v>
      </c>
      <c r="C204" s="2966" t="s">
        <v>6638</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6639</v>
      </c>
      <c r="B206" s="2967" t="s">
        <v>6640</v>
      </c>
      <c r="C206" s="2966" t="s">
        <v>6641</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hidden="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hidden="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hidden="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6642</v>
      </c>
      <c r="B218" s="2967" t="s">
        <v>6637</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6643</v>
      </c>
      <c r="B219" s="2967" t="s">
        <v>6644</v>
      </c>
      <c r="C219" s="2966" t="s">
        <v>6645</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6646</v>
      </c>
      <c r="B220" s="2967" t="s">
        <v>6644</v>
      </c>
      <c r="C220" s="2966" t="s">
        <v>6647</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4730</v>
      </c>
      <c r="B223" s="2967"/>
      <c r="C223" s="2966" t="s">
        <v>4774</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4731</v>
      </c>
      <c r="B224" s="2967"/>
      <c r="C224" s="2966" t="s">
        <v>4773</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6648</v>
      </c>
      <c r="B228" s="2967" t="s">
        <v>6632</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6649</v>
      </c>
      <c r="B230" s="2967" t="s">
        <v>6650</v>
      </c>
      <c r="C230" s="2966" t="s">
        <v>6651</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6652</v>
      </c>
      <c r="B231" s="2967" t="s">
        <v>6653</v>
      </c>
      <c r="C231" s="2966" t="s">
        <v>6654</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6655</v>
      </c>
      <c r="B233" s="2967" t="s">
        <v>6637</v>
      </c>
      <c r="C233" s="2966" t="s">
        <v>6656</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6657</v>
      </c>
      <c r="B235" s="2967" t="s">
        <v>6658</v>
      </c>
      <c r="C235" s="2966" t="s">
        <v>6659</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6660</v>
      </c>
      <c r="B236" s="2967" t="s">
        <v>6632</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6661</v>
      </c>
      <c r="B238" s="2967" t="s">
        <v>5230</v>
      </c>
      <c r="C238" s="2966" t="s">
        <v>6662</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6663</v>
      </c>
      <c r="B239" s="2967" t="s">
        <v>6664</v>
      </c>
      <c r="C239" s="2966" t="s">
        <v>6665</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6666</v>
      </c>
      <c r="B241" s="2967" t="s">
        <v>6637</v>
      </c>
      <c r="C241" s="2966" t="s">
        <v>6667</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6668</v>
      </c>
      <c r="B243" s="2967" t="s">
        <v>6669</v>
      </c>
      <c r="C243" s="2966" t="s">
        <v>6670</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4970</v>
      </c>
      <c r="B257" s="2967"/>
      <c r="C257" s="2966" t="s">
        <v>4971</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6671</v>
      </c>
      <c r="B270" s="2967"/>
      <c r="C270" s="2966" t="s">
        <v>6672</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4976</v>
      </c>
      <c r="B272" s="2967"/>
      <c r="C272" s="2966" t="s">
        <v>4977</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4974</v>
      </c>
      <c r="B273" s="2967"/>
      <c r="C273" s="2966" t="s">
        <v>4975</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4980</v>
      </c>
      <c r="B277" s="2967"/>
      <c r="C277" s="2966" t="s">
        <v>4981</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6673</v>
      </c>
      <c r="B295" s="2967"/>
      <c r="C295" s="2966" t="s">
        <v>6674</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6675</v>
      </c>
      <c r="B298" s="2967"/>
      <c r="C298" s="2966" t="s">
        <v>6676</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4742</v>
      </c>
      <c r="B299" s="2967"/>
      <c r="C299" s="2966" t="s">
        <v>4743</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6677</v>
      </c>
      <c r="B302" s="2967"/>
      <c r="C302" s="2966" t="s">
        <v>6678</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4884</v>
      </c>
      <c r="B305" s="2967"/>
      <c r="C305" s="2966" t="s">
        <v>4914</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6679</v>
      </c>
      <c r="B306" s="2967"/>
      <c r="C306" s="2966" t="s">
        <v>6680</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6681</v>
      </c>
      <c r="B309" s="2967"/>
      <c r="C309" s="2966" t="s">
        <v>6682</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6683</v>
      </c>
      <c r="B311" s="2967"/>
      <c r="C311" s="2966" t="s">
        <v>6684</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6685</v>
      </c>
      <c r="B313" s="2967"/>
      <c r="C313" s="2966" t="s">
        <v>6686</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4978</v>
      </c>
      <c r="B315" s="2967"/>
      <c r="C315" s="2966" t="s">
        <v>4979</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6687</v>
      </c>
      <c r="B316" s="2967"/>
      <c r="C316" s="2966" t="s">
        <v>6688</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4568</v>
      </c>
      <c r="B317" s="2967"/>
      <c r="C317" s="2966" t="s">
        <v>4569</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4982</v>
      </c>
      <c r="B318" s="2967"/>
      <c r="C318" s="2966" t="s">
        <v>4569</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6425</v>
      </c>
      <c r="B319" s="2973"/>
      <c r="C319" s="2966" t="s">
        <v>6426</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4758</v>
      </c>
      <c r="B320" s="2967"/>
      <c r="C320" s="2966" t="s">
        <v>4759</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4984</v>
      </c>
      <c r="B323" s="2967"/>
      <c r="C323" s="2966" t="s">
        <v>4985</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4986</v>
      </c>
      <c r="B324" s="2967"/>
      <c r="C324" s="2966" t="s">
        <v>4985</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4987</v>
      </c>
      <c r="B325" s="2967"/>
      <c r="C325" s="2966" t="s">
        <v>4985</v>
      </c>
      <c r="D325" s="69" t="s">
        <v>2433</v>
      </c>
      <c r="E325" s="2968"/>
      <c r="F325" s="2968">
        <v>50</v>
      </c>
      <c r="G325" s="2968" t="s">
        <v>510</v>
      </c>
      <c r="H325" s="2968"/>
      <c r="I325" s="2968"/>
      <c r="J325" s="2968" t="str">
        <f t="shared" si="11"/>
        <v>B22350</v>
      </c>
      <c r="K325" s="2969" t="str">
        <f t="shared" si="10"/>
        <v>B22350Boulon 22x250+ 2 long đền vuông D24-60x60x3/Zn</v>
      </c>
    </row>
    <row r="326" spans="1:11" hidden="1">
      <c r="A326" s="2966" t="s">
        <v>4988</v>
      </c>
      <c r="B326" s="2967"/>
      <c r="C326" s="2966" t="s">
        <v>4985</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6689</v>
      </c>
      <c r="B331" s="2967"/>
      <c r="C331" s="2966" t="s">
        <v>6690</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6691</v>
      </c>
      <c r="B334" s="2967" t="s">
        <v>1012</v>
      </c>
      <c r="C334" s="2966" t="s">
        <v>6692</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6693</v>
      </c>
      <c r="B338" s="2967"/>
      <c r="C338" s="2966" t="s">
        <v>6694</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6695</v>
      </c>
      <c r="B340" s="2967"/>
      <c r="C340" s="2966" t="s">
        <v>6696</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4968</v>
      </c>
      <c r="B346" s="2967"/>
      <c r="C346" s="2966" t="s">
        <v>4969</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4828</v>
      </c>
      <c r="B350" s="2967"/>
      <c r="C350" s="2966" t="s">
        <v>4829</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6697</v>
      </c>
      <c r="B351" s="2967"/>
      <c r="C351" s="2966" t="s">
        <v>6698</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4991</v>
      </c>
      <c r="B352" s="2967"/>
      <c r="C352" s="2966" t="s">
        <v>4992</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4630</v>
      </c>
      <c r="B353" s="2967"/>
      <c r="C353" s="2966" t="s">
        <v>4631</v>
      </c>
      <c r="D353" s="69" t="s">
        <v>2433</v>
      </c>
      <c r="E353" s="2968"/>
      <c r="F353" s="2968">
        <v>50</v>
      </c>
      <c r="G353" s="2968" t="s">
        <v>510</v>
      </c>
      <c r="H353" s="2968"/>
      <c r="I353" s="2968"/>
      <c r="J353" s="2968" t="str">
        <f t="shared" si="11"/>
        <v>BMOC16200</v>
      </c>
      <c r="K353" s="2969" t="str">
        <f t="shared" si="10"/>
        <v>BMOC16200Boulon móc 16x200</v>
      </c>
    </row>
    <row r="354" spans="1:11" hidden="1">
      <c r="A354" s="2966" t="s">
        <v>6699</v>
      </c>
      <c r="B354" s="2967"/>
      <c r="C354" s="2966" t="s">
        <v>6700</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6701</v>
      </c>
      <c r="B357" s="2967"/>
      <c r="C357" s="2966" t="s">
        <v>6702</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6703</v>
      </c>
      <c r="B358" s="2967"/>
      <c r="C358" s="2966" t="s">
        <v>6704</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6705</v>
      </c>
      <c r="B359" s="2967"/>
      <c r="C359" s="2966" t="s">
        <v>6706</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4994</v>
      </c>
      <c r="B360" s="2967"/>
      <c r="C360" s="2966" t="s">
        <v>4995</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6707</v>
      </c>
      <c r="B361" s="2967"/>
      <c r="C361" s="2966" t="s">
        <v>6708</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4972</v>
      </c>
      <c r="B366" s="2967"/>
      <c r="C366" s="2966" t="s">
        <v>4973</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6709</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6709</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6709</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6709</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6709</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6709</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6491</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6491</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6491</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6491</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6491</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6491</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6491</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6491</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6491</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6491</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6491</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6491</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6491</v>
      </c>
      <c r="H385" s="2968"/>
      <c r="I385" s="2968"/>
      <c r="J385" s="2968" t="str">
        <f t="shared" si="11"/>
        <v>XLPE95A</v>
      </c>
      <c r="K385" s="2969" t="str">
        <f t="shared" si="10"/>
        <v>XLPE95ACáp 24KV A/XLPE/PVC 95mm2</v>
      </c>
    </row>
    <row r="386" spans="1:11" hidden="1">
      <c r="A386" s="2966" t="s">
        <v>5012</v>
      </c>
      <c r="B386" s="2967"/>
      <c r="C386" s="2966" t="s">
        <v>5013</v>
      </c>
      <c r="D386" s="69" t="s">
        <v>2526</v>
      </c>
      <c r="E386" s="2968"/>
      <c r="F386" s="2968">
        <v>8</v>
      </c>
      <c r="G386" s="2968" t="s">
        <v>6491</v>
      </c>
      <c r="H386" s="2968"/>
      <c r="I386" s="2968"/>
      <c r="J386" s="2968" t="str">
        <f t="shared" si="11"/>
        <v>XLPE150ACX</v>
      </c>
      <c r="K386" s="2969" t="str">
        <f t="shared" si="10"/>
        <v>XLPE150ACXCáp 24KV AC/XLPE 150mm2</v>
      </c>
    </row>
    <row r="387" spans="1:11" hidden="1">
      <c r="A387" s="2966" t="s">
        <v>5014</v>
      </c>
      <c r="B387" s="2967"/>
      <c r="C387" s="2966" t="s">
        <v>5015</v>
      </c>
      <c r="D387" s="69" t="s">
        <v>2526</v>
      </c>
      <c r="E387" s="2968"/>
      <c r="F387" s="2968">
        <v>8</v>
      </c>
      <c r="G387" s="2968" t="s">
        <v>6491</v>
      </c>
      <c r="H387" s="2968"/>
      <c r="I387" s="2968"/>
      <c r="J387" s="2968" t="str">
        <f t="shared" si="11"/>
        <v>XLPE185ACX</v>
      </c>
      <c r="K387" s="2969" t="str">
        <f t="shared" ref="K387:K450" si="12">A387&amp;C387</f>
        <v>XLPE185ACXCáp 24KV AC/XLPE 185mm2</v>
      </c>
    </row>
    <row r="388" spans="1:11" hidden="1">
      <c r="A388" s="2966" t="s">
        <v>5016</v>
      </c>
      <c r="B388" s="2967"/>
      <c r="C388" s="2966" t="s">
        <v>5017</v>
      </c>
      <c r="D388" s="69" t="s">
        <v>2526</v>
      </c>
      <c r="E388" s="2968"/>
      <c r="F388" s="2968">
        <v>8</v>
      </c>
      <c r="G388" s="2968" t="s">
        <v>6491</v>
      </c>
      <c r="H388" s="2968"/>
      <c r="I388" s="2968"/>
      <c r="J388" s="2968" t="str">
        <f t="shared" ref="J388:J451" si="13">A388</f>
        <v>XLPE240ACX</v>
      </c>
      <c r="K388" s="2969" t="str">
        <f t="shared" si="12"/>
        <v>XLPE240ACXCáp 24KV AC/XLPE 240mm2</v>
      </c>
    </row>
    <row r="389" spans="1:11" hidden="1">
      <c r="A389" s="2966" t="s">
        <v>5007</v>
      </c>
      <c r="B389" s="2967"/>
      <c r="C389" s="2966" t="s">
        <v>4952</v>
      </c>
      <c r="D389" s="69" t="s">
        <v>2526</v>
      </c>
      <c r="E389" s="2968"/>
      <c r="F389" s="2968">
        <v>8</v>
      </c>
      <c r="G389" s="2968" t="s">
        <v>6491</v>
      </c>
      <c r="H389" s="2968"/>
      <c r="I389" s="2968"/>
      <c r="J389" s="2968" t="str">
        <f t="shared" si="13"/>
        <v>XLPE50ACX</v>
      </c>
      <c r="K389" s="2969" t="str">
        <f t="shared" si="12"/>
        <v>XLPE50ACXCáp 24KV AC/XLPE 50mm2</v>
      </c>
    </row>
    <row r="390" spans="1:11" hidden="1">
      <c r="A390" s="2966" t="s">
        <v>5008</v>
      </c>
      <c r="B390" s="2967"/>
      <c r="C390" s="2966" t="s">
        <v>5009</v>
      </c>
      <c r="D390" s="69" t="s">
        <v>2526</v>
      </c>
      <c r="E390" s="2968"/>
      <c r="F390" s="2968">
        <v>8</v>
      </c>
      <c r="G390" s="2968" t="s">
        <v>6491</v>
      </c>
      <c r="H390" s="2968"/>
      <c r="I390" s="2968"/>
      <c r="J390" s="2968" t="str">
        <f t="shared" si="13"/>
        <v>XLPE70ACX</v>
      </c>
      <c r="K390" s="2969" t="str">
        <f t="shared" si="12"/>
        <v>XLPE70ACXCáp 24KV AC/XLPE 70mm2</v>
      </c>
    </row>
    <row r="391" spans="1:11" hidden="1">
      <c r="A391" s="2966" t="s">
        <v>5024</v>
      </c>
      <c r="B391" s="2967"/>
      <c r="C391" s="2966" t="s">
        <v>5025</v>
      </c>
      <c r="D391" s="69" t="s">
        <v>2526</v>
      </c>
      <c r="E391" s="2968"/>
      <c r="F391" s="2968">
        <v>8</v>
      </c>
      <c r="G391" s="2968" t="s">
        <v>6491</v>
      </c>
      <c r="H391" s="2968"/>
      <c r="I391" s="2968"/>
      <c r="J391" s="2968" t="str">
        <f t="shared" si="13"/>
        <v>XLPE120AC</v>
      </c>
      <c r="K391" s="2969" t="str">
        <f t="shared" si="12"/>
        <v>XLPE120ACCáp 24KV AC/XLPE/PVC 120mm2</v>
      </c>
    </row>
    <row r="392" spans="1:11" hidden="1">
      <c r="A392" s="2966" t="s">
        <v>5026</v>
      </c>
      <c r="B392" s="2967"/>
      <c r="C392" s="2966" t="s">
        <v>5027</v>
      </c>
      <c r="D392" s="69" t="s">
        <v>2526</v>
      </c>
      <c r="E392" s="2968"/>
      <c r="F392" s="2968">
        <v>8</v>
      </c>
      <c r="G392" s="2968" t="s">
        <v>6491</v>
      </c>
      <c r="H392" s="2968"/>
      <c r="I392" s="2968"/>
      <c r="J392" s="2968" t="str">
        <f t="shared" si="13"/>
        <v>XLPE150AC</v>
      </c>
      <c r="K392" s="2969" t="str">
        <f t="shared" si="12"/>
        <v>XLPE150ACCáp 24KV AC/XLPE/PVC 150mm2</v>
      </c>
    </row>
    <row r="393" spans="1:11" hidden="1">
      <c r="A393" s="2966" t="s">
        <v>5028</v>
      </c>
      <c r="B393" s="2967"/>
      <c r="C393" s="2966" t="s">
        <v>5029</v>
      </c>
      <c r="D393" s="69" t="s">
        <v>2526</v>
      </c>
      <c r="E393" s="2968"/>
      <c r="F393" s="2968">
        <v>8</v>
      </c>
      <c r="G393" s="2968" t="s">
        <v>6491</v>
      </c>
      <c r="H393" s="2968"/>
      <c r="I393" s="2968"/>
      <c r="J393" s="2968" t="str">
        <f t="shared" si="13"/>
        <v>XLPE185AC</v>
      </c>
      <c r="K393" s="2969" t="str">
        <f t="shared" si="12"/>
        <v>XLPE185ACCáp 24KV AC/XLPE/PVC 185mm2</v>
      </c>
    </row>
    <row r="394" spans="1:11" hidden="1">
      <c r="A394" s="2966" t="s">
        <v>5030</v>
      </c>
      <c r="B394" s="2967"/>
      <c r="C394" s="2966" t="s">
        <v>5031</v>
      </c>
      <c r="D394" s="69" t="s">
        <v>2526</v>
      </c>
      <c r="E394" s="2968"/>
      <c r="F394" s="2968">
        <v>8</v>
      </c>
      <c r="G394" s="2968" t="s">
        <v>6491</v>
      </c>
      <c r="H394" s="2968"/>
      <c r="I394" s="2968"/>
      <c r="J394" s="2968" t="str">
        <f t="shared" si="13"/>
        <v>XLPE240AC</v>
      </c>
      <c r="K394" s="2969" t="str">
        <f t="shared" si="12"/>
        <v>XLPE240ACCáp 24KV AC/XLPE/PVC 240mm2</v>
      </c>
    </row>
    <row r="395" spans="1:11" hidden="1">
      <c r="A395" s="2966" t="s">
        <v>5018</v>
      </c>
      <c r="B395" s="2967"/>
      <c r="C395" s="2966" t="s">
        <v>5019</v>
      </c>
      <c r="D395" s="69" t="s">
        <v>2526</v>
      </c>
      <c r="E395" s="2968"/>
      <c r="F395" s="2968">
        <v>8</v>
      </c>
      <c r="G395" s="2968" t="s">
        <v>6491</v>
      </c>
      <c r="H395" s="2968">
        <v>240</v>
      </c>
      <c r="I395" s="2968"/>
      <c r="J395" s="2968" t="str">
        <f t="shared" si="13"/>
        <v>XLPE50AC</v>
      </c>
      <c r="K395" s="2969" t="str">
        <f t="shared" si="12"/>
        <v>XLPE50ACCáp 24KV AC/XLPE/PVC 50mm2</v>
      </c>
    </row>
    <row r="396" spans="1:11" hidden="1">
      <c r="A396" s="2966" t="s">
        <v>5020</v>
      </c>
      <c r="B396" s="2967"/>
      <c r="C396" s="2966" t="s">
        <v>5021</v>
      </c>
      <c r="D396" s="69" t="s">
        <v>2526</v>
      </c>
      <c r="E396" s="2968"/>
      <c r="F396" s="2968">
        <v>8</v>
      </c>
      <c r="G396" s="2968" t="s">
        <v>6491</v>
      </c>
      <c r="H396" s="2968">
        <v>185</v>
      </c>
      <c r="I396" s="2968"/>
      <c r="J396" s="2968" t="str">
        <f t="shared" si="13"/>
        <v>XLPE70AC</v>
      </c>
      <c r="K396" s="2969" t="str">
        <f t="shared" si="12"/>
        <v>XLPE70ACCáp 24KV AC/XLPE/PVC 70mm2</v>
      </c>
    </row>
    <row r="397" spans="1:11" hidden="1">
      <c r="A397" s="2966" t="s">
        <v>5022</v>
      </c>
      <c r="B397" s="2967"/>
      <c r="C397" s="2966" t="s">
        <v>5023</v>
      </c>
      <c r="D397" s="69" t="s">
        <v>2526</v>
      </c>
      <c r="E397" s="2968"/>
      <c r="F397" s="2968">
        <v>8</v>
      </c>
      <c r="G397" s="2968" t="s">
        <v>6491</v>
      </c>
      <c r="H397" s="2968">
        <v>120</v>
      </c>
      <c r="I397" s="2968"/>
      <c r="J397" s="2968" t="str">
        <f t="shared" si="13"/>
        <v>XLPE95AC</v>
      </c>
      <c r="K397" s="2969" t="str">
        <f t="shared" si="12"/>
        <v>XLPE95ACCáp 24KV AC/XLPE/PVC 95mm2</v>
      </c>
    </row>
    <row r="398" spans="1:11" hidden="1">
      <c r="A398" s="2966" t="s">
        <v>6710</v>
      </c>
      <c r="B398" s="2967"/>
      <c r="C398" s="2966" t="s">
        <v>6711</v>
      </c>
      <c r="D398" s="69" t="s">
        <v>2526</v>
      </c>
      <c r="E398" s="2968"/>
      <c r="F398" s="2968">
        <v>8</v>
      </c>
      <c r="G398" s="2968" t="s">
        <v>6491</v>
      </c>
      <c r="H398" s="2968">
        <v>85</v>
      </c>
      <c r="I398" s="2968"/>
      <c r="J398" s="2968" t="str">
        <f t="shared" si="13"/>
        <v>ACX120</v>
      </c>
      <c r="K398" s="2969" t="str">
        <f t="shared" si="12"/>
        <v>ACX120Cáp 24KV ACX 120mm2</v>
      </c>
    </row>
    <row r="399" spans="1:11" hidden="1">
      <c r="A399" s="2966" t="s">
        <v>6712</v>
      </c>
      <c r="B399" s="2967"/>
      <c r="C399" s="2966" t="s">
        <v>6713</v>
      </c>
      <c r="D399" s="69" t="s">
        <v>2526</v>
      </c>
      <c r="E399" s="2968"/>
      <c r="F399" s="2968">
        <v>8</v>
      </c>
      <c r="G399" s="2968" t="s">
        <v>6491</v>
      </c>
      <c r="H399" s="2968">
        <v>70</v>
      </c>
      <c r="I399" s="2968"/>
      <c r="J399" s="2968" t="str">
        <f t="shared" si="13"/>
        <v>ACX150</v>
      </c>
      <c r="K399" s="2969" t="str">
        <f t="shared" si="12"/>
        <v>ACX150Cáp 24KV ACX 150mm2</v>
      </c>
    </row>
    <row r="400" spans="1:11" hidden="1">
      <c r="A400" s="2966" t="s">
        <v>6714</v>
      </c>
      <c r="B400" s="2967"/>
      <c r="C400" s="2966" t="s">
        <v>6715</v>
      </c>
      <c r="D400" s="69" t="s">
        <v>2526</v>
      </c>
      <c r="E400" s="2968"/>
      <c r="F400" s="2968">
        <v>8</v>
      </c>
      <c r="G400" s="2968" t="s">
        <v>6491</v>
      </c>
      <c r="H400" s="2968">
        <v>50</v>
      </c>
      <c r="I400" s="2968"/>
      <c r="J400" s="2968" t="str">
        <f t="shared" si="13"/>
        <v>ACX185</v>
      </c>
      <c r="K400" s="2969" t="str">
        <f t="shared" si="12"/>
        <v>ACX185Cáp 24KV ACX 185mm2</v>
      </c>
    </row>
    <row r="401" spans="1:11" hidden="1">
      <c r="A401" s="2966" t="s">
        <v>6716</v>
      </c>
      <c r="B401" s="2967"/>
      <c r="C401" s="2966" t="s">
        <v>6717</v>
      </c>
      <c r="D401" s="69" t="s">
        <v>2526</v>
      </c>
      <c r="E401" s="2968"/>
      <c r="F401" s="2968">
        <v>8</v>
      </c>
      <c r="G401" s="2968" t="s">
        <v>6491</v>
      </c>
      <c r="H401" s="2968">
        <v>35</v>
      </c>
      <c r="I401" s="2968"/>
      <c r="J401" s="2968" t="str">
        <f t="shared" si="13"/>
        <v>ACX240</v>
      </c>
      <c r="K401" s="2969" t="str">
        <f t="shared" si="12"/>
        <v>ACX240Cáp 24KV ACX 240mm2</v>
      </c>
    </row>
    <row r="402" spans="1:11" hidden="1">
      <c r="A402" s="2966" t="s">
        <v>359</v>
      </c>
      <c r="B402" s="2973"/>
      <c r="C402" s="2966" t="s">
        <v>4786</v>
      </c>
      <c r="D402" s="69" t="s">
        <v>2526</v>
      </c>
      <c r="E402" s="2968"/>
      <c r="F402" s="2968">
        <v>8</v>
      </c>
      <c r="G402" s="2968" t="s">
        <v>6491</v>
      </c>
      <c r="H402" s="2968"/>
      <c r="I402" s="2968"/>
      <c r="J402" s="2968" t="str">
        <f t="shared" si="13"/>
        <v>ACXV50</v>
      </c>
      <c r="K402" s="2969" t="str">
        <f t="shared" si="12"/>
        <v>ACXV50Cáp 24KV ACX 50mm2</v>
      </c>
    </row>
    <row r="403" spans="1:11" hidden="1">
      <c r="A403" s="2966" t="s">
        <v>6718</v>
      </c>
      <c r="B403" s="2967"/>
      <c r="C403" s="2966" t="s">
        <v>6719</v>
      </c>
      <c r="D403" s="69" t="s">
        <v>2526</v>
      </c>
      <c r="E403" s="2968"/>
      <c r="F403" s="2968">
        <v>8</v>
      </c>
      <c r="G403" s="2968" t="s">
        <v>6491</v>
      </c>
      <c r="H403" s="2968"/>
      <c r="I403" s="2968"/>
      <c r="J403" s="2968" t="str">
        <f t="shared" si="13"/>
        <v>ACX70</v>
      </c>
      <c r="K403" s="2969" t="str">
        <f t="shared" si="12"/>
        <v>ACX70Cáp 24KV ACX 70mm2</v>
      </c>
    </row>
    <row r="404" spans="1:11" hidden="1">
      <c r="A404" s="2966" t="s">
        <v>6720</v>
      </c>
      <c r="B404" s="2967"/>
      <c r="C404" s="2966" t="s">
        <v>6721</v>
      </c>
      <c r="D404" s="69" t="s">
        <v>2526</v>
      </c>
      <c r="E404" s="2968"/>
      <c r="F404" s="2968">
        <v>8</v>
      </c>
      <c r="G404" s="2968" t="s">
        <v>6491</v>
      </c>
      <c r="H404" s="2968"/>
      <c r="I404" s="2968"/>
      <c r="J404" s="2968" t="str">
        <f t="shared" si="13"/>
        <v>ACX95</v>
      </c>
      <c r="K404" s="2969" t="str">
        <f t="shared" si="12"/>
        <v>ACX95Cáp 24KV ACX 95mm2</v>
      </c>
    </row>
    <row r="405" spans="1:11" ht="25.5" hidden="1">
      <c r="A405" s="2971" t="s">
        <v>6413</v>
      </c>
      <c r="B405" s="2967"/>
      <c r="C405" s="2966" t="s">
        <v>6334</v>
      </c>
      <c r="D405" s="69" t="s">
        <v>2526</v>
      </c>
      <c r="E405" s="2968"/>
      <c r="F405" s="2968">
        <v>8</v>
      </c>
      <c r="G405" s="2968" t="s">
        <v>6491</v>
      </c>
      <c r="H405" s="2968"/>
      <c r="I405" s="2968"/>
      <c r="J405" s="2968" t="str">
        <f t="shared" si="13"/>
        <v xml:space="preserve">ACXH120
</v>
      </c>
      <c r="K405" s="2969" t="str">
        <f t="shared" si="12"/>
        <v>ACXH120
Cáp 24KV ACXH 120mm2</v>
      </c>
    </row>
    <row r="406" spans="1:11" hidden="1">
      <c r="A406" s="2966" t="s">
        <v>6722</v>
      </c>
      <c r="B406" s="2967"/>
      <c r="C406" s="2966" t="s">
        <v>6723</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6438</v>
      </c>
      <c r="B407" s="2967"/>
      <c r="C407" s="2966" t="s">
        <v>6485</v>
      </c>
      <c r="D407" s="69" t="s">
        <v>2526</v>
      </c>
      <c r="E407" s="2968"/>
      <c r="F407" s="2968">
        <v>8</v>
      </c>
      <c r="G407" s="2968" t="s">
        <v>6491</v>
      </c>
      <c r="H407" s="2968"/>
      <c r="I407" s="2968"/>
      <c r="J407" s="2968" t="str">
        <f t="shared" si="13"/>
        <v>ACXH50</v>
      </c>
      <c r="K407" s="2969" t="str">
        <f t="shared" si="12"/>
        <v>ACXH50Cáp 24KV ACXH 50mm2</v>
      </c>
    </row>
    <row r="408" spans="1:11" hidden="1">
      <c r="A408" s="2971" t="s">
        <v>6412</v>
      </c>
      <c r="B408" s="2967"/>
      <c r="C408" s="2966" t="s">
        <v>6414</v>
      </c>
      <c r="D408" s="69" t="s">
        <v>2526</v>
      </c>
      <c r="E408" s="2968"/>
      <c r="F408" s="2968">
        <v>8</v>
      </c>
      <c r="G408" s="2968" t="s">
        <v>6491</v>
      </c>
      <c r="H408" s="2968"/>
      <c r="I408" s="2968"/>
      <c r="J408" s="2968" t="str">
        <f t="shared" si="13"/>
        <v>ACXH70</v>
      </c>
      <c r="K408" s="2969" t="str">
        <f t="shared" si="12"/>
        <v>ACXH70Cáp 24KV ACXH 70mm2</v>
      </c>
    </row>
    <row r="409" spans="1:11" hidden="1">
      <c r="A409" s="2966" t="s">
        <v>6411</v>
      </c>
      <c r="B409" s="2967"/>
      <c r="C409" s="2966" t="s">
        <v>5011</v>
      </c>
      <c r="D409" s="69" t="s">
        <v>2526</v>
      </c>
      <c r="E409" s="2968"/>
      <c r="F409" s="2968">
        <v>8</v>
      </c>
      <c r="G409" s="2968" t="s">
        <v>6491</v>
      </c>
      <c r="H409" s="2968"/>
      <c r="I409" s="2968"/>
      <c r="J409" s="2968" t="str">
        <f t="shared" si="13"/>
        <v>ACXH95</v>
      </c>
      <c r="K409" s="2969" t="str">
        <f t="shared" si="12"/>
        <v>ACXH95Cáp 24KV ACXH 95mm2</v>
      </c>
    </row>
    <row r="410" spans="1:11" hidden="1">
      <c r="A410" s="2966" t="s">
        <v>4999</v>
      </c>
      <c r="B410" s="2967"/>
      <c r="C410" s="2966" t="s">
        <v>5000</v>
      </c>
      <c r="D410" s="69" t="s">
        <v>2526</v>
      </c>
      <c r="E410" s="2968"/>
      <c r="F410" s="2968">
        <v>7</v>
      </c>
      <c r="G410" s="2968" t="s">
        <v>6491</v>
      </c>
      <c r="H410" s="2968"/>
      <c r="I410" s="2968"/>
      <c r="J410" s="2968" t="str">
        <f t="shared" si="13"/>
        <v>XLPE25C</v>
      </c>
      <c r="K410" s="2969" t="str">
        <f t="shared" si="12"/>
        <v>XLPE25CCáp 24KV C/XLPE- 25mm2</v>
      </c>
    </row>
    <row r="411" spans="1:11" hidden="1">
      <c r="A411" s="2966" t="s">
        <v>5001</v>
      </c>
      <c r="B411" s="2967"/>
      <c r="C411" s="2966" t="s">
        <v>5002</v>
      </c>
      <c r="D411" s="69" t="s">
        <v>2526</v>
      </c>
      <c r="E411" s="2968"/>
      <c r="F411" s="2968">
        <v>7</v>
      </c>
      <c r="G411" s="2968" t="s">
        <v>6491</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6491</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6491</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6491</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6491</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6491</v>
      </c>
      <c r="H416" s="2968"/>
      <c r="I416" s="2968"/>
      <c r="J416" s="2968" t="str">
        <f t="shared" si="13"/>
        <v>XLPE325D</v>
      </c>
      <c r="K416" s="2969" t="str">
        <f t="shared" si="12"/>
        <v>XLPE325DCáp 24kV C/XLPE/DSTA/PVC3x25</v>
      </c>
    </row>
    <row r="417" spans="1:11" hidden="1">
      <c r="A417" s="2966" t="s">
        <v>5054</v>
      </c>
      <c r="B417" s="2967"/>
      <c r="C417" s="2966" t="s">
        <v>5055</v>
      </c>
      <c r="D417" s="69" t="s">
        <v>2526</v>
      </c>
      <c r="E417" s="2968"/>
      <c r="F417" s="2968">
        <v>7</v>
      </c>
      <c r="G417" s="2968" t="s">
        <v>6491</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6491</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6491</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6491</v>
      </c>
      <c r="H420" s="2968"/>
      <c r="I420" s="2968"/>
      <c r="J420" s="2968" t="str">
        <f t="shared" si="13"/>
        <v>XLPE395D</v>
      </c>
      <c r="K420" s="2969" t="str">
        <f t="shared" si="12"/>
        <v>XLPE395DCáp 24kV C/XLPE/DSTA/PVC3x95mm2</v>
      </c>
    </row>
    <row r="421" spans="1:11" hidden="1">
      <c r="A421" s="2966" t="s">
        <v>6724</v>
      </c>
      <c r="B421" s="2967"/>
      <c r="C421" s="2966" t="s">
        <v>2703</v>
      </c>
      <c r="D421" s="69" t="s">
        <v>2526</v>
      </c>
      <c r="E421" s="2968"/>
      <c r="F421" s="2968">
        <v>7</v>
      </c>
      <c r="G421" s="2968" t="s">
        <v>6491</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6491</v>
      </c>
      <c r="H422" s="2968"/>
      <c r="I422" s="2968"/>
      <c r="J422" s="2968" t="str">
        <f t="shared" si="13"/>
        <v>XLPE120</v>
      </c>
      <c r="K422" s="2969" t="str">
        <f t="shared" si="12"/>
        <v>XLPE120Cáp 24KV C/XLPE/PVC 120mm2</v>
      </c>
    </row>
    <row r="423" spans="1:11" hidden="1">
      <c r="A423" s="2966" t="s">
        <v>6725</v>
      </c>
      <c r="B423" s="2967"/>
      <c r="C423" s="2966" t="s">
        <v>2704</v>
      </c>
      <c r="D423" s="69" t="s">
        <v>2526</v>
      </c>
      <c r="E423" s="2968"/>
      <c r="F423" s="2968">
        <v>7</v>
      </c>
      <c r="G423" s="2968" t="s">
        <v>6491</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6491</v>
      </c>
      <c r="H424" s="2968"/>
      <c r="I424" s="2968"/>
      <c r="J424" s="2968" t="str">
        <f t="shared" si="13"/>
        <v>XLPE150</v>
      </c>
      <c r="K424" s="2969" t="str">
        <f t="shared" si="12"/>
        <v>XLPE150Cáp 24KV C/XLPE/PVC 150mm2</v>
      </c>
    </row>
    <row r="425" spans="1:11" hidden="1">
      <c r="A425" s="2966" t="s">
        <v>6726</v>
      </c>
      <c r="B425" s="2967"/>
      <c r="C425" s="2966" t="s">
        <v>2705</v>
      </c>
      <c r="D425" s="69" t="s">
        <v>2526</v>
      </c>
      <c r="E425" s="2968"/>
      <c r="F425" s="2968">
        <v>7</v>
      </c>
      <c r="G425" s="2968" t="s">
        <v>6491</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6491</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6491</v>
      </c>
      <c r="H427" s="2968"/>
      <c r="I427" s="2968"/>
      <c r="J427" s="2968" t="str">
        <f t="shared" si="13"/>
        <v>XLPE22</v>
      </c>
      <c r="K427" s="2969" t="str">
        <f t="shared" si="12"/>
        <v>XLPE22Cáp 24KV C/XLPE/PVC 22mm2</v>
      </c>
    </row>
    <row r="428" spans="1:11" hidden="1">
      <c r="A428" s="2966" t="s">
        <v>6727</v>
      </c>
      <c r="B428" s="2967"/>
      <c r="C428" s="2966" t="s">
        <v>2706</v>
      </c>
      <c r="D428" s="69" t="s">
        <v>2526</v>
      </c>
      <c r="E428" s="2968"/>
      <c r="F428" s="2968">
        <v>7</v>
      </c>
      <c r="G428" s="2968" t="s">
        <v>6491</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6491</v>
      </c>
      <c r="H429" s="2968"/>
      <c r="I429" s="2968"/>
      <c r="J429" s="2968" t="str">
        <f t="shared" si="13"/>
        <v>XLPE240</v>
      </c>
      <c r="K429" s="2969" t="str">
        <f t="shared" si="12"/>
        <v>XLPE240Cáp 24KV C/XLPE/PVC 240mm2</v>
      </c>
    </row>
    <row r="430" spans="1:11" hidden="1">
      <c r="A430" s="2966" t="s">
        <v>6728</v>
      </c>
      <c r="B430" s="2967"/>
      <c r="C430" s="2966" t="s">
        <v>2707</v>
      </c>
      <c r="D430" s="69" t="s">
        <v>2526</v>
      </c>
      <c r="E430" s="2968"/>
      <c r="F430" s="2968">
        <v>7</v>
      </c>
      <c r="G430" s="2968" t="s">
        <v>6491</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6491</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6491</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6491</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6491</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6491</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6491</v>
      </c>
      <c r="H436" s="2968"/>
      <c r="I436" s="2968"/>
      <c r="J436" s="2968" t="str">
        <f t="shared" si="13"/>
        <v>XLPE95</v>
      </c>
      <c r="K436" s="2969" t="str">
        <f t="shared" si="12"/>
        <v>XLPE95Cáp 24KV C/XLPE/PVC 95mm2</v>
      </c>
    </row>
    <row r="437" spans="1:11" hidden="1">
      <c r="A437" s="2966" t="s">
        <v>5006</v>
      </c>
      <c r="B437" s="2967"/>
      <c r="C437" s="2966" t="s">
        <v>2702</v>
      </c>
      <c r="D437" s="69" t="s">
        <v>2526</v>
      </c>
      <c r="E437" s="2968"/>
      <c r="F437" s="2968">
        <v>7</v>
      </c>
      <c r="G437" s="2968" t="s">
        <v>6491</v>
      </c>
      <c r="H437" s="2968"/>
      <c r="I437" s="2968"/>
      <c r="J437" s="2968" t="str">
        <f t="shared" si="13"/>
        <v>XLPE95ACX</v>
      </c>
      <c r="K437" s="2969" t="str">
        <f t="shared" si="12"/>
        <v>XLPE95ACXCáp 24KV C/XLPE/PVC 95mm2</v>
      </c>
    </row>
    <row r="438" spans="1:11" hidden="1">
      <c r="A438" s="2966" t="s">
        <v>5003</v>
      </c>
      <c r="B438" s="2967"/>
      <c r="C438" s="2966" t="s">
        <v>5004</v>
      </c>
      <c r="D438" s="69" t="s">
        <v>2526</v>
      </c>
      <c r="E438" s="2968"/>
      <c r="F438" s="2968">
        <v>7</v>
      </c>
      <c r="G438" s="2968" t="s">
        <v>6491</v>
      </c>
      <c r="H438" s="2968"/>
      <c r="I438" s="2968"/>
      <c r="J438" s="2968" t="str">
        <f t="shared" si="13"/>
        <v>XLPE70C</v>
      </c>
      <c r="K438" s="2969" t="str">
        <f t="shared" si="12"/>
        <v>XLPE70CCáp 24KV C/XLPE-70mm2</v>
      </c>
    </row>
    <row r="439" spans="1:11" hidden="1">
      <c r="A439" s="2966" t="s">
        <v>6729</v>
      </c>
      <c r="B439" s="2967"/>
      <c r="C439" s="2966" t="s">
        <v>6730</v>
      </c>
      <c r="D439" s="69" t="s">
        <v>6490</v>
      </c>
      <c r="E439" s="2968"/>
      <c r="F439" s="2968">
        <v>7</v>
      </c>
      <c r="G439" s="2968" t="s">
        <v>6491</v>
      </c>
      <c r="H439" s="2968"/>
      <c r="I439" s="2968"/>
      <c r="J439" s="2968" t="str">
        <f t="shared" si="13"/>
        <v>CXVSE3x120</v>
      </c>
      <c r="K439" s="2969" t="str">
        <f t="shared" si="12"/>
        <v>CXVSE3x120Cáp 24kV CXV/SE/DSTA 3x120mm2</v>
      </c>
    </row>
    <row r="440" spans="1:11" hidden="1">
      <c r="A440" s="2966" t="s">
        <v>6731</v>
      </c>
      <c r="B440" s="2967"/>
      <c r="C440" s="2966" t="s">
        <v>6732</v>
      </c>
      <c r="D440" s="69" t="s">
        <v>6490</v>
      </c>
      <c r="E440" s="2968"/>
      <c r="F440" s="2968">
        <v>7</v>
      </c>
      <c r="G440" s="2968" t="s">
        <v>6491</v>
      </c>
      <c r="H440" s="2968"/>
      <c r="I440" s="2968"/>
      <c r="J440" s="2968" t="str">
        <f t="shared" si="13"/>
        <v>CXVSE3x150</v>
      </c>
      <c r="K440" s="2969" t="str">
        <f t="shared" si="12"/>
        <v>CXVSE3x150Cáp 24kV CXV/SE/DSTA 3x150mm2</v>
      </c>
    </row>
    <row r="441" spans="1:11" hidden="1">
      <c r="A441" s="2966" t="s">
        <v>6733</v>
      </c>
      <c r="B441" s="2967"/>
      <c r="C441" s="2966" t="s">
        <v>6734</v>
      </c>
      <c r="D441" s="69" t="s">
        <v>6490</v>
      </c>
      <c r="E441" s="2968"/>
      <c r="F441" s="2968">
        <v>7</v>
      </c>
      <c r="G441" s="2968" t="s">
        <v>6491</v>
      </c>
      <c r="H441" s="2968">
        <v>720</v>
      </c>
      <c r="I441" s="2968"/>
      <c r="J441" s="2968" t="str">
        <f t="shared" si="13"/>
        <v>CXVSE3x185</v>
      </c>
      <c r="K441" s="2969" t="str">
        <f t="shared" si="12"/>
        <v>CXVSE3x185Cáp 24kV CXV/SE/DSTA 3x185mm2</v>
      </c>
    </row>
    <row r="442" spans="1:11" hidden="1">
      <c r="A442" s="2966" t="s">
        <v>6735</v>
      </c>
      <c r="B442" s="2967"/>
      <c r="C442" s="2966" t="s">
        <v>6736</v>
      </c>
      <c r="D442" s="69" t="s">
        <v>6490</v>
      </c>
      <c r="E442" s="2968"/>
      <c r="F442" s="2968">
        <v>7</v>
      </c>
      <c r="G442" s="2968" t="s">
        <v>6491</v>
      </c>
      <c r="H442" s="2968">
        <v>810</v>
      </c>
      <c r="I442" s="2968"/>
      <c r="J442" s="2968" t="str">
        <f t="shared" si="13"/>
        <v>CXVSE3x240</v>
      </c>
      <c r="K442" s="2969" t="str">
        <f t="shared" si="12"/>
        <v>CXVSE3x240Cáp 24kV CXV/SE/DSTA 3x240mm2</v>
      </c>
    </row>
    <row r="443" spans="1:11" hidden="1">
      <c r="A443" s="2966" t="s">
        <v>6737</v>
      </c>
      <c r="B443" s="2967"/>
      <c r="C443" s="2966" t="s">
        <v>6738</v>
      </c>
      <c r="D443" s="69" t="s">
        <v>6490</v>
      </c>
      <c r="E443" s="2968"/>
      <c r="F443" s="2968">
        <v>7</v>
      </c>
      <c r="G443" s="2968" t="s">
        <v>6491</v>
      </c>
      <c r="H443" s="2968">
        <v>920</v>
      </c>
      <c r="I443" s="2968"/>
      <c r="J443" s="2968" t="str">
        <f t="shared" si="13"/>
        <v>CXVSE3x25</v>
      </c>
      <c r="K443" s="2969" t="str">
        <f t="shared" si="12"/>
        <v>CXVSE3x25Cáp 24kV CXV/SE/DSTA 3x25mm2</v>
      </c>
    </row>
    <row r="444" spans="1:11" hidden="1">
      <c r="A444" s="2966" t="s">
        <v>6739</v>
      </c>
      <c r="B444" s="2967"/>
      <c r="C444" s="2966" t="s">
        <v>6740</v>
      </c>
      <c r="D444" s="69" t="s">
        <v>6490</v>
      </c>
      <c r="E444" s="2968"/>
      <c r="F444" s="2968">
        <v>7</v>
      </c>
      <c r="G444" s="2968" t="s">
        <v>6491</v>
      </c>
      <c r="H444" s="2968">
        <v>1190</v>
      </c>
      <c r="I444" s="2968"/>
      <c r="J444" s="2968" t="str">
        <f t="shared" si="13"/>
        <v>CXVSE3x300</v>
      </c>
      <c r="K444" s="2969" t="str">
        <f t="shared" si="12"/>
        <v>CXVSE3x300Cáp 24kV CXV/SE/DSTA 3x300mm2</v>
      </c>
    </row>
    <row r="445" spans="1:11" hidden="1">
      <c r="A445" s="2966" t="s">
        <v>6741</v>
      </c>
      <c r="B445" s="2967"/>
      <c r="C445" s="2966" t="s">
        <v>6742</v>
      </c>
      <c r="D445" s="69" t="s">
        <v>6490</v>
      </c>
      <c r="E445" s="2968"/>
      <c r="F445" s="2968">
        <v>7</v>
      </c>
      <c r="G445" s="2968" t="s">
        <v>6491</v>
      </c>
      <c r="H445" s="2968"/>
      <c r="I445" s="2968"/>
      <c r="J445" s="2968" t="str">
        <f t="shared" si="13"/>
        <v>CXVSE3x35</v>
      </c>
      <c r="K445" s="2969" t="str">
        <f t="shared" si="12"/>
        <v>CXVSE3x35Cáp 24kV CXV/SE/DSTA 3x35mm2</v>
      </c>
    </row>
    <row r="446" spans="1:11" hidden="1">
      <c r="A446" s="2966" t="s">
        <v>6743</v>
      </c>
      <c r="B446" s="2967"/>
      <c r="C446" s="2966" t="s">
        <v>6744</v>
      </c>
      <c r="D446" s="69" t="s">
        <v>6490</v>
      </c>
      <c r="E446" s="2968"/>
      <c r="F446" s="2968">
        <v>7</v>
      </c>
      <c r="G446" s="2968" t="s">
        <v>6491</v>
      </c>
      <c r="H446" s="2968"/>
      <c r="I446" s="2968"/>
      <c r="J446" s="2968" t="str">
        <f t="shared" si="13"/>
        <v>CXVSE3x400</v>
      </c>
      <c r="K446" s="2969" t="str">
        <f t="shared" si="12"/>
        <v>CXVSE3x400Cáp 24kV CXV/SE/DSTA 3x400mm2</v>
      </c>
    </row>
    <row r="447" spans="1:11" hidden="1">
      <c r="A447" s="2966" t="s">
        <v>6745</v>
      </c>
      <c r="B447" s="2967"/>
      <c r="C447" s="2966" t="s">
        <v>6746</v>
      </c>
      <c r="D447" s="69" t="s">
        <v>6490</v>
      </c>
      <c r="E447" s="2968"/>
      <c r="F447" s="2968">
        <v>7</v>
      </c>
      <c r="G447" s="2968" t="s">
        <v>6491</v>
      </c>
      <c r="H447" s="2968"/>
      <c r="I447" s="2968"/>
      <c r="J447" s="2968" t="str">
        <f t="shared" si="13"/>
        <v>CXVSE3x50</v>
      </c>
      <c r="K447" s="2969" t="str">
        <f t="shared" si="12"/>
        <v>CXVSE3x50Cáp 24kV CXV/SE/DSTA 3x50mm2</v>
      </c>
    </row>
    <row r="448" spans="1:11" hidden="1">
      <c r="A448" s="2966" t="s">
        <v>6747</v>
      </c>
      <c r="B448" s="2967"/>
      <c r="C448" s="2966" t="s">
        <v>6748</v>
      </c>
      <c r="D448" s="69" t="s">
        <v>6490</v>
      </c>
      <c r="E448" s="2968"/>
      <c r="F448" s="2968">
        <v>7</v>
      </c>
      <c r="G448" s="2968" t="s">
        <v>6491</v>
      </c>
      <c r="H448" s="2968"/>
      <c r="I448" s="2968"/>
      <c r="J448" s="2968" t="str">
        <f t="shared" si="13"/>
        <v>CXVSE3x70</v>
      </c>
      <c r="K448" s="2969" t="str">
        <f t="shared" si="12"/>
        <v>CXVSE3x70Cáp 24kV CXV/SE/DSTA 3x70mm2</v>
      </c>
    </row>
    <row r="449" spans="1:11" hidden="1">
      <c r="A449" s="2966" t="s">
        <v>6749</v>
      </c>
      <c r="B449" s="2967"/>
      <c r="C449" s="2966" t="s">
        <v>6750</v>
      </c>
      <c r="D449" s="69" t="s">
        <v>6490</v>
      </c>
      <c r="E449" s="2968"/>
      <c r="F449" s="2968">
        <v>7</v>
      </c>
      <c r="G449" s="2968" t="s">
        <v>6491</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6491</v>
      </c>
      <c r="H450" s="2968">
        <v>2000</v>
      </c>
      <c r="I450" s="2968"/>
      <c r="J450" s="2968" t="str">
        <f t="shared" si="13"/>
        <v>XLPE350+35DHT</v>
      </c>
      <c r="K450" s="2969" t="str">
        <f t="shared" si="12"/>
        <v>XLPE350+35DHTCáp C/XLPE/DSTA/PVC -0.6/1kV-3x50+35mm2</v>
      </c>
    </row>
    <row r="451" spans="1:11" hidden="1">
      <c r="A451" s="2966" t="s">
        <v>4821</v>
      </c>
      <c r="B451" s="2973"/>
      <c r="C451" s="2966" t="s">
        <v>4822</v>
      </c>
      <c r="D451" s="69" t="s">
        <v>2526</v>
      </c>
      <c r="E451" s="2968"/>
      <c r="F451" s="2968">
        <v>7</v>
      </c>
      <c r="G451" s="2968" t="s">
        <v>6491</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6491</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6491</v>
      </c>
      <c r="H453" s="2968">
        <v>2200</v>
      </c>
      <c r="I453" s="2968"/>
      <c r="J453" s="2968" t="str">
        <f t="shared" si="15"/>
        <v>XLPE216HT</v>
      </c>
      <c r="K453" s="2969" t="str">
        <f t="shared" si="14"/>
        <v>XLPE216HTCáp C/XLPE/PVC -0.6/1kV-2x16mm2</v>
      </c>
    </row>
    <row r="454" spans="1:11" hidden="1">
      <c r="A454" s="2966" t="s">
        <v>5050</v>
      </c>
      <c r="B454" s="2967"/>
      <c r="C454" s="2966" t="s">
        <v>5051</v>
      </c>
      <c r="D454" s="69" t="s">
        <v>2526</v>
      </c>
      <c r="E454" s="2968"/>
      <c r="F454" s="2968">
        <v>7</v>
      </c>
      <c r="G454" s="2968" t="s">
        <v>6491</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6491</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6491</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6491</v>
      </c>
      <c r="H457" s="2968"/>
      <c r="I457" s="2968"/>
      <c r="J457" s="2968" t="str">
        <f t="shared" si="15"/>
        <v>XLPE316+10HT</v>
      </c>
      <c r="K457" s="2969" t="str">
        <f t="shared" si="14"/>
        <v>XLPE316+10HTCáp C/XLPE/PVC -0.6/1kV-3x16+10mm2</v>
      </c>
    </row>
    <row r="458" spans="1:11" hidden="1">
      <c r="A458" s="2966" t="s">
        <v>5038</v>
      </c>
      <c r="B458" s="2967"/>
      <c r="C458" s="2981" t="s">
        <v>5039</v>
      </c>
      <c r="D458" s="69" t="s">
        <v>2526</v>
      </c>
      <c r="E458" s="2968"/>
      <c r="F458" s="2968">
        <v>7</v>
      </c>
      <c r="G458" s="2968" t="s">
        <v>6491</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6491</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6491</v>
      </c>
      <c r="H460" s="2968"/>
      <c r="I460" s="2968"/>
      <c r="J460" s="2968" t="str">
        <f t="shared" si="15"/>
        <v>XLPE3185+120HT</v>
      </c>
      <c r="K460" s="2969" t="str">
        <f t="shared" si="14"/>
        <v>XLPE3185+120HTCáp C/XLPE/PVC -0.6/1kV-3x185+120mm2</v>
      </c>
    </row>
    <row r="461" spans="1:11" hidden="1">
      <c r="A461" s="2966" t="s">
        <v>5052</v>
      </c>
      <c r="B461" s="2967"/>
      <c r="C461" s="2981" t="s">
        <v>5053</v>
      </c>
      <c r="D461" s="69" t="s">
        <v>2526</v>
      </c>
      <c r="E461" s="2968"/>
      <c r="F461" s="2968">
        <v>7</v>
      </c>
      <c r="G461" s="2968" t="s">
        <v>6491</v>
      </c>
      <c r="H461" s="2968"/>
      <c r="I461" s="2968"/>
      <c r="J461" s="2968" t="str">
        <f t="shared" si="15"/>
        <v>XLPE3185+95HT</v>
      </c>
      <c r="K461" s="2969" t="str">
        <f t="shared" si="14"/>
        <v>XLPE3185+95HTCáp C/XLPE/PVC -0.6/1kV-3x185+95mm2</v>
      </c>
    </row>
    <row r="462" spans="1:11" hidden="1">
      <c r="A462" s="2966" t="s">
        <v>5040</v>
      </c>
      <c r="B462" s="2967"/>
      <c r="C462" s="2981" t="s">
        <v>5041</v>
      </c>
      <c r="D462" s="69" t="s">
        <v>2526</v>
      </c>
      <c r="E462" s="2968"/>
      <c r="F462" s="2968">
        <v>7</v>
      </c>
      <c r="G462" s="2968" t="s">
        <v>6491</v>
      </c>
      <c r="H462" s="2968"/>
      <c r="I462" s="2968"/>
      <c r="J462" s="2968" t="str">
        <f t="shared" si="15"/>
        <v>XLPE322+11HT</v>
      </c>
      <c r="K462" s="2969" t="str">
        <f t="shared" si="14"/>
        <v>XLPE322+11HTCáp C/XLPE/PVC -0.6/1kV-3x22+11mm2</v>
      </c>
    </row>
    <row r="463" spans="1:11" hidden="1">
      <c r="A463" s="2966" t="s">
        <v>5032</v>
      </c>
      <c r="B463" s="2967"/>
      <c r="C463" s="2981" t="s">
        <v>5033</v>
      </c>
      <c r="D463" s="69" t="s">
        <v>2526</v>
      </c>
      <c r="E463" s="2968"/>
      <c r="F463" s="2968">
        <v>7</v>
      </c>
      <c r="G463" s="2968" t="s">
        <v>6491</v>
      </c>
      <c r="H463" s="2968"/>
      <c r="I463" s="2968"/>
      <c r="J463" s="2968" t="str">
        <f t="shared" si="15"/>
        <v>XLPE322HT</v>
      </c>
      <c r="K463" s="2969" t="str">
        <f t="shared" si="14"/>
        <v>XLPE322HTCáp C/XLPE/PVC -0.6/1kV-3x22mm2</v>
      </c>
    </row>
    <row r="464" spans="1:11" hidden="1">
      <c r="A464" s="2966" t="s">
        <v>5034</v>
      </c>
      <c r="B464" s="2967"/>
      <c r="C464" s="2966" t="s">
        <v>5035</v>
      </c>
      <c r="D464" s="69" t="s">
        <v>2526</v>
      </c>
      <c r="E464" s="2968"/>
      <c r="F464" s="2968">
        <v>7</v>
      </c>
      <c r="G464" s="2968" t="s">
        <v>6491</v>
      </c>
      <c r="H464" s="2968"/>
      <c r="I464" s="2968"/>
      <c r="J464" s="2968" t="str">
        <f t="shared" si="15"/>
        <v>XLPE325HT</v>
      </c>
      <c r="K464" s="2969" t="str">
        <f t="shared" si="14"/>
        <v>XLPE325HTCáp C/XLPE/PVC -0.6/1kV-3x25mm2</v>
      </c>
    </row>
    <row r="465" spans="1:11" hidden="1">
      <c r="A465" s="2966" t="s">
        <v>5036</v>
      </c>
      <c r="B465" s="2967"/>
      <c r="C465" s="2981" t="s">
        <v>5037</v>
      </c>
      <c r="D465" s="69" t="s">
        <v>2526</v>
      </c>
      <c r="E465" s="2968"/>
      <c r="F465" s="2968">
        <v>7</v>
      </c>
      <c r="G465" s="2968" t="s">
        <v>6491</v>
      </c>
      <c r="H465" s="2968"/>
      <c r="I465" s="2968"/>
      <c r="J465" s="2968" t="str">
        <f t="shared" si="15"/>
        <v>XLPE335HT</v>
      </c>
      <c r="K465" s="2969" t="str">
        <f t="shared" si="14"/>
        <v>XLPE335HTCáp C/XLPE/PVC -0.6/1kV-3x35mm2</v>
      </c>
    </row>
    <row r="466" spans="1:11" hidden="1">
      <c r="A466" s="2966" t="s">
        <v>5042</v>
      </c>
      <c r="B466" s="2967"/>
      <c r="C466" s="2981" t="s">
        <v>5043</v>
      </c>
      <c r="D466" s="69" t="s">
        <v>2526</v>
      </c>
      <c r="E466" s="2968"/>
      <c r="F466" s="2968">
        <v>7</v>
      </c>
      <c r="G466" s="2968" t="s">
        <v>6491</v>
      </c>
      <c r="H466" s="2968"/>
      <c r="I466" s="2968"/>
      <c r="J466" s="2968" t="str">
        <f t="shared" si="15"/>
        <v>XLPE338+22HT</v>
      </c>
      <c r="K466" s="2969" t="str">
        <f t="shared" si="14"/>
        <v>XLPE338+22HTCáp C/XLPE/PVC -0.6/1kV-3x38+22mm3</v>
      </c>
    </row>
    <row r="467" spans="1:11" hidden="1">
      <c r="A467" s="2966" t="s">
        <v>5044</v>
      </c>
      <c r="B467" s="2967"/>
      <c r="C467" s="2966" t="s">
        <v>5045</v>
      </c>
      <c r="D467" s="69" t="s">
        <v>2526</v>
      </c>
      <c r="E467" s="2968"/>
      <c r="F467" s="2968">
        <v>7</v>
      </c>
      <c r="G467" s="2968" t="s">
        <v>6491</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6491</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6491</v>
      </c>
      <c r="H469" s="2968"/>
      <c r="I469" s="2968"/>
      <c r="J469" s="2968" t="str">
        <f t="shared" si="15"/>
        <v>XLPE350HT</v>
      </c>
      <c r="K469" s="2969" t="str">
        <f t="shared" si="14"/>
        <v>XLPE350HTCáp C/XLPE/PVC -0.6/1kV-3x50mm2</v>
      </c>
    </row>
    <row r="470" spans="1:11" hidden="1">
      <c r="A470" s="2966" t="s">
        <v>5046</v>
      </c>
      <c r="B470" s="2967"/>
      <c r="C470" s="2981" t="s">
        <v>5047</v>
      </c>
      <c r="D470" s="69" t="s">
        <v>2526</v>
      </c>
      <c r="E470" s="2968"/>
      <c r="F470" s="2968">
        <v>7</v>
      </c>
      <c r="G470" s="2968" t="s">
        <v>6491</v>
      </c>
      <c r="H470" s="2968"/>
      <c r="I470" s="2968"/>
      <c r="J470" s="2968" t="str">
        <f t="shared" si="15"/>
        <v>XLPE360+30HT</v>
      </c>
      <c r="K470" s="2969" t="str">
        <f t="shared" si="14"/>
        <v>XLPE360+30HTCáp C/XLPE/PVC -0.6/1kV-3x60+30mm3</v>
      </c>
    </row>
    <row r="471" spans="1:11" hidden="1">
      <c r="A471" s="2966" t="s">
        <v>5048</v>
      </c>
      <c r="B471" s="2967"/>
      <c r="C471" s="2981" t="s">
        <v>5049</v>
      </c>
      <c r="D471" s="69" t="s">
        <v>2526</v>
      </c>
      <c r="E471" s="2968"/>
      <c r="F471" s="2968">
        <v>7</v>
      </c>
      <c r="G471" s="2968" t="s">
        <v>6491</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6491</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6491</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6491</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6491</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6491</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6491</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6491</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6751</v>
      </c>
      <c r="B481" s="2967"/>
      <c r="C481" s="2966" t="s">
        <v>6752</v>
      </c>
      <c r="D481" s="69" t="s">
        <v>2526</v>
      </c>
      <c r="E481" s="2968"/>
      <c r="F481" s="2968">
        <v>7</v>
      </c>
      <c r="G481" s="2968" t="s">
        <v>6491</v>
      </c>
      <c r="H481" s="2968"/>
      <c r="I481" s="2968"/>
      <c r="J481" s="2968" t="str">
        <f t="shared" si="15"/>
        <v>CVV6X4</v>
      </c>
      <c r="K481" s="2969" t="str">
        <f t="shared" si="14"/>
        <v>CVV6X4Cáp điều khiển CVV 6x4,0mm2</v>
      </c>
    </row>
    <row r="482" spans="1:11" hidden="1">
      <c r="A482" s="2966" t="s">
        <v>4825</v>
      </c>
      <c r="B482" s="2984"/>
      <c r="C482" s="2966" t="s">
        <v>4826</v>
      </c>
      <c r="D482" s="69" t="s">
        <v>2526</v>
      </c>
      <c r="E482" s="2968"/>
      <c r="F482" s="2968">
        <v>7</v>
      </c>
      <c r="G482" s="2968" t="s">
        <v>6491</v>
      </c>
      <c r="H482" s="2968"/>
      <c r="I482" s="2968"/>
      <c r="J482" s="2968" t="str">
        <f t="shared" si="15"/>
        <v>cxv25</v>
      </c>
      <c r="K482" s="2969" t="str">
        <f t="shared" si="14"/>
        <v>cxv25Cáp đồng bọc 24KV-CXV-25</v>
      </c>
    </row>
    <row r="483" spans="1:11" hidden="1">
      <c r="A483" s="2966" t="s">
        <v>6487</v>
      </c>
      <c r="B483" s="2984"/>
      <c r="C483" s="2966" t="s">
        <v>6753</v>
      </c>
      <c r="D483" s="69" t="s">
        <v>2526</v>
      </c>
      <c r="E483" s="2968"/>
      <c r="F483" s="2968">
        <v>7</v>
      </c>
      <c r="G483" s="2968" t="s">
        <v>6491</v>
      </c>
      <c r="H483" s="2968"/>
      <c r="I483" s="2968"/>
      <c r="J483" s="2968" t="str">
        <f t="shared" si="15"/>
        <v>cxv50</v>
      </c>
      <c r="K483" s="2969" t="str">
        <f t="shared" si="14"/>
        <v>cxv50Cáp đồng bọc 24KV-CXV-50</v>
      </c>
    </row>
    <row r="484" spans="1:11" hidden="1">
      <c r="A484" s="2966" t="s">
        <v>6754</v>
      </c>
      <c r="B484" s="2984"/>
      <c r="C484" s="2966" t="s">
        <v>6755</v>
      </c>
      <c r="D484" s="69" t="s">
        <v>2526</v>
      </c>
      <c r="E484" s="2968"/>
      <c r="F484" s="2968">
        <v>7</v>
      </c>
      <c r="G484" s="2968" t="s">
        <v>6491</v>
      </c>
      <c r="H484" s="2968"/>
      <c r="I484" s="2968"/>
      <c r="J484" s="2968" t="str">
        <f t="shared" si="15"/>
        <v>cxv70</v>
      </c>
      <c r="K484" s="2969" t="str">
        <f t="shared" si="14"/>
        <v>cxv70Cáp đồng bọc 24KV-CXV-70</v>
      </c>
    </row>
    <row r="485" spans="1:11" hidden="1">
      <c r="A485" s="2966" t="s">
        <v>6401</v>
      </c>
      <c r="B485" s="2984"/>
      <c r="C485" s="2966" t="s">
        <v>6402</v>
      </c>
      <c r="D485" s="69" t="s">
        <v>2526</v>
      </c>
      <c r="E485" s="2968"/>
      <c r="F485" s="2968">
        <v>7</v>
      </c>
      <c r="G485" s="2968" t="s">
        <v>6491</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6510</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6510</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6510</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6510</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6510</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6510</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6510</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6510</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6510</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6510</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6510</v>
      </c>
      <c r="H496" s="2968"/>
      <c r="I496" s="2968"/>
      <c r="J496" s="2968" t="str">
        <f t="shared" si="15"/>
        <v>cv35</v>
      </c>
      <c r="K496" s="2969" t="str">
        <f t="shared" si="14"/>
        <v>cv35Cáp đồng bọc CV35</v>
      </c>
    </row>
    <row r="497" spans="1:11" hidden="1">
      <c r="A497" s="2966" t="s">
        <v>5060</v>
      </c>
      <c r="B497" s="2967"/>
      <c r="C497" s="2966" t="s">
        <v>5061</v>
      </c>
      <c r="D497" s="69" t="s">
        <v>2526</v>
      </c>
      <c r="E497" s="2968"/>
      <c r="F497" s="2968">
        <v>7</v>
      </c>
      <c r="G497" s="2968" t="s">
        <v>6510</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6510</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6510</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6510</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6510</v>
      </c>
      <c r="H501" s="2968"/>
      <c r="I501" s="2968"/>
      <c r="J501" s="2968" t="str">
        <f t="shared" si="15"/>
        <v>cv95</v>
      </c>
      <c r="K501" s="2969" t="str">
        <f t="shared" si="14"/>
        <v>cv95Cáp đồng bọc CV95</v>
      </c>
    </row>
    <row r="502" spans="1:11" hidden="1">
      <c r="A502" s="2966" t="s">
        <v>6756</v>
      </c>
      <c r="B502" s="2967"/>
      <c r="C502" s="2966" t="s">
        <v>6757</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6758</v>
      </c>
      <c r="B503" s="2967"/>
      <c r="C503" s="2966" t="s">
        <v>6759</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6760</v>
      </c>
      <c r="B504" s="2967"/>
      <c r="C504" s="2966" t="s">
        <v>6761</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6762</v>
      </c>
      <c r="B505" s="2967"/>
      <c r="C505" s="2966" t="s">
        <v>6763</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6764</v>
      </c>
      <c r="B506" s="2967"/>
      <c r="C506" s="2966" t="s">
        <v>6765</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6766</v>
      </c>
      <c r="B507" s="2967"/>
      <c r="C507" s="2966" t="s">
        <v>6767</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6768</v>
      </c>
      <c r="B508" s="2967"/>
      <c r="C508" s="2981" t="s">
        <v>6769</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6770</v>
      </c>
      <c r="B509" s="2967"/>
      <c r="C509" s="2966" t="s">
        <v>6771</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6772</v>
      </c>
      <c r="B510" s="2967"/>
      <c r="C510" s="2966" t="s">
        <v>6773</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6774</v>
      </c>
      <c r="B511" s="2967"/>
      <c r="C511" s="2966" t="s">
        <v>6775</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5695</v>
      </c>
      <c r="B520" s="2967"/>
      <c r="C520" s="2966" t="s">
        <v>5696</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6776</v>
      </c>
      <c r="B521" s="2967"/>
      <c r="C521" s="2966" t="s">
        <v>6777</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6778</v>
      </c>
      <c r="B522" s="2967"/>
      <c r="C522" s="2966" t="s">
        <v>6779</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6780</v>
      </c>
      <c r="B523" s="2967"/>
      <c r="C523" s="2966" t="s">
        <v>6781</v>
      </c>
      <c r="D523" s="69" t="s">
        <v>6490</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6491</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6491</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6491</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6491</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6491</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6491</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6491</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6491</v>
      </c>
      <c r="H532" s="2968"/>
      <c r="I532" s="2968"/>
      <c r="J532" s="2968" t="str">
        <f t="shared" si="17"/>
        <v>A95</v>
      </c>
      <c r="K532" s="2969" t="str">
        <f t="shared" si="16"/>
        <v>A95Cáp nhôm A-95</v>
      </c>
    </row>
    <row r="533" spans="1:11" hidden="1">
      <c r="A533" s="2966" t="s">
        <v>5056</v>
      </c>
      <c r="B533" s="2967"/>
      <c r="C533" s="2966" t="s">
        <v>5057</v>
      </c>
      <c r="D533" s="69" t="s">
        <v>2526</v>
      </c>
      <c r="E533" s="2968"/>
      <c r="F533" s="2968">
        <v>8</v>
      </c>
      <c r="G533" s="2968" t="s">
        <v>6491</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6491</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6491</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6491</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6491</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6491</v>
      </c>
      <c r="H538" s="2968"/>
      <c r="I538" s="2968"/>
      <c r="J538" s="2968" t="str">
        <f t="shared" si="17"/>
        <v>ABC4x150</v>
      </c>
      <c r="K538" s="2969" t="str">
        <f t="shared" si="16"/>
        <v>ABC4x150Cáp nhôm ABC 4x150mm2</v>
      </c>
    </row>
    <row r="539" spans="1:11" hidden="1">
      <c r="A539" s="2966" t="s">
        <v>5058</v>
      </c>
      <c r="B539" s="2967"/>
      <c r="C539" s="2966" t="s">
        <v>5059</v>
      </c>
      <c r="D539" s="69" t="s">
        <v>2526</v>
      </c>
      <c r="E539" s="2968"/>
      <c r="F539" s="2968">
        <v>8</v>
      </c>
      <c r="G539" s="2968" t="s">
        <v>6491</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6491</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6491</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6491</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6491</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6491</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6491</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6491</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6491</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6491</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6491</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6491</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6491</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6491</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6491</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6491</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6491</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6491</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6491</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6491</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6491</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6491</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6491</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6491</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6491</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6491</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6491</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6491</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6491</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6491</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6491</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6491</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6491</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6491</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6491</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6491</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6491</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6491</v>
      </c>
      <c r="H576" s="2968"/>
      <c r="I576" s="2968"/>
      <c r="J576" s="2968" t="str">
        <f t="shared" si="17"/>
        <v>ACXV150</v>
      </c>
      <c r="K576" s="2969" t="str">
        <f t="shared" si="16"/>
        <v>ACXV150Cáp nhôm lõi thép bọc 24KV AC/XLPE/PVC150 mm2</v>
      </c>
    </row>
    <row r="577" spans="1:11" hidden="1">
      <c r="A577" s="2966" t="s">
        <v>4590</v>
      </c>
      <c r="B577" s="2967"/>
      <c r="C577" s="2966" t="s">
        <v>4591</v>
      </c>
      <c r="D577" s="69" t="s">
        <v>2526</v>
      </c>
      <c r="E577" s="2968"/>
      <c r="F577" s="2968">
        <v>49</v>
      </c>
      <c r="G577" s="2968" t="s">
        <v>6491</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5699</v>
      </c>
      <c r="B580" s="2967"/>
      <c r="C580" s="2966" t="s">
        <v>5700</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4843</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5697</v>
      </c>
      <c r="B586" s="2967"/>
      <c r="C586" s="2966" t="s">
        <v>5698</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5205</v>
      </c>
      <c r="B587" s="2967"/>
      <c r="C587" s="2966" t="s">
        <v>6370</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4913</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5579</v>
      </c>
      <c r="B599" s="2967"/>
      <c r="C599" s="2966" t="s">
        <v>5580</v>
      </c>
      <c r="D599" s="69" t="s">
        <v>2547</v>
      </c>
      <c r="E599" s="2968"/>
      <c r="F599" s="2968">
        <v>50</v>
      </c>
      <c r="G599" s="2968" t="s">
        <v>510</v>
      </c>
      <c r="H599" s="2968"/>
      <c r="I599" s="2968"/>
      <c r="J599" s="2968" t="str">
        <f t="shared" si="19"/>
        <v>CBtep32</v>
      </c>
      <c r="K599" s="2969" t="str">
        <f t="shared" si="18"/>
        <v>CBtep32CB tép 32A</v>
      </c>
    </row>
    <row r="600" spans="1:11" hidden="1">
      <c r="A600" s="2966" t="s">
        <v>5581</v>
      </c>
      <c r="B600" s="2967"/>
      <c r="C600" s="2966" t="s">
        <v>5582</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4824</v>
      </c>
      <c r="B604" s="2967"/>
      <c r="C604" s="2966" t="s">
        <v>4789</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5610</v>
      </c>
      <c r="B605" s="2967"/>
      <c r="C605" s="2966" t="s">
        <v>5611</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5608</v>
      </c>
      <c r="B606" s="2967"/>
      <c r="C606" s="2966" t="s">
        <v>5609</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5079</v>
      </c>
      <c r="B609" s="2967"/>
      <c r="C609" s="2966" t="s">
        <v>5080</v>
      </c>
      <c r="D609" s="69" t="s">
        <v>5078</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5076</v>
      </c>
      <c r="B611" s="2967"/>
      <c r="C611" s="2966" t="s">
        <v>5077</v>
      </c>
      <c r="D611" s="69" t="s">
        <v>5078</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4799</v>
      </c>
      <c r="D612" s="69" t="s">
        <v>2547</v>
      </c>
      <c r="E612" s="2968"/>
      <c r="F612" s="2968">
        <v>3</v>
      </c>
      <c r="G612" s="2968" t="s">
        <v>6510</v>
      </c>
      <c r="H612" s="2968"/>
      <c r="I612" s="2968"/>
      <c r="J612" s="2968" t="str">
        <f t="shared" si="19"/>
        <v>LA18</v>
      </c>
      <c r="K612" s="2969" t="str">
        <f t="shared" si="18"/>
        <v>LA18Chống sét van LA-18KV-10KA</v>
      </c>
    </row>
    <row r="613" spans="1:11" ht="16.5"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5"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5" hidden="1">
      <c r="A615" s="2974" t="s">
        <v>2534</v>
      </c>
      <c r="B615" s="2967"/>
      <c r="C615" s="2966" t="s">
        <v>6410</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5" hidden="1">
      <c r="A616" s="2974" t="s">
        <v>2509</v>
      </c>
      <c r="B616" s="2967"/>
      <c r="C616" s="2966" t="s">
        <v>6409</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5" hidden="1">
      <c r="A617" s="2974" t="s">
        <v>2523</v>
      </c>
      <c r="B617" s="2967"/>
      <c r="C617" s="2966" t="s">
        <v>6409</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5" hidden="1">
      <c r="A618" s="2974" t="s">
        <v>2533</v>
      </c>
      <c r="B618" s="2967"/>
      <c r="C618" s="2966" t="s">
        <v>6409</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5" hidden="1">
      <c r="A619" s="2974" t="s">
        <v>6407</v>
      </c>
      <c r="B619" s="2967"/>
      <c r="C619" s="2966" t="s">
        <v>6408</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4626</v>
      </c>
      <c r="B620" s="2967"/>
      <c r="C620" s="2966" t="s">
        <v>4627</v>
      </c>
      <c r="D620" s="69" t="s">
        <v>2379</v>
      </c>
      <c r="E620" s="2968"/>
      <c r="F620" s="2968">
        <v>2000</v>
      </c>
      <c r="G620" s="2968" t="s">
        <v>355</v>
      </c>
      <c r="H620" s="2968"/>
      <c r="I620" s="2968"/>
      <c r="J620" s="2968" t="str">
        <f t="shared" si="19"/>
        <v>STTT-2BAT</v>
      </c>
      <c r="K620" s="2969" t="str">
        <f t="shared" si="18"/>
        <v>STTT-2BATChuỗi sứ treo thủy tinh 2 bát</v>
      </c>
    </row>
    <row r="621" spans="1:11" ht="15.75"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t="15.75"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t="15.75"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t="15.75"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5619</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6782</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4907</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c r="A644" s="2966" t="s">
        <v>6423</v>
      </c>
      <c r="B644" s="2973"/>
      <c r="C644" s="2966" t="s">
        <v>6424</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4906</v>
      </c>
      <c r="B645" s="2967"/>
      <c r="C645" s="2966" t="s">
        <v>4901</v>
      </c>
      <c r="D645" s="69" t="s">
        <v>2547</v>
      </c>
      <c r="E645" s="2968"/>
      <c r="F645" s="2968">
        <v>50</v>
      </c>
      <c r="G645" s="2968" t="s">
        <v>510</v>
      </c>
      <c r="H645" s="2968"/>
      <c r="I645" s="2968"/>
      <c r="J645" s="2968" t="str">
        <f t="shared" si="21"/>
        <v>Chupm</v>
      </c>
      <c r="K645" s="2969" t="str">
        <f t="shared" si="20"/>
        <v>ChupmChụp đầu cực MBA</v>
      </c>
    </row>
    <row r="646" spans="1:11" hidden="1">
      <c r="A646" s="2966" t="s">
        <v>6366</v>
      </c>
      <c r="B646" s="2967"/>
      <c r="C646" s="2966" t="s">
        <v>5613</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5612</v>
      </c>
      <c r="B647" s="2967"/>
      <c r="C647" s="2966" t="s">
        <v>5613</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6783</v>
      </c>
      <c r="B650" s="2967"/>
      <c r="C650" s="2966" t="s">
        <v>6784</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6785</v>
      </c>
      <c r="B652" s="2967"/>
      <c r="C652" s="2966" t="s">
        <v>6786</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4686</v>
      </c>
      <c r="B653" s="2973"/>
      <c r="C653" s="2966" t="s">
        <v>4687</v>
      </c>
      <c r="D653" s="69" t="s">
        <v>2547</v>
      </c>
      <c r="E653" s="2968"/>
      <c r="F653" s="2968">
        <v>50</v>
      </c>
      <c r="G653" s="2968" t="s">
        <v>510</v>
      </c>
      <c r="H653" s="2968"/>
      <c r="I653" s="2968"/>
      <c r="J653" s="2968" t="str">
        <f t="shared" si="21"/>
        <v>CUT114L</v>
      </c>
      <c r="K653" s="2969" t="str">
        <f t="shared" si="20"/>
        <v>CUT114LCo 135 độ PVC 114</v>
      </c>
    </row>
    <row r="654" spans="1:11" hidden="1">
      <c r="A654" s="2966" t="s">
        <v>4910</v>
      </c>
      <c r="B654" s="2967"/>
      <c r="C654" s="2966" t="s">
        <v>4903</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6787</v>
      </c>
      <c r="B657" s="2967"/>
      <c r="C657" s="2966" t="s">
        <v>6788</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6789</v>
      </c>
      <c r="B662" s="2967"/>
      <c r="C662" s="2966" t="s">
        <v>6790</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6791</v>
      </c>
      <c r="B664" s="2967"/>
      <c r="C664" s="2966" t="s">
        <v>6792</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5168</v>
      </c>
      <c r="B667" s="2967"/>
      <c r="C667" s="2966" t="s">
        <v>5169</v>
      </c>
      <c r="D667" s="69" t="s">
        <v>2433</v>
      </c>
      <c r="E667" s="2968"/>
      <c r="F667" s="2968">
        <v>50</v>
      </c>
      <c r="G667" s="2968" t="s">
        <v>510</v>
      </c>
      <c r="H667" s="2968"/>
      <c r="I667" s="2968"/>
      <c r="J667" s="2968" t="str">
        <f t="shared" si="21"/>
        <v>CDbr</v>
      </c>
      <c r="K667" s="2969" t="str">
        <f t="shared" si="20"/>
        <v>CDbrCổ dê bắt rack</v>
      </c>
    </row>
    <row r="668" spans="1:11" hidden="1">
      <c r="A668" s="2966" t="s">
        <v>6793</v>
      </c>
      <c r="B668" s="2967"/>
      <c r="C668" s="2966" t="s">
        <v>6794</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6795</v>
      </c>
      <c r="B670" s="2967"/>
      <c r="C670" s="2966" t="s">
        <v>6796</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4762</v>
      </c>
      <c r="B671" s="2967" t="s">
        <v>1749</v>
      </c>
      <c r="C671" s="2966" t="s">
        <v>4761</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5171</v>
      </c>
      <c r="B688" s="2967"/>
      <c r="C688" s="2966" t="s">
        <v>5172</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5173</v>
      </c>
      <c r="B689" s="2967"/>
      <c r="C689" s="2966" t="s">
        <v>5174</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6797</v>
      </c>
      <c r="B694" s="2967"/>
      <c r="C694" s="2966" t="s">
        <v>6798</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6799</v>
      </c>
      <c r="B695" s="2967"/>
      <c r="C695" s="2966" t="s">
        <v>6800</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6801</v>
      </c>
      <c r="B696" s="2967"/>
      <c r="C696" s="2966" t="s">
        <v>6802</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6803</v>
      </c>
      <c r="B697" s="2967"/>
      <c r="C697" s="2966" t="s">
        <v>6804</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5179</v>
      </c>
      <c r="B699" s="2967"/>
      <c r="C699" s="2966" t="s">
        <v>5180</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5177</v>
      </c>
      <c r="B700" s="2967"/>
      <c r="C700" s="2966" t="s">
        <v>5178</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5181</v>
      </c>
      <c r="B701" s="2967"/>
      <c r="C701" s="2966" t="s">
        <v>5182</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6805</v>
      </c>
      <c r="B702" s="2967"/>
      <c r="C702" s="2966" t="s">
        <v>6806</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4911</v>
      </c>
      <c r="B710" s="2967"/>
      <c r="C710" s="2966" t="s">
        <v>4904</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4912</v>
      </c>
      <c r="B711" s="2967"/>
      <c r="C711" s="2966" t="s">
        <v>4905</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4777</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6807</v>
      </c>
      <c r="B723" s="2967"/>
      <c r="C723" s="2966" t="s">
        <v>6808</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6510</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6510</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6510</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4997</v>
      </c>
      <c r="B729" s="2967"/>
      <c r="C729" s="2966" t="s">
        <v>4998</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4614</v>
      </c>
      <c r="B735" s="2967"/>
      <c r="C735" s="2966" t="s">
        <v>4615</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4618</v>
      </c>
      <c r="B737" s="2967"/>
      <c r="C737" s="2966" t="s">
        <v>4619</v>
      </c>
      <c r="D737" s="69" t="s">
        <v>3430</v>
      </c>
      <c r="E737" s="2968"/>
      <c r="F737" s="2968">
        <v>50</v>
      </c>
      <c r="G737" s="2968" t="s">
        <v>355</v>
      </c>
      <c r="H737" s="2968"/>
      <c r="I737" s="2968"/>
      <c r="J737" s="2968" t="str">
        <f t="shared" si="23"/>
        <v>xa2200</v>
      </c>
      <c r="K737" s="2969" t="str">
        <f t="shared" si="22"/>
        <v>xa2200Đà 2,2m X-2,2Đ</v>
      </c>
    </row>
    <row r="738" spans="1:11" hidden="1">
      <c r="A738" s="2966" t="s">
        <v>4616</v>
      </c>
      <c r="B738" s="2967"/>
      <c r="C738" s="2966" t="s">
        <v>4617</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6579</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6579</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6579</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6579</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6579</v>
      </c>
      <c r="H745" s="2968"/>
      <c r="I745" s="2968"/>
      <c r="J745" s="2968" t="str">
        <f t="shared" si="23"/>
        <v>D25</v>
      </c>
      <c r="K745" s="2969" t="str">
        <f t="shared" si="22"/>
        <v>D25Đà cản BTCT 2,5m</v>
      </c>
    </row>
    <row r="746" spans="1:11" hidden="1">
      <c r="A746" s="2966" t="s">
        <v>4620</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hidden="1">
      <c r="A748" s="2966" t="s">
        <v>5069</v>
      </c>
      <c r="B748" s="2967"/>
      <c r="C748" s="2966" t="s">
        <v>5070</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5073</v>
      </c>
      <c r="B749" s="2967"/>
      <c r="C749" s="2966" t="s">
        <v>5074</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5071</v>
      </c>
      <c r="B750" s="2967"/>
      <c r="C750" s="2966" t="s">
        <v>5072</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4784</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5075</v>
      </c>
      <c r="B752" s="2967"/>
      <c r="C752" s="2966" t="s">
        <v>4784</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6355</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hidden="1">
      <c r="A754" s="2966" t="s">
        <v>6318</v>
      </c>
      <c r="B754" s="2967"/>
      <c r="C754" s="2966" t="s">
        <v>6141</v>
      </c>
      <c r="D754" s="69" t="s">
        <v>2379</v>
      </c>
      <c r="E754" s="2968"/>
      <c r="F754" s="2968">
        <v>2000</v>
      </c>
      <c r="G754" s="2968" t="s">
        <v>355</v>
      </c>
      <c r="H754" s="2968"/>
      <c r="I754" s="2968"/>
      <c r="J754" s="2968" t="str">
        <f t="shared" si="23"/>
        <v>X-com-fcola</v>
      </c>
      <c r="K754" s="2969" t="str">
        <f t="shared" si="22"/>
        <v>X-com-fcolaĐà đơn Composite 2400 bắt FCO + LA</v>
      </c>
    </row>
    <row r="755" spans="1:11" hidden="1">
      <c r="A755" s="2966" t="s">
        <v>6809</v>
      </c>
      <c r="B755" s="2967"/>
      <c r="C755" s="2966" t="s">
        <v>6810</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6811</v>
      </c>
      <c r="B756" s="2967"/>
      <c r="C756" s="2966" t="s">
        <v>6812</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4885</v>
      </c>
      <c r="B757" s="2967"/>
      <c r="C757" s="2966" t="s">
        <v>4891</v>
      </c>
      <c r="D757" s="69" t="s">
        <v>4577</v>
      </c>
      <c r="E757" s="2968"/>
      <c r="F757" s="2968">
        <v>50</v>
      </c>
      <c r="G757" s="2968" t="s">
        <v>355</v>
      </c>
      <c r="H757" s="2968"/>
      <c r="I757" s="2968"/>
      <c r="J757" s="2968" t="str">
        <f t="shared" si="23"/>
        <v>d21</v>
      </c>
      <c r="K757" s="2969" t="str">
        <f t="shared" si="22"/>
        <v>d21Đà Sắt góc L75 x75 x8 dài 2,1m (3 ốp)</v>
      </c>
    </row>
    <row r="758" spans="1:11" hidden="1">
      <c r="A758" s="2966" t="s">
        <v>4575</v>
      </c>
      <c r="B758" s="2967"/>
      <c r="C758" s="2966" t="s">
        <v>4576</v>
      </c>
      <c r="D758" s="69" t="s">
        <v>4577</v>
      </c>
      <c r="E758" s="2968"/>
      <c r="F758" s="2968">
        <v>50</v>
      </c>
      <c r="G758" s="2968" t="s">
        <v>355</v>
      </c>
      <c r="H758" s="2968"/>
      <c r="I758" s="2968"/>
      <c r="J758" s="2968" t="str">
        <f t="shared" si="23"/>
        <v>d22</v>
      </c>
      <c r="K758" s="2969" t="str">
        <f t="shared" si="22"/>
        <v>d22Đà Sắt góc L75 x75 x8 dài 2,2m (4 ốp)</v>
      </c>
    </row>
    <row r="759" spans="1:11" hidden="1">
      <c r="A759" s="2966" t="s">
        <v>4580</v>
      </c>
      <c r="B759" s="2967"/>
      <c r="C759" s="2966" t="s">
        <v>4581</v>
      </c>
      <c r="D759" s="69" t="s">
        <v>4577</v>
      </c>
      <c r="E759" s="2968"/>
      <c r="F759" s="2968">
        <v>50</v>
      </c>
      <c r="G759" s="2968" t="s">
        <v>355</v>
      </c>
      <c r="H759" s="2968"/>
      <c r="I759" s="2968"/>
      <c r="J759" s="2968" t="str">
        <f t="shared" si="23"/>
        <v>d200</v>
      </c>
      <c r="K759" s="2969" t="str">
        <f t="shared" si="22"/>
        <v>d200Đà Sắt góc L75 x75 x8 dài 2m (3 ốp)</v>
      </c>
    </row>
    <row r="760" spans="1:11" hidden="1">
      <c r="A760" s="2966" t="s">
        <v>6813</v>
      </c>
      <c r="B760" s="2967"/>
      <c r="C760" s="2966" t="s">
        <v>6814</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6815</v>
      </c>
      <c r="B761" s="2967"/>
      <c r="C761" s="2966" t="s">
        <v>6816</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6817</v>
      </c>
      <c r="B762" s="2967"/>
      <c r="C762" s="2966" t="s">
        <v>6818</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6819</v>
      </c>
      <c r="B763" s="2967"/>
      <c r="C763" s="2966" t="s">
        <v>6820</v>
      </c>
      <c r="D763" s="69" t="s">
        <v>2547</v>
      </c>
      <c r="E763" s="2968"/>
      <c r="F763" s="2968">
        <v>50</v>
      </c>
      <c r="G763" s="2968" t="s">
        <v>355</v>
      </c>
      <c r="H763" s="2968"/>
      <c r="I763" s="2968"/>
      <c r="J763" s="2968" t="str">
        <f t="shared" si="23"/>
        <v>D2200</v>
      </c>
      <c r="K763" s="2969" t="str">
        <f t="shared" si="22"/>
        <v>D2200Đà sắt L75x75x8-2200 - 4 ốp</v>
      </c>
    </row>
    <row r="764" spans="1:11" hidden="1">
      <c r="A764" s="2966" t="s">
        <v>6821</v>
      </c>
      <c r="B764" s="2967"/>
      <c r="C764" s="2966" t="s">
        <v>6822</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6823</v>
      </c>
      <c r="B765" s="2967"/>
      <c r="C765" s="2966" t="s">
        <v>6824</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6825</v>
      </c>
      <c r="B766" s="2967"/>
      <c r="C766" s="2966" t="s">
        <v>6826</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6827</v>
      </c>
      <c r="B767" s="2967"/>
      <c r="C767" s="2966" t="s">
        <v>6828</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6829</v>
      </c>
      <c r="B769" s="2967"/>
      <c r="C769" s="2966" t="s">
        <v>6830</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6831</v>
      </c>
      <c r="B770" s="2967"/>
      <c r="C770" s="2966" t="s">
        <v>6832</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6833</v>
      </c>
      <c r="B771" s="2967"/>
      <c r="C771" s="2966" t="s">
        <v>6834</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5757</v>
      </c>
      <c r="B772" s="2967"/>
      <c r="C772" s="2966" t="s">
        <v>5758</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6835</v>
      </c>
      <c r="B773" s="2967"/>
      <c r="C773" s="2966" t="s">
        <v>6836</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5777</v>
      </c>
      <c r="B774" s="2967"/>
      <c r="C774" s="2966" t="s">
        <v>5778</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5771</v>
      </c>
      <c r="B775" s="2967"/>
      <c r="C775" s="2966" t="s">
        <v>5772</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5765</v>
      </c>
      <c r="B776" s="2967"/>
      <c r="C776" s="2966" t="s">
        <v>5766</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5763</v>
      </c>
      <c r="B777" s="2967"/>
      <c r="C777" s="2966" t="s">
        <v>5764</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4748</v>
      </c>
      <c r="B779" s="2995"/>
      <c r="C779" s="2996" t="s">
        <v>7294</v>
      </c>
      <c r="D779" s="69" t="s">
        <v>2547</v>
      </c>
      <c r="E779" s="2968"/>
      <c r="F779" s="2968">
        <v>50</v>
      </c>
      <c r="G779" s="2968" t="s">
        <v>355</v>
      </c>
      <c r="H779" s="2968"/>
      <c r="I779" s="2968"/>
      <c r="J779" s="2968" t="str">
        <f t="shared" si="25"/>
        <v>U100-500</v>
      </c>
      <c r="K779" s="2969" t="str">
        <f t="shared" si="24"/>
        <v>U100-500Đà U100x46x4.5x</v>
      </c>
    </row>
    <row r="780" spans="1:11" hidden="1">
      <c r="A780" s="2994" t="s">
        <v>4749</v>
      </c>
      <c r="B780" s="2995"/>
      <c r="C780" s="2996" t="s">
        <v>7294</v>
      </c>
      <c r="D780" s="69" t="s">
        <v>2547</v>
      </c>
      <c r="E780" s="2968"/>
      <c r="F780" s="2968">
        <v>50</v>
      </c>
      <c r="G780" s="2968" t="s">
        <v>355</v>
      </c>
      <c r="H780" s="2968"/>
      <c r="I780" s="2968"/>
      <c r="J780" s="2968" t="str">
        <f t="shared" si="25"/>
        <v>U100-700</v>
      </c>
      <c r="K780" s="2969" t="str">
        <f t="shared" si="24"/>
        <v>U100-700Đà U100x46x4.5x</v>
      </c>
    </row>
    <row r="781" spans="1:11" hidden="1">
      <c r="A781" s="2966" t="s">
        <v>5739</v>
      </c>
      <c r="B781" s="2967"/>
      <c r="C781" s="2966" t="s">
        <v>5740</v>
      </c>
      <c r="D781" s="69" t="s">
        <v>4577</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5747</v>
      </c>
      <c r="B782" s="2967"/>
      <c r="C782" s="2966" t="s">
        <v>5748</v>
      </c>
      <c r="D782" s="69" t="s">
        <v>4577</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5745</v>
      </c>
      <c r="B783" s="2967"/>
      <c r="C783" s="2966" t="s">
        <v>5746</v>
      </c>
      <c r="D783" s="69" t="s">
        <v>4577</v>
      </c>
      <c r="E783" s="2968"/>
      <c r="F783" s="2968">
        <v>50</v>
      </c>
      <c r="G783" s="2968" t="s">
        <v>355</v>
      </c>
      <c r="H783" s="2968"/>
      <c r="I783" s="2968"/>
      <c r="J783" s="2968" t="str">
        <f t="shared" si="25"/>
        <v>U10-70</v>
      </c>
      <c r="K783" s="2969" t="str">
        <f t="shared" si="24"/>
        <v>U10-70Đà U100x46x5x700 đà ốp đỡ MBA (2 thanh)</v>
      </c>
    </row>
    <row r="784" spans="1:11" hidden="1">
      <c r="A784" s="2966" t="s">
        <v>5743</v>
      </c>
      <c r="B784" s="2967"/>
      <c r="C784" s="2966" t="s">
        <v>5744</v>
      </c>
      <c r="D784" s="69" t="s">
        <v>4577</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5741</v>
      </c>
      <c r="B785" s="2967"/>
      <c r="C785" s="2966" t="s">
        <v>5742</v>
      </c>
      <c r="D785" s="69" t="s">
        <v>4577</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4751</v>
      </c>
      <c r="B787" s="2995"/>
      <c r="C787" s="2996" t="s">
        <v>7295</v>
      </c>
      <c r="D787" s="69" t="s">
        <v>2547</v>
      </c>
      <c r="E787" s="2968"/>
      <c r="F787" s="2968">
        <v>50</v>
      </c>
      <c r="G787" s="2968" t="s">
        <v>355</v>
      </c>
      <c r="H787" s="2968"/>
      <c r="I787" s="2968"/>
      <c r="J787" s="2968" t="str">
        <f t="shared" si="25"/>
        <v>U160-1100</v>
      </c>
      <c r="K787" s="2969" t="str">
        <f t="shared" si="24"/>
        <v>U160-1100Đà U100x68x5x</v>
      </c>
    </row>
    <row r="788" spans="1:11" hidden="1">
      <c r="A788" s="2994" t="s">
        <v>4752</v>
      </c>
      <c r="B788" s="2995"/>
      <c r="C788" s="2996" t="s">
        <v>7295</v>
      </c>
      <c r="D788" s="69" t="s">
        <v>2547</v>
      </c>
      <c r="E788" s="2968"/>
      <c r="F788" s="2968">
        <v>50</v>
      </c>
      <c r="G788" s="2968" t="s">
        <v>355</v>
      </c>
      <c r="H788" s="2968"/>
      <c r="I788" s="2968"/>
      <c r="J788" s="2968" t="str">
        <f t="shared" si="25"/>
        <v>U160-1449</v>
      </c>
      <c r="K788" s="2969" t="str">
        <f t="shared" si="24"/>
        <v>U160-1449Đà U100x68x5x</v>
      </c>
    </row>
    <row r="789" spans="1:11" hidden="1">
      <c r="A789" s="2994" t="s">
        <v>4753</v>
      </c>
      <c r="B789" s="2995"/>
      <c r="C789" s="2996" t="s">
        <v>7295</v>
      </c>
      <c r="D789" s="69" t="s">
        <v>2547</v>
      </c>
      <c r="E789" s="2968"/>
      <c r="F789" s="2968">
        <v>50</v>
      </c>
      <c r="G789" s="2968" t="s">
        <v>355</v>
      </c>
      <c r="H789" s="2968"/>
      <c r="I789" s="2968"/>
      <c r="J789" s="2968" t="str">
        <f t="shared" si="25"/>
        <v>U160-1700</v>
      </c>
      <c r="K789" s="2969" t="str">
        <f t="shared" si="24"/>
        <v>U160-1700Đà U100x68x5x</v>
      </c>
    </row>
    <row r="790" spans="1:11" hidden="1">
      <c r="A790" s="2994" t="s">
        <v>4754</v>
      </c>
      <c r="B790" s="2995"/>
      <c r="C790" s="2996" t="s">
        <v>7295</v>
      </c>
      <c r="D790" s="69" t="s">
        <v>2547</v>
      </c>
      <c r="E790" s="2968"/>
      <c r="F790" s="2968">
        <v>50</v>
      </c>
      <c r="G790" s="2968" t="s">
        <v>355</v>
      </c>
      <c r="H790" s="2968"/>
      <c r="I790" s="2968"/>
      <c r="J790" s="2968" t="str">
        <f t="shared" si="25"/>
        <v>U160-2100</v>
      </c>
      <c r="K790" s="2969" t="str">
        <f t="shared" si="24"/>
        <v>U160-2100Đà U100x68x5x</v>
      </c>
    </row>
    <row r="791" spans="1:11" hidden="1">
      <c r="A791" s="2994" t="s">
        <v>4750</v>
      </c>
      <c r="B791" s="2995"/>
      <c r="C791" s="2996" t="s">
        <v>7295</v>
      </c>
      <c r="D791" s="69" t="s">
        <v>2547</v>
      </c>
      <c r="E791" s="2968"/>
      <c r="F791" s="2968">
        <v>50</v>
      </c>
      <c r="G791" s="2968" t="s">
        <v>355</v>
      </c>
      <c r="H791" s="2968"/>
      <c r="I791" s="2968"/>
      <c r="J791" s="2968" t="str">
        <f t="shared" si="25"/>
        <v>U160-740</v>
      </c>
      <c r="K791" s="2969" t="str">
        <f t="shared" si="24"/>
        <v>U160-740Đà U100x68x5x</v>
      </c>
    </row>
    <row r="792" spans="1:11" hidden="1">
      <c r="A792" s="2966" t="s">
        <v>5749</v>
      </c>
      <c r="B792" s="2967"/>
      <c r="C792" s="2966" t="s">
        <v>5750</v>
      </c>
      <c r="D792" s="69" t="s">
        <v>2243</v>
      </c>
      <c r="E792" s="2968"/>
      <c r="F792" s="2968">
        <v>50</v>
      </c>
      <c r="G792" s="2968" t="s">
        <v>355</v>
      </c>
      <c r="H792" s="2968"/>
      <c r="I792" s="2968"/>
      <c r="J792" s="2968" t="str">
        <f t="shared" si="25"/>
        <v>U12-285</v>
      </c>
      <c r="K792" s="2969" t="str">
        <f t="shared" si="24"/>
        <v>U12-285Đà U120x52x4,8x2850mm</v>
      </c>
    </row>
    <row r="793" spans="1:11" hidden="1">
      <c r="A793" s="2966" t="s">
        <v>5737</v>
      </c>
      <c r="B793" s="2967"/>
      <c r="C793" s="2966" t="s">
        <v>5738</v>
      </c>
      <c r="D793" s="69" t="s">
        <v>4577</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5735</v>
      </c>
      <c r="B794" s="2967"/>
      <c r="C794" s="2966" t="s">
        <v>5736</v>
      </c>
      <c r="D794" s="69" t="s">
        <v>4577</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6837</v>
      </c>
      <c r="B795" s="2967"/>
      <c r="C795" s="2966" t="s">
        <v>6838</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6839</v>
      </c>
      <c r="B796" s="2967"/>
      <c r="C796" s="2966" t="s">
        <v>6840</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5733</v>
      </c>
      <c r="B797" s="2967"/>
      <c r="C797" s="2966" t="s">
        <v>5734</v>
      </c>
      <c r="D797" s="69" t="s">
        <v>4577</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5731</v>
      </c>
      <c r="B798" s="2967"/>
      <c r="C798" s="2966" t="s">
        <v>5732</v>
      </c>
      <c r="D798" s="69" t="s">
        <v>4577</v>
      </c>
      <c r="E798" s="2968"/>
      <c r="F798" s="2968">
        <v>50</v>
      </c>
      <c r="G798" s="2968" t="s">
        <v>355</v>
      </c>
      <c r="H798" s="2968"/>
      <c r="I798" s="2968"/>
      <c r="J798" s="2968" t="str">
        <f t="shared" si="25"/>
        <v>U16-150</v>
      </c>
      <c r="K798" s="2969" t="str">
        <f t="shared" si="24"/>
        <v>U16-150Đà U160x64x5x1500 đỡ MBA (2 thanh)</v>
      </c>
    </row>
    <row r="799" spans="1:11" hidden="1">
      <c r="A799" s="2966" t="s">
        <v>6841</v>
      </c>
      <c r="B799" s="2967"/>
      <c r="C799" s="2966" t="s">
        <v>6842</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6843</v>
      </c>
      <c r="B800" s="2967"/>
      <c r="C800" s="2966" t="s">
        <v>6844</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6845</v>
      </c>
      <c r="B801" s="2967"/>
      <c r="C801" s="2966" t="s">
        <v>6846</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5729</v>
      </c>
      <c r="B802" s="2967"/>
      <c r="C802" s="2966" t="s">
        <v>5730</v>
      </c>
      <c r="D802" s="69" t="s">
        <v>4577</v>
      </c>
      <c r="E802" s="2968"/>
      <c r="F802" s="2968">
        <v>50</v>
      </c>
      <c r="G802" s="2968" t="s">
        <v>355</v>
      </c>
      <c r="H802" s="2968"/>
      <c r="I802" s="2968"/>
      <c r="J802" s="2968" t="str">
        <f t="shared" si="25"/>
        <v>U16-196</v>
      </c>
      <c r="K802" s="2969" t="str">
        <f t="shared" si="24"/>
        <v>U16-196Đà U160x64x5x1960 chống đà MBA (2 thanh)</v>
      </c>
    </row>
    <row r="803" spans="1:11" hidden="1">
      <c r="A803" s="2966" t="s">
        <v>6847</v>
      </c>
      <c r="B803" s="2967"/>
      <c r="C803" s="2966" t="s">
        <v>6848</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6849</v>
      </c>
      <c r="B804" s="2967"/>
      <c r="C804" s="2966" t="s">
        <v>6850</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6851</v>
      </c>
      <c r="B805" s="2967"/>
      <c r="C805" s="2966" t="s">
        <v>6852</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5759</v>
      </c>
      <c r="B806" s="2967"/>
      <c r="C806" s="2966" t="s">
        <v>5760</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5767</v>
      </c>
      <c r="B807" s="2967"/>
      <c r="C807" s="2966" t="s">
        <v>5768</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5753</v>
      </c>
      <c r="B808" s="2967"/>
      <c r="C808" s="2966" t="s">
        <v>5754</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6853</v>
      </c>
      <c r="B809" s="2967"/>
      <c r="C809" s="2966" t="s">
        <v>6854</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6855</v>
      </c>
      <c r="B810" s="2967"/>
      <c r="C810" s="2966" t="s">
        <v>6856</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5779</v>
      </c>
      <c r="B812" s="2967"/>
      <c r="C812" s="2966" t="s">
        <v>5780</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5773</v>
      </c>
      <c r="B813" s="2967"/>
      <c r="C813" s="2966" t="s">
        <v>5774</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5761</v>
      </c>
      <c r="B814" s="2967"/>
      <c r="C814" s="2966" t="s">
        <v>5762</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5769</v>
      </c>
      <c r="B815" s="2967"/>
      <c r="C815" s="2966" t="s">
        <v>5770</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5755</v>
      </c>
      <c r="B816" s="2967"/>
      <c r="C816" s="2966" t="s">
        <v>5756</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5781</v>
      </c>
      <c r="B817" s="2967"/>
      <c r="C817" s="2966" t="s">
        <v>5782</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5775</v>
      </c>
      <c r="B818" s="2967"/>
      <c r="C818" s="2966" t="s">
        <v>5776</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5099</v>
      </c>
      <c r="B820" s="2967"/>
      <c r="C820" s="2966" t="s">
        <v>5100</v>
      </c>
      <c r="D820" s="69" t="s">
        <v>2526</v>
      </c>
      <c r="E820" s="2968"/>
      <c r="F820" s="2968">
        <v>50</v>
      </c>
      <c r="G820" s="2968" t="s">
        <v>510</v>
      </c>
      <c r="H820" s="2968"/>
      <c r="I820" s="2968"/>
      <c r="J820" s="2968" t="str">
        <f t="shared" si="25"/>
        <v>DTINOX</v>
      </c>
      <c r="K820" s="2969" t="str">
        <f t="shared" si="24"/>
        <v>DTINOXĐai thép Inox</v>
      </c>
    </row>
    <row r="821" spans="1:11" hidden="1">
      <c r="A821" s="2966" t="s">
        <v>5229</v>
      </c>
      <c r="B821" s="2967" t="s">
        <v>5230</v>
      </c>
      <c r="C821" s="2966" t="s">
        <v>5231</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6857</v>
      </c>
      <c r="B822" s="2967" t="s">
        <v>6658</v>
      </c>
      <c r="C822" s="2966" t="s">
        <v>6858</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6859</v>
      </c>
      <c r="B824" s="2967" t="s">
        <v>6664</v>
      </c>
      <c r="C824" s="2966" t="s">
        <v>6860</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5232</v>
      </c>
      <c r="B825" s="2967" t="s">
        <v>5233</v>
      </c>
      <c r="C825" s="2966" t="s">
        <v>5234</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5235</v>
      </c>
      <c r="B826" s="2967" t="s">
        <v>5236</v>
      </c>
      <c r="C826" s="2966" t="s">
        <v>5237</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4842</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6861</v>
      </c>
      <c r="B832" s="2967" t="s">
        <v>6640</v>
      </c>
      <c r="C832" s="2966" t="s">
        <v>6862</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6863</v>
      </c>
      <c r="B833" s="2967" t="s">
        <v>6653</v>
      </c>
      <c r="C833" s="2966" t="s">
        <v>6864</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5238</v>
      </c>
      <c r="B836" s="2967" t="s">
        <v>5239</v>
      </c>
      <c r="C836" s="2966" t="s">
        <v>5240</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5246</v>
      </c>
      <c r="B841" s="2967" t="s">
        <v>5247</v>
      </c>
      <c r="C841" s="2966" t="s">
        <v>5248</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6865</v>
      </c>
      <c r="B857" s="2967" t="s">
        <v>6866</v>
      </c>
      <c r="C857" s="2966" t="s">
        <v>6867</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5255</v>
      </c>
      <c r="B862" s="2967" t="s">
        <v>5256</v>
      </c>
      <c r="C862" s="2966" t="s">
        <v>5257</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4778</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5213</v>
      </c>
      <c r="B882" s="2967"/>
      <c r="C882" s="2966" t="s">
        <v>5214</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5211</v>
      </c>
      <c r="B883" s="2967"/>
      <c r="C883" s="2966" t="s">
        <v>5212</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5374</v>
      </c>
      <c r="B884" s="2967"/>
      <c r="C884" s="2966" t="s">
        <v>5375</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5372</v>
      </c>
      <c r="B887" s="2967"/>
      <c r="C887" s="2966" t="s">
        <v>5373</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6868</v>
      </c>
      <c r="B892" s="2967"/>
      <c r="C892" s="2966" t="s">
        <v>6869</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6870</v>
      </c>
      <c r="B893" s="2967"/>
      <c r="C893" s="2966" t="s">
        <v>6871</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6872</v>
      </c>
      <c r="B894" s="2967"/>
      <c r="C894" s="2966" t="s">
        <v>6873</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6874</v>
      </c>
      <c r="B895" s="2967"/>
      <c r="C895" s="2966" t="s">
        <v>6875</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6876</v>
      </c>
      <c r="B896" s="2967"/>
      <c r="C896" s="2966" t="s">
        <v>6877</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6878</v>
      </c>
      <c r="B897" s="2967"/>
      <c r="C897" s="2966" t="s">
        <v>6879</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6880</v>
      </c>
      <c r="B898" s="2967"/>
      <c r="C898" s="2966" t="s">
        <v>6881</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6882</v>
      </c>
      <c r="B899" s="2967"/>
      <c r="C899" s="2966" t="s">
        <v>6883</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6884</v>
      </c>
      <c r="B900" s="2967"/>
      <c r="C900" s="2966" t="s">
        <v>6885</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5215</v>
      </c>
      <c r="B902" s="2967"/>
      <c r="C902" s="2966" t="s">
        <v>5216</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5657</v>
      </c>
      <c r="B911" s="2967" t="s">
        <v>5642</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5658</v>
      </c>
      <c r="B913" s="2967" t="s">
        <v>5643</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5659</v>
      </c>
      <c r="B916" s="2967" t="s">
        <v>5644</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5660</v>
      </c>
      <c r="B919" s="2967" t="s">
        <v>5645</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5661</v>
      </c>
      <c r="B922" s="2967" t="s">
        <v>5645</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5662</v>
      </c>
      <c r="B924" s="2967" t="s">
        <v>5645</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5650</v>
      </c>
      <c r="B926" s="2967" t="s">
        <v>5638</v>
      </c>
      <c r="C926" s="2966" t="s">
        <v>5651</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5663</v>
      </c>
      <c r="B928" s="2967" t="s">
        <v>5646</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5666</v>
      </c>
      <c r="B929" s="2967" t="s">
        <v>5639</v>
      </c>
      <c r="C929" s="2966" t="s">
        <v>5667</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5652</v>
      </c>
      <c r="B931" s="2967" t="s">
        <v>5639</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5653</v>
      </c>
      <c r="B933" s="2967" t="s">
        <v>5639</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5670</v>
      </c>
      <c r="B934" s="2967" t="s">
        <v>5646</v>
      </c>
      <c r="C934" s="2966" t="s">
        <v>5665</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5664</v>
      </c>
      <c r="B935" s="2967" t="s">
        <v>5646</v>
      </c>
      <c r="C935" s="2966" t="s">
        <v>5665</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5648</v>
      </c>
      <c r="B936" s="2967" t="s">
        <v>5638</v>
      </c>
      <c r="C936" s="2966" t="s">
        <v>5649</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5654</v>
      </c>
      <c r="B938" s="2967" t="s">
        <v>5639</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5668</v>
      </c>
      <c r="B940" s="2967" t="s">
        <v>5640</v>
      </c>
      <c r="C940" s="2966" t="s">
        <v>5669</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5655</v>
      </c>
      <c r="B942" s="2967" t="s">
        <v>5640</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5656</v>
      </c>
      <c r="B944" s="2967" t="s">
        <v>5641</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5063</v>
      </c>
      <c r="B958" s="2967"/>
      <c r="C958" s="2966" t="s">
        <v>7296</v>
      </c>
      <c r="D958" s="69" t="s">
        <v>2547</v>
      </c>
      <c r="E958" s="2968"/>
      <c r="F958" s="2968">
        <v>50</v>
      </c>
      <c r="G958" s="2968" t="s">
        <v>510</v>
      </c>
      <c r="H958" s="2968"/>
      <c r="I958" s="2968"/>
      <c r="J958" s="2968" t="str">
        <f t="shared" si="29"/>
        <v>ssf</v>
      </c>
      <c r="K958" s="2969" t="str">
        <f t="shared" si="28"/>
        <v>ssfDây buộc cổ sứ</v>
      </c>
    </row>
    <row r="959" spans="1:11" hidden="1">
      <c r="A959" s="2966" t="s">
        <v>6386</v>
      </c>
      <c r="B959" s="2967"/>
      <c r="C959" s="2966" t="s">
        <v>7297</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6387</v>
      </c>
      <c r="B960" s="2967"/>
      <c r="C960" s="2966" t="s">
        <v>7298</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6388</v>
      </c>
      <c r="B961" s="2967"/>
      <c r="C961" s="2966" t="s">
        <v>7299</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6389</v>
      </c>
      <c r="B962" s="2967"/>
      <c r="C962" s="2966" t="s">
        <v>7300</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6383</v>
      </c>
      <c r="B963" s="2967"/>
      <c r="C963" s="2966" t="s">
        <v>7301</v>
      </c>
      <c r="D963" s="69" t="s">
        <v>2547</v>
      </c>
      <c r="E963" s="2968"/>
      <c r="F963" s="2968">
        <v>50</v>
      </c>
      <c r="G963" s="2968" t="s">
        <v>510</v>
      </c>
      <c r="H963" s="2968">
        <v>50</v>
      </c>
      <c r="I963" s="2968"/>
      <c r="J963" s="2968" t="str">
        <f t="shared" si="29"/>
        <v>ssf-50</v>
      </c>
      <c r="K963" s="2969" t="str">
        <f t="shared" ref="K963:K1026" si="30">A963&amp;C963</f>
        <v>ssf-50Dây buộc cổ sứ cỡ dây 50mm2</v>
      </c>
    </row>
    <row r="964" spans="1:11" hidden="1">
      <c r="A964" s="2966" t="s">
        <v>6384</v>
      </c>
      <c r="B964" s="2967"/>
      <c r="C964" s="2966" t="s">
        <v>7302</v>
      </c>
      <c r="D964" s="69" t="s">
        <v>2547</v>
      </c>
      <c r="E964" s="2968"/>
      <c r="F964" s="2968">
        <v>50</v>
      </c>
      <c r="G964" s="2968" t="s">
        <v>510</v>
      </c>
      <c r="H964" s="2968">
        <v>70</v>
      </c>
      <c r="I964" s="2968"/>
      <c r="J964" s="2968" t="str">
        <f t="shared" ref="J964:J1027" si="31">A964</f>
        <v>ssf-70</v>
      </c>
      <c r="K964" s="2969" t="str">
        <f t="shared" si="30"/>
        <v>ssf-70Dây buộc cổ sứ cỡ dây 70mm2</v>
      </c>
    </row>
    <row r="965" spans="1:11" hidden="1">
      <c r="A965" s="2966" t="s">
        <v>6385</v>
      </c>
      <c r="B965" s="2967"/>
      <c r="C965" s="2966" t="s">
        <v>7303</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6886</v>
      </c>
      <c r="B966" s="2967"/>
      <c r="C966" s="2966" t="s">
        <v>6887</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6888</v>
      </c>
      <c r="B967" s="2967"/>
      <c r="C967" s="2966" t="s">
        <v>6889</v>
      </c>
      <c r="D967" s="69" t="s">
        <v>2547</v>
      </c>
      <c r="E967" s="2968"/>
      <c r="F967" s="2968">
        <v>50</v>
      </c>
      <c r="G967" s="2968" t="s">
        <v>510</v>
      </c>
      <c r="H967" s="2968"/>
      <c r="I967" s="2968"/>
      <c r="J967" s="2968" t="str">
        <f t="shared" si="31"/>
        <v>ssf02</v>
      </c>
      <c r="K967" s="2969" t="str">
        <f t="shared" si="30"/>
        <v>ssf02Dây buộc cổ sứ đỡ góc SSF (70-95mm2)</v>
      </c>
    </row>
    <row r="968" spans="1:11" hidden="1">
      <c r="A968" s="2966" t="s">
        <v>6441</v>
      </c>
      <c r="B968" s="2967"/>
      <c r="C968" s="2966" t="s">
        <v>7307</v>
      </c>
      <c r="D968" s="69" t="s">
        <v>2547</v>
      </c>
      <c r="E968" s="2968"/>
      <c r="F968" s="2968">
        <v>50</v>
      </c>
      <c r="G968" s="2968" t="s">
        <v>510</v>
      </c>
      <c r="H968" s="2968"/>
      <c r="I968" s="2968"/>
      <c r="J968" s="2968" t="str">
        <f t="shared" si="31"/>
        <v>ssf-50-2</v>
      </c>
      <c r="K968" s="2969" t="str">
        <f t="shared" si="30"/>
        <v>ssf-50-2Dây buộc cổ sứ đôi cỡ dây 50 mm2</v>
      </c>
    </row>
    <row r="969" spans="1:11" hidden="1">
      <c r="A969" s="2966" t="s">
        <v>6393</v>
      </c>
      <c r="B969" s="2967"/>
      <c r="C969" s="2966" t="s">
        <v>7308</v>
      </c>
      <c r="D969" s="69" t="s">
        <v>2547</v>
      </c>
      <c r="E969" s="2968"/>
      <c r="F969" s="2968">
        <v>50</v>
      </c>
      <c r="G969" s="2968" t="s">
        <v>510</v>
      </c>
      <c r="H969" s="2968">
        <v>120</v>
      </c>
      <c r="I969" s="2968"/>
      <c r="J969" s="2968" t="str">
        <f t="shared" si="31"/>
        <v>ttf-120</v>
      </c>
      <c r="K969" s="2969" t="str">
        <f t="shared" si="30"/>
        <v>ttf-120Dây buộc đầu sứ cỡ dây 120mm2</v>
      </c>
    </row>
    <row r="970" spans="1:11" hidden="1">
      <c r="A970" s="2966" t="s">
        <v>6394</v>
      </c>
      <c r="B970" s="2967"/>
      <c r="C970" s="2966" t="s">
        <v>7309</v>
      </c>
      <c r="D970" s="69" t="s">
        <v>2547</v>
      </c>
      <c r="E970" s="2968"/>
      <c r="F970" s="2968">
        <v>50</v>
      </c>
      <c r="G970" s="2968" t="s">
        <v>510</v>
      </c>
      <c r="H970" s="2968">
        <v>150</v>
      </c>
      <c r="I970" s="2968"/>
      <c r="J970" s="2968" t="str">
        <f t="shared" si="31"/>
        <v>ttf-150</v>
      </c>
      <c r="K970" s="2969" t="str">
        <f t="shared" si="30"/>
        <v>ttf-150Dây buộc đầu sứ cỡ dây 150mm2</v>
      </c>
    </row>
    <row r="971" spans="1:11" hidden="1">
      <c r="A971" s="2966" t="s">
        <v>6395</v>
      </c>
      <c r="B971" s="2967"/>
      <c r="C971" s="2966" t="s">
        <v>7310</v>
      </c>
      <c r="D971" s="69" t="s">
        <v>2547</v>
      </c>
      <c r="E971" s="2968"/>
      <c r="F971" s="2968">
        <v>50</v>
      </c>
      <c r="G971" s="2968" t="s">
        <v>510</v>
      </c>
      <c r="H971" s="2968">
        <v>185</v>
      </c>
      <c r="I971" s="2968"/>
      <c r="J971" s="2968" t="str">
        <f t="shared" si="31"/>
        <v>ttf-185</v>
      </c>
      <c r="K971" s="2969" t="str">
        <f t="shared" si="30"/>
        <v>ttf-185Dây buộc đầu sứ cỡ dây 185mm2</v>
      </c>
    </row>
    <row r="972" spans="1:11" hidden="1">
      <c r="A972" s="2966" t="s">
        <v>6396</v>
      </c>
      <c r="B972" s="2967"/>
      <c r="C972" s="2966" t="s">
        <v>6397</v>
      </c>
      <c r="D972" s="69" t="s">
        <v>2547</v>
      </c>
      <c r="E972" s="2968"/>
      <c r="F972" s="2968">
        <v>50</v>
      </c>
      <c r="G972" s="2968" t="s">
        <v>510</v>
      </c>
      <c r="H972" s="2968">
        <v>240</v>
      </c>
      <c r="I972" s="2968"/>
      <c r="J972" s="2968" t="str">
        <f t="shared" si="31"/>
        <v>ttf-240</v>
      </c>
      <c r="K972" s="2969" t="str">
        <f t="shared" si="30"/>
        <v>ttf-240Dây buộc đầu sứ cỡ dây 240mm2</v>
      </c>
    </row>
    <row r="973" spans="1:11" hidden="1">
      <c r="A973" s="2966" t="s">
        <v>6390</v>
      </c>
      <c r="B973" s="2967"/>
      <c r="C973" s="2966" t="s">
        <v>7311</v>
      </c>
      <c r="D973" s="69" t="s">
        <v>2547</v>
      </c>
      <c r="E973" s="2968"/>
      <c r="F973" s="2968">
        <v>50</v>
      </c>
      <c r="G973" s="2968" t="s">
        <v>510</v>
      </c>
      <c r="H973" s="2968">
        <v>50</v>
      </c>
      <c r="I973" s="2968"/>
      <c r="J973" s="2968" t="str">
        <f t="shared" si="31"/>
        <v>ttf-50</v>
      </c>
      <c r="K973" s="2969" t="str">
        <f t="shared" si="30"/>
        <v>ttf-50Dây buộc đầu sứ cỡ dây 50mm2</v>
      </c>
    </row>
    <row r="974" spans="1:11" hidden="1">
      <c r="A974" s="2966" t="s">
        <v>6391</v>
      </c>
      <c r="B974" s="2967"/>
      <c r="C974" s="2966" t="s">
        <v>7312</v>
      </c>
      <c r="D974" s="69" t="s">
        <v>2547</v>
      </c>
      <c r="E974" s="2968"/>
      <c r="F974" s="2968">
        <v>50</v>
      </c>
      <c r="G974" s="2968" t="s">
        <v>510</v>
      </c>
      <c r="H974" s="2968">
        <v>70</v>
      </c>
      <c r="I974" s="2968"/>
      <c r="J974" s="2968" t="str">
        <f t="shared" si="31"/>
        <v>ttf-70</v>
      </c>
      <c r="K974" s="2969" t="str">
        <f t="shared" si="30"/>
        <v>ttf-70Dây buộc đầu sứ cỡ dây 70mm2</v>
      </c>
    </row>
    <row r="975" spans="1:11" hidden="1">
      <c r="A975" s="2966" t="s">
        <v>6392</v>
      </c>
      <c r="B975" s="2967"/>
      <c r="C975" s="2966" t="s">
        <v>7313</v>
      </c>
      <c r="D975" s="69" t="s">
        <v>2547</v>
      </c>
      <c r="E975" s="2968"/>
      <c r="F975" s="2968">
        <v>50</v>
      </c>
      <c r="G975" s="2968" t="s">
        <v>510</v>
      </c>
      <c r="H975" s="2968">
        <v>95</v>
      </c>
      <c r="I975" s="2968"/>
      <c r="J975" s="2968" t="str">
        <f t="shared" si="31"/>
        <v>ttf-95</v>
      </c>
      <c r="K975" s="2969" t="str">
        <f t="shared" si="30"/>
        <v>ttf-95Dây buộc đầu sứ cỡ dây 95mm2</v>
      </c>
    </row>
    <row r="976" spans="1:11" hidden="1">
      <c r="A976" s="2966" t="s">
        <v>6890</v>
      </c>
      <c r="B976" s="2967"/>
      <c r="C976" s="2966" t="s">
        <v>6891</v>
      </c>
      <c r="D976" s="69" t="s">
        <v>2547</v>
      </c>
      <c r="E976" s="2968"/>
      <c r="F976" s="2968">
        <v>50</v>
      </c>
      <c r="G976" s="2968" t="s">
        <v>510</v>
      </c>
      <c r="H976" s="2968"/>
      <c r="I976" s="2968"/>
      <c r="J976" s="2968" t="str">
        <f t="shared" si="31"/>
        <v>ttf01</v>
      </c>
      <c r="K976" s="2969" t="str">
        <f t="shared" si="30"/>
        <v>ttf01Dây buộc đầu sứ đỡ thẳng 50-70mm2</v>
      </c>
    </row>
    <row r="977" spans="1:11" hidden="1">
      <c r="A977" s="2966" t="s">
        <v>6892</v>
      </c>
      <c r="B977" s="2967"/>
      <c r="C977" s="2966" t="s">
        <v>6893</v>
      </c>
      <c r="D977" s="69" t="s">
        <v>2547</v>
      </c>
      <c r="E977" s="2968"/>
      <c r="F977" s="2968">
        <v>50</v>
      </c>
      <c r="G977" s="2968" t="s">
        <v>510</v>
      </c>
      <c r="H977" s="2968"/>
      <c r="I977" s="2968"/>
      <c r="J977" s="2968" t="str">
        <f t="shared" si="31"/>
        <v>ttf02</v>
      </c>
      <c r="K977" s="2969" t="str">
        <f t="shared" si="30"/>
        <v>ttf02Dây buộc đầu sứ đỡ thẳng TTF  (70-95mm2)</v>
      </c>
    </row>
    <row r="978" spans="1:11" hidden="1">
      <c r="A978" s="2966" t="s">
        <v>5062</v>
      </c>
      <c r="B978" s="2967"/>
      <c r="C978" s="2966" t="s">
        <v>6894</v>
      </c>
      <c r="D978" s="69" t="s">
        <v>2547</v>
      </c>
      <c r="E978" s="2968"/>
      <c r="F978" s="2968">
        <v>50</v>
      </c>
      <c r="G978" s="2968" t="s">
        <v>510</v>
      </c>
      <c r="H978" s="2968"/>
      <c r="I978" s="2968"/>
      <c r="J978" s="2968" t="str">
        <f t="shared" si="31"/>
        <v>ttf</v>
      </c>
      <c r="K978" s="2969" t="str">
        <f t="shared" si="30"/>
        <v>ttfDây buộc đầu sứ sứ đỡ thẳng TTF 150mm2</v>
      </c>
    </row>
    <row r="979" spans="1:11" hidden="1">
      <c r="A979" s="2966" t="s">
        <v>559</v>
      </c>
      <c r="B979" s="2973"/>
      <c r="C979" s="2966" t="s">
        <v>3420</v>
      </c>
      <c r="D979" s="69" t="s">
        <v>2592</v>
      </c>
      <c r="E979" s="2968"/>
      <c r="F979" s="2968">
        <v>50</v>
      </c>
      <c r="G979" s="2968" t="s">
        <v>510</v>
      </c>
      <c r="H979" s="2968"/>
      <c r="I979" s="2968"/>
      <c r="J979" s="2968" t="str">
        <f t="shared" si="31"/>
        <v>CHI100K</v>
      </c>
      <c r="K979" s="2969" t="str">
        <f t="shared" si="30"/>
        <v>CHI100KDây chảy 100K</v>
      </c>
    </row>
    <row r="980" spans="1:11" hidden="1">
      <c r="A980" s="2966" t="s">
        <v>1142</v>
      </c>
      <c r="B980" s="2973"/>
      <c r="C980" s="2966" t="s">
        <v>3410</v>
      </c>
      <c r="D980" s="69" t="s">
        <v>2592</v>
      </c>
      <c r="E980" s="2968"/>
      <c r="F980" s="2968">
        <v>50</v>
      </c>
      <c r="G980" s="2968" t="s">
        <v>510</v>
      </c>
      <c r="H980" s="2968"/>
      <c r="I980" s="2968"/>
      <c r="J980" s="2968" t="str">
        <f t="shared" si="31"/>
        <v>CHI10K</v>
      </c>
      <c r="K980" s="2969" t="str">
        <f t="shared" si="30"/>
        <v>CHI10KDây chảy 10K</v>
      </c>
    </row>
    <row r="981" spans="1:11" hidden="1">
      <c r="A981" s="2966" t="s">
        <v>2060</v>
      </c>
      <c r="B981" s="2973"/>
      <c r="C981" s="2966" t="s">
        <v>3411</v>
      </c>
      <c r="D981" s="69" t="s">
        <v>2592</v>
      </c>
      <c r="E981" s="2968"/>
      <c r="F981" s="2968">
        <v>50</v>
      </c>
      <c r="G981" s="2968" t="s">
        <v>510</v>
      </c>
      <c r="H981" s="2968"/>
      <c r="I981" s="2968"/>
      <c r="J981" s="2968" t="str">
        <f t="shared" si="31"/>
        <v>CHI12K</v>
      </c>
      <c r="K981" s="2969" t="str">
        <f t="shared" si="30"/>
        <v>CHI12KDây chảy 12K</v>
      </c>
    </row>
    <row r="982" spans="1:11" hidden="1">
      <c r="A982" s="2966" t="s">
        <v>560</v>
      </c>
      <c r="B982" s="2973"/>
      <c r="C982" s="2966" t="s">
        <v>3421</v>
      </c>
      <c r="D982" s="69" t="s">
        <v>2592</v>
      </c>
      <c r="E982" s="2968"/>
      <c r="F982" s="2968">
        <v>50</v>
      </c>
      <c r="G982" s="2968" t="s">
        <v>510</v>
      </c>
      <c r="H982" s="2968"/>
      <c r="I982" s="2968"/>
      <c r="J982" s="2968" t="str">
        <f t="shared" si="31"/>
        <v>CHI140K</v>
      </c>
      <c r="K982" s="2969" t="str">
        <f t="shared" si="30"/>
        <v>CHI140KDây chảy 140K</v>
      </c>
    </row>
    <row r="983" spans="1:11" hidden="1">
      <c r="A983" s="2966" t="s">
        <v>2061</v>
      </c>
      <c r="B983" s="2973"/>
      <c r="C983" s="2966" t="s">
        <v>3412</v>
      </c>
      <c r="D983" s="69" t="s">
        <v>2592</v>
      </c>
      <c r="E983" s="2968"/>
      <c r="F983" s="2968">
        <v>50</v>
      </c>
      <c r="G983" s="2968" t="s">
        <v>510</v>
      </c>
      <c r="H983" s="2968"/>
      <c r="I983" s="2968"/>
      <c r="J983" s="2968" t="str">
        <f t="shared" si="31"/>
        <v>CHI15K</v>
      </c>
      <c r="K983" s="2969" t="str">
        <f t="shared" si="30"/>
        <v>CHI15KDây chảy 15K</v>
      </c>
    </row>
    <row r="984" spans="1:11" hidden="1">
      <c r="A984" s="2966" t="s">
        <v>6895</v>
      </c>
      <c r="B984" s="2967"/>
      <c r="C984" s="2966" t="s">
        <v>6896</v>
      </c>
      <c r="D984" s="69" t="s">
        <v>2592</v>
      </c>
      <c r="E984" s="2968"/>
      <c r="F984" s="2968">
        <v>50</v>
      </c>
      <c r="G984" s="2968" t="s">
        <v>510</v>
      </c>
      <c r="H984" s="2968"/>
      <c r="I984" s="2968"/>
      <c r="J984" s="2968" t="str">
        <f t="shared" si="31"/>
        <v>CHI200K</v>
      </c>
      <c r="K984" s="2969" t="str">
        <f t="shared" si="30"/>
        <v>CHI200KDây chảy 200K</v>
      </c>
    </row>
    <row r="985" spans="1:11" hidden="1">
      <c r="A985" s="2966" t="s">
        <v>1157</v>
      </c>
      <c r="B985" s="2973"/>
      <c r="C985" s="2966" t="s">
        <v>3413</v>
      </c>
      <c r="D985" s="69" t="s">
        <v>2592</v>
      </c>
      <c r="E985" s="2968"/>
      <c r="F985" s="2968">
        <v>50</v>
      </c>
      <c r="G985" s="2968" t="s">
        <v>510</v>
      </c>
      <c r="H985" s="2968"/>
      <c r="I985" s="2968"/>
      <c r="J985" s="2968" t="str">
        <f t="shared" si="31"/>
        <v>CHI20K</v>
      </c>
      <c r="K985" s="2969" t="str">
        <f t="shared" si="30"/>
        <v>CHI20KDây chảy 20K</v>
      </c>
    </row>
    <row r="986" spans="1:11" hidden="1">
      <c r="A986" s="2966" t="s">
        <v>2059</v>
      </c>
      <c r="B986" s="2973"/>
      <c r="C986" s="2966" t="s">
        <v>3414</v>
      </c>
      <c r="D986" s="69" t="s">
        <v>2592</v>
      </c>
      <c r="E986" s="2968"/>
      <c r="F986" s="2968">
        <v>50</v>
      </c>
      <c r="G986" s="2968" t="s">
        <v>510</v>
      </c>
      <c r="H986" s="2968"/>
      <c r="I986" s="2968"/>
      <c r="J986" s="2968" t="str">
        <f t="shared" si="31"/>
        <v>CHI25K</v>
      </c>
      <c r="K986" s="2969" t="str">
        <f t="shared" si="30"/>
        <v>CHI25KDây chảy 25K</v>
      </c>
    </row>
    <row r="987" spans="1:11" hidden="1">
      <c r="A987" s="2966" t="s">
        <v>2062</v>
      </c>
      <c r="B987" s="2973"/>
      <c r="C987" s="2966" t="s">
        <v>3415</v>
      </c>
      <c r="D987" s="69" t="s">
        <v>2592</v>
      </c>
      <c r="E987" s="2968"/>
      <c r="F987" s="2968">
        <v>50</v>
      </c>
      <c r="G987" s="2968" t="s">
        <v>510</v>
      </c>
      <c r="H987" s="2968"/>
      <c r="I987" s="2968"/>
      <c r="J987" s="2968" t="str">
        <f t="shared" si="31"/>
        <v>CHI30K</v>
      </c>
      <c r="K987" s="2969" t="str">
        <f t="shared" si="30"/>
        <v>CHI30KDây chảy 30K</v>
      </c>
    </row>
    <row r="988" spans="1:11" hidden="1">
      <c r="A988" s="2966" t="s">
        <v>885</v>
      </c>
      <c r="B988" s="2973"/>
      <c r="C988" s="2966" t="s">
        <v>3407</v>
      </c>
      <c r="D988" s="69" t="s">
        <v>2592</v>
      </c>
      <c r="E988" s="2968"/>
      <c r="F988" s="2968">
        <v>50</v>
      </c>
      <c r="G988" s="2968" t="s">
        <v>510</v>
      </c>
      <c r="H988" s="2968"/>
      <c r="I988" s="2968"/>
      <c r="J988" s="2968" t="str">
        <f t="shared" si="31"/>
        <v>CHI3K</v>
      </c>
      <c r="K988" s="2969" t="str">
        <f t="shared" si="30"/>
        <v>CHI3KDây chảy 3K</v>
      </c>
    </row>
    <row r="989" spans="1:11" hidden="1">
      <c r="A989" s="2966" t="s">
        <v>2063</v>
      </c>
      <c r="B989" s="2973"/>
      <c r="C989" s="2966" t="s">
        <v>3416</v>
      </c>
      <c r="D989" s="69" t="s">
        <v>2592</v>
      </c>
      <c r="E989" s="2968"/>
      <c r="F989" s="2968">
        <v>50</v>
      </c>
      <c r="G989" s="2968" t="s">
        <v>510</v>
      </c>
      <c r="H989" s="2968"/>
      <c r="I989" s="2968"/>
      <c r="J989" s="2968" t="str">
        <f t="shared" si="31"/>
        <v>CHI40K</v>
      </c>
      <c r="K989" s="2969" t="str">
        <f t="shared" si="30"/>
        <v>CHI40KDây chảy 40K</v>
      </c>
    </row>
    <row r="990" spans="1:11" hidden="1">
      <c r="A990" s="2966" t="s">
        <v>539</v>
      </c>
      <c r="B990" s="2973"/>
      <c r="C990" s="2966" t="s">
        <v>3417</v>
      </c>
      <c r="D990" s="69" t="s">
        <v>2592</v>
      </c>
      <c r="E990" s="2968"/>
      <c r="F990" s="2968">
        <v>50</v>
      </c>
      <c r="G990" s="2968" t="s">
        <v>510</v>
      </c>
      <c r="H990" s="2968"/>
      <c r="I990" s="2968"/>
      <c r="J990" s="2968" t="str">
        <f t="shared" si="31"/>
        <v>CHI50K</v>
      </c>
      <c r="K990" s="2969" t="str">
        <f t="shared" si="30"/>
        <v>CHI50KDây chảy 50K</v>
      </c>
    </row>
    <row r="991" spans="1:11" hidden="1">
      <c r="A991" s="2966" t="s">
        <v>690</v>
      </c>
      <c r="B991" s="2973"/>
      <c r="C991" s="2966" t="s">
        <v>3418</v>
      </c>
      <c r="D991" s="69" t="s">
        <v>2592</v>
      </c>
      <c r="E991" s="2968"/>
      <c r="F991" s="2968">
        <v>50</v>
      </c>
      <c r="G991" s="2968" t="s">
        <v>510</v>
      </c>
      <c r="H991" s="2968"/>
      <c r="I991" s="2968"/>
      <c r="J991" s="2968" t="str">
        <f t="shared" si="31"/>
        <v>CHI65K</v>
      </c>
      <c r="K991" s="2969" t="str">
        <f t="shared" si="30"/>
        <v>CHI65KDây chảy 65K</v>
      </c>
    </row>
    <row r="992" spans="1:11" hidden="1">
      <c r="A992" s="2966" t="s">
        <v>26</v>
      </c>
      <c r="B992" s="2973"/>
      <c r="C992" s="2966" t="s">
        <v>3408</v>
      </c>
      <c r="D992" s="69" t="s">
        <v>2592</v>
      </c>
      <c r="E992" s="2968"/>
      <c r="F992" s="2968">
        <v>50</v>
      </c>
      <c r="G992" s="2968" t="s">
        <v>510</v>
      </c>
      <c r="H992" s="2968"/>
      <c r="I992" s="2968"/>
      <c r="J992" s="2968" t="str">
        <f t="shared" si="31"/>
        <v>CHI6K</v>
      </c>
      <c r="K992" s="2969" t="str">
        <f t="shared" si="30"/>
        <v>CHI6KDây chảy 6K</v>
      </c>
    </row>
    <row r="993" spans="1:11" hidden="1">
      <c r="A993" s="2966" t="s">
        <v>553</v>
      </c>
      <c r="B993" s="2973"/>
      <c r="C993" s="2966" t="s">
        <v>3419</v>
      </c>
      <c r="D993" s="69" t="s">
        <v>2592</v>
      </c>
      <c r="E993" s="2968"/>
      <c r="F993" s="2968">
        <v>50</v>
      </c>
      <c r="G993" s="2968" t="s">
        <v>510</v>
      </c>
      <c r="H993" s="2968"/>
      <c r="I993" s="2968"/>
      <c r="J993" s="2968" t="str">
        <f t="shared" si="31"/>
        <v>CHI80K</v>
      </c>
      <c r="K993" s="2969" t="str">
        <f t="shared" si="30"/>
        <v>CHI80KDây chảy 80K</v>
      </c>
    </row>
    <row r="994" spans="1:11" hidden="1">
      <c r="A994" s="2966" t="s">
        <v>1023</v>
      </c>
      <c r="B994" s="2973"/>
      <c r="C994" s="2966" t="s">
        <v>3409</v>
      </c>
      <c r="D994" s="69" t="s">
        <v>2592</v>
      </c>
      <c r="E994" s="2968"/>
      <c r="F994" s="2968">
        <v>50</v>
      </c>
      <c r="G994" s="2968" t="s">
        <v>510</v>
      </c>
      <c r="H994" s="2968"/>
      <c r="I994" s="2968"/>
      <c r="J994" s="2968" t="str">
        <f t="shared" si="31"/>
        <v>CHI8K</v>
      </c>
      <c r="K994" s="2969" t="str">
        <f t="shared" si="30"/>
        <v>CHI8KDây chảy 8K</v>
      </c>
    </row>
    <row r="995" spans="1:11" hidden="1">
      <c r="A995" s="2966" t="s">
        <v>4603</v>
      </c>
      <c r="B995" s="2967"/>
      <c r="C995" s="2966" t="s">
        <v>4604</v>
      </c>
      <c r="D995" s="69" t="s">
        <v>2379</v>
      </c>
      <c r="E995" s="2968"/>
      <c r="F995" s="2968">
        <v>50</v>
      </c>
      <c r="G995" s="2968" t="s">
        <v>510</v>
      </c>
      <c r="H995" s="2968"/>
      <c r="I995" s="2968"/>
      <c r="J995" s="2968" t="str">
        <f t="shared" si="31"/>
        <v>KDIN</v>
      </c>
      <c r="K995" s="2969" t="str">
        <f t="shared" si="30"/>
        <v>KDINDây đai + khóa đai Inoc</v>
      </c>
    </row>
    <row r="996" spans="1:11" hidden="1">
      <c r="A996" s="2966" t="s">
        <v>6897</v>
      </c>
      <c r="B996" s="2967"/>
      <c r="C996" s="2966" t="s">
        <v>6898</v>
      </c>
      <c r="D996" s="69" t="s">
        <v>2526</v>
      </c>
      <c r="E996" s="2968"/>
      <c r="F996" s="2968">
        <v>50</v>
      </c>
      <c r="G996" s="2968" t="s">
        <v>510</v>
      </c>
      <c r="H996" s="2968"/>
      <c r="I996" s="2968"/>
      <c r="J996" s="2968" t="str">
        <f t="shared" si="31"/>
        <v>DTIN</v>
      </c>
      <c r="K996" s="2969" t="str">
        <f t="shared" si="30"/>
        <v>DTINDây đai thép Inox</v>
      </c>
    </row>
    <row r="997" spans="1:11" hidden="1">
      <c r="A997" s="2966" t="s">
        <v>1506</v>
      </c>
      <c r="B997" s="2970"/>
      <c r="C997" s="2966" t="s">
        <v>3500</v>
      </c>
      <c r="D997" s="69" t="s">
        <v>2526</v>
      </c>
      <c r="E997" s="2968"/>
      <c r="F997" s="2968">
        <v>50</v>
      </c>
      <c r="G997" s="2968" t="s">
        <v>510</v>
      </c>
      <c r="H997" s="2968"/>
      <c r="I997" s="2968"/>
      <c r="J997" s="2968" t="str">
        <f t="shared" si="31"/>
        <v>D16/10</v>
      </c>
      <c r="K997" s="2969" t="str">
        <f t="shared" si="30"/>
        <v>D16/10Dây điện đôi 16/10</v>
      </c>
    </row>
    <row r="998" spans="1:11" hidden="1">
      <c r="A998" s="2966" t="s">
        <v>467</v>
      </c>
      <c r="B998" s="2984"/>
      <c r="C998" s="2966" t="s">
        <v>3501</v>
      </c>
      <c r="D998" s="69" t="s">
        <v>2526</v>
      </c>
      <c r="E998" s="2968"/>
      <c r="F998" s="2968">
        <v>50</v>
      </c>
      <c r="G998" s="2968" t="s">
        <v>510</v>
      </c>
      <c r="H998" s="2968"/>
      <c r="I998" s="2968"/>
      <c r="J998" s="2968" t="str">
        <f t="shared" si="31"/>
        <v>D20/10</v>
      </c>
      <c r="K998" s="2969" t="str">
        <f t="shared" si="30"/>
        <v>D20/10Dây điện đôi 20/10</v>
      </c>
    </row>
    <row r="999" spans="1:11" hidden="1">
      <c r="A999" s="2966" t="s">
        <v>1507</v>
      </c>
      <c r="B999" s="2970"/>
      <c r="C999" s="2981" t="s">
        <v>3502</v>
      </c>
      <c r="D999" s="69" t="s">
        <v>2526</v>
      </c>
      <c r="E999" s="2968"/>
      <c r="F999" s="2968">
        <v>50</v>
      </c>
      <c r="G999" s="2968" t="s">
        <v>510</v>
      </c>
      <c r="H999" s="2968"/>
      <c r="I999" s="2968"/>
      <c r="J999" s="2968" t="str">
        <f t="shared" si="31"/>
        <v>D30/10</v>
      </c>
      <c r="K999" s="2969" t="str">
        <f t="shared" si="30"/>
        <v>D30/10Dây điện đôi 30/10</v>
      </c>
    </row>
    <row r="1000" spans="1:11" hidden="1">
      <c r="A1000" s="2966" t="s">
        <v>2134</v>
      </c>
      <c r="B1000" s="2982"/>
      <c r="C1000" s="2981" t="s">
        <v>2777</v>
      </c>
      <c r="D1000" s="69" t="s">
        <v>2526</v>
      </c>
      <c r="E1000" s="2968"/>
      <c r="F1000" s="2968">
        <v>50</v>
      </c>
      <c r="G1000" s="2968" t="s">
        <v>510</v>
      </c>
      <c r="H1000" s="2968"/>
      <c r="I1000" s="2968"/>
      <c r="J1000" s="2968" t="str">
        <f t="shared" si="31"/>
        <v>M5M</v>
      </c>
      <c r="K1000" s="2969" t="str">
        <f t="shared" si="30"/>
        <v>M5MDây đồng trần mềm dẹt</v>
      </c>
    </row>
    <row r="1001" spans="1:11" hidden="1">
      <c r="A1001" s="2966" t="s">
        <v>228</v>
      </c>
      <c r="B1001" s="2967"/>
      <c r="C1001" s="2981" t="s">
        <v>2816</v>
      </c>
      <c r="D1001" s="69" t="s">
        <v>2243</v>
      </c>
      <c r="E1001" s="2968"/>
      <c r="F1001" s="2968">
        <v>50</v>
      </c>
      <c r="G1001" s="2968" t="s">
        <v>510</v>
      </c>
      <c r="H1001" s="2968"/>
      <c r="I1001" s="2968"/>
      <c r="J1001" s="2968" t="str">
        <f t="shared" si="31"/>
        <v>DAYA</v>
      </c>
      <c r="K1001" s="2969" t="str">
        <f t="shared" si="30"/>
        <v xml:space="preserve">DAYADây nhôm buộc </v>
      </c>
    </row>
    <row r="1002" spans="1:11" hidden="1">
      <c r="A1002" s="2966" t="s">
        <v>4919</v>
      </c>
      <c r="B1002" s="2967"/>
      <c r="C1002" s="2981" t="s">
        <v>4920</v>
      </c>
      <c r="D1002" s="69" t="s">
        <v>2547</v>
      </c>
      <c r="E1002" s="2968"/>
      <c r="F1002" s="2968">
        <v>50</v>
      </c>
      <c r="G1002" s="2968" t="s">
        <v>510</v>
      </c>
      <c r="H1002" s="2968"/>
      <c r="I1002" s="2968"/>
      <c r="J1002" s="2968" t="str">
        <f t="shared" si="31"/>
        <v>DBCSG</v>
      </c>
      <c r="K1002" s="2969" t="str">
        <f t="shared" si="30"/>
        <v>DBCSGDây phi kim buộc cổ sứ (trụ góc)</v>
      </c>
    </row>
    <row r="1003" spans="1:11" hidden="1">
      <c r="A1003" s="2966" t="s">
        <v>6899</v>
      </c>
      <c r="B1003" s="2967"/>
      <c r="C1003" s="2981" t="s">
        <v>4920</v>
      </c>
      <c r="D1003" s="69" t="s">
        <v>6900</v>
      </c>
      <c r="E1003" s="2968"/>
      <c r="F1003" s="2968">
        <v>50</v>
      </c>
      <c r="G1003" s="2968" t="s">
        <v>510</v>
      </c>
      <c r="H1003" s="2968"/>
      <c r="I1003" s="2968"/>
      <c r="J1003" s="2968" t="str">
        <f t="shared" si="31"/>
        <v>DBSG</v>
      </c>
      <c r="K1003" s="2969" t="str">
        <f t="shared" si="30"/>
        <v>DBSGDây phi kim buộc cổ sứ (trụ góc)</v>
      </c>
    </row>
    <row r="1004" spans="1:11" hidden="1">
      <c r="A1004" s="2966" t="s">
        <v>4917</v>
      </c>
      <c r="B1004" s="2967"/>
      <c r="C1004" s="2981" t="s">
        <v>4918</v>
      </c>
      <c r="D1004" s="69" t="s">
        <v>2547</v>
      </c>
      <c r="E1004" s="2968"/>
      <c r="F1004" s="2968">
        <v>50</v>
      </c>
      <c r="G1004" s="2968" t="s">
        <v>510</v>
      </c>
      <c r="H1004" s="2968"/>
      <c r="I1004" s="2968"/>
      <c r="J1004" s="2968" t="str">
        <f t="shared" si="31"/>
        <v>DBCST</v>
      </c>
      <c r="K1004" s="2969" t="str">
        <f t="shared" si="30"/>
        <v>DBCSTDây phi kim buộc cổ sứ (trụ thẳng)</v>
      </c>
    </row>
    <row r="1005" spans="1:11" hidden="1">
      <c r="A1005" s="2966" t="s">
        <v>6901</v>
      </c>
      <c r="B1005" s="2967"/>
      <c r="C1005" s="2981" t="s">
        <v>4918</v>
      </c>
      <c r="D1005" s="69" t="s">
        <v>6900</v>
      </c>
      <c r="E1005" s="2968"/>
      <c r="F1005" s="2968">
        <v>50</v>
      </c>
      <c r="G1005" s="2968" t="s">
        <v>510</v>
      </c>
      <c r="H1005" s="2968"/>
      <c r="I1005" s="2968"/>
      <c r="J1005" s="2968" t="str">
        <f t="shared" si="31"/>
        <v>DBST</v>
      </c>
      <c r="K1005" s="2969" t="str">
        <f t="shared" si="30"/>
        <v>DBSTDây phi kim buộc cổ sứ (trụ thẳng)</v>
      </c>
    </row>
    <row r="1006" spans="1:11" hidden="1">
      <c r="A1006" s="2966" t="s">
        <v>1345</v>
      </c>
      <c r="B1006" s="2970"/>
      <c r="C1006" s="2981" t="s">
        <v>3503</v>
      </c>
      <c r="D1006" s="69" t="s">
        <v>3504</v>
      </c>
      <c r="E1006" s="2968"/>
      <c r="F1006" s="2968">
        <v>50</v>
      </c>
      <c r="G1006" s="2968" t="s">
        <v>510</v>
      </c>
      <c r="H1006" s="2968"/>
      <c r="I1006" s="2968"/>
      <c r="J1006" s="2968" t="str">
        <f t="shared" si="31"/>
        <v>DRC</v>
      </c>
      <c r="K1006" s="2969" t="str">
        <f t="shared" si="30"/>
        <v>DRCDây rút cáp</v>
      </c>
    </row>
    <row r="1007" spans="1:11" hidden="1">
      <c r="A1007" s="2966" t="s">
        <v>2210</v>
      </c>
      <c r="B1007" s="2967"/>
      <c r="C1007" s="2981" t="s">
        <v>3005</v>
      </c>
      <c r="D1007" s="69" t="s">
        <v>2243</v>
      </c>
      <c r="E1007" s="2968"/>
      <c r="F1007" s="2968">
        <v>50</v>
      </c>
      <c r="G1007" s="2968" t="s">
        <v>510</v>
      </c>
      <c r="H1007" s="2968"/>
      <c r="I1007" s="2968"/>
      <c r="J1007" s="2968" t="str">
        <f t="shared" si="31"/>
        <v>thepb</v>
      </c>
      <c r="K1007" s="2969" t="str">
        <f t="shared" si="30"/>
        <v>thepbDây thép buộc A70</v>
      </c>
    </row>
    <row r="1008" spans="1:11" hidden="1">
      <c r="A1008" s="2966" t="s">
        <v>1072</v>
      </c>
      <c r="B1008" s="2973" t="s">
        <v>219</v>
      </c>
      <c r="C1008" s="2981" t="s">
        <v>2609</v>
      </c>
      <c r="D1008" s="69" t="s">
        <v>2547</v>
      </c>
      <c r="E1008" s="2968"/>
      <c r="F1008" s="2968">
        <v>50</v>
      </c>
      <c r="G1008" s="2968" t="s">
        <v>510</v>
      </c>
      <c r="H1008" s="2968"/>
      <c r="I1008" s="2968"/>
      <c r="J1008" s="2968" t="str">
        <f t="shared" si="31"/>
        <v>DN1200</v>
      </c>
      <c r="K1008" s="2969" t="str">
        <f t="shared" si="30"/>
        <v>DN1200Đế neo BTCT 1200x500</v>
      </c>
    </row>
    <row r="1009" spans="1:11" hidden="1">
      <c r="A1009" s="2966" t="s">
        <v>1073</v>
      </c>
      <c r="B1009" s="2973" t="s">
        <v>1554</v>
      </c>
      <c r="C1009" s="2981" t="s">
        <v>2608</v>
      </c>
      <c r="D1009" s="69" t="s">
        <v>2547</v>
      </c>
      <c r="E1009" s="2968"/>
      <c r="F1009" s="2968">
        <v>50</v>
      </c>
      <c r="G1009" s="2968" t="s">
        <v>510</v>
      </c>
      <c r="H1009" s="2968"/>
      <c r="I1009" s="2968"/>
      <c r="J1009" s="2968" t="str">
        <f t="shared" si="31"/>
        <v>DN1500</v>
      </c>
      <c r="K1009" s="2969" t="str">
        <f t="shared" si="30"/>
        <v>DN1500Đế neo BTCT 1500x500</v>
      </c>
    </row>
    <row r="1010" spans="1:11" hidden="1">
      <c r="A1010" s="2966" t="s">
        <v>1254</v>
      </c>
      <c r="B1010" s="2973" t="s">
        <v>219</v>
      </c>
      <c r="C1010" s="2981" t="s">
        <v>2603</v>
      </c>
      <c r="D1010" s="69" t="s">
        <v>2547</v>
      </c>
      <c r="E1010" s="2968"/>
      <c r="F1010" s="2968">
        <v>50</v>
      </c>
      <c r="G1010" s="2968" t="s">
        <v>510</v>
      </c>
      <c r="H1010" s="2968"/>
      <c r="I1010" s="2968"/>
      <c r="J1010" s="2968" t="str">
        <f t="shared" si="31"/>
        <v>DN0212</v>
      </c>
      <c r="K1010" s="2969" t="str">
        <f t="shared" si="30"/>
        <v>DN0212Đế neo BTCT 200x1200</v>
      </c>
    </row>
    <row r="1011" spans="1:11" hidden="1">
      <c r="A1011" s="2966" t="s">
        <v>341</v>
      </c>
      <c r="B1011" s="2973" t="s">
        <v>219</v>
      </c>
      <c r="C1011" s="2981" t="s">
        <v>2604</v>
      </c>
      <c r="D1011" s="69" t="s">
        <v>2547</v>
      </c>
      <c r="E1011" s="2968"/>
      <c r="F1011" s="2968">
        <v>50</v>
      </c>
      <c r="G1011" s="2968" t="s">
        <v>510</v>
      </c>
      <c r="H1011" s="2968"/>
      <c r="I1011" s="2968"/>
      <c r="J1011" s="2968" t="str">
        <f t="shared" si="31"/>
        <v>DN0412</v>
      </c>
      <c r="K1011" s="2969" t="str">
        <f t="shared" si="30"/>
        <v>DN0412Đế neo BTCT 400x1200</v>
      </c>
    </row>
    <row r="1012" spans="1:11" hidden="1">
      <c r="A1012" s="2966" t="s">
        <v>2125</v>
      </c>
      <c r="B1012" s="2973" t="s">
        <v>1554</v>
      </c>
      <c r="C1012" s="2981" t="s">
        <v>2605</v>
      </c>
      <c r="D1012" s="69" t="s">
        <v>2547</v>
      </c>
      <c r="E1012" s="2968"/>
      <c r="F1012" s="2968">
        <v>50</v>
      </c>
      <c r="G1012" s="2968" t="s">
        <v>510</v>
      </c>
      <c r="H1012" s="2968"/>
      <c r="I1012" s="2968"/>
      <c r="J1012" s="2968" t="str">
        <f t="shared" si="31"/>
        <v>DN0415</v>
      </c>
      <c r="K1012" s="2969" t="str">
        <f t="shared" si="30"/>
        <v>DN0415Đế neo BTCT 400x1500</v>
      </c>
    </row>
    <row r="1013" spans="1:11" hidden="1">
      <c r="A1013" s="2966" t="s">
        <v>2126</v>
      </c>
      <c r="B1013" s="2973" t="s">
        <v>1554</v>
      </c>
      <c r="C1013" s="2981" t="s">
        <v>2606</v>
      </c>
      <c r="D1013" s="69" t="s">
        <v>2547</v>
      </c>
      <c r="E1013" s="2968"/>
      <c r="F1013" s="2968">
        <v>50</v>
      </c>
      <c r="G1013" s="2968" t="s">
        <v>510</v>
      </c>
      <c r="H1013" s="2968"/>
      <c r="I1013" s="2968"/>
      <c r="J1013" s="2968" t="str">
        <f t="shared" si="31"/>
        <v>DN0615</v>
      </c>
      <c r="K1013" s="2969" t="str">
        <f t="shared" si="30"/>
        <v>DN0615Đế neo BTCT 600x1500</v>
      </c>
    </row>
    <row r="1014" spans="1:11" hidden="1">
      <c r="A1014" s="2966" t="s">
        <v>1726</v>
      </c>
      <c r="B1014" s="2973" t="s">
        <v>1554</v>
      </c>
      <c r="C1014" s="2981" t="s">
        <v>2607</v>
      </c>
      <c r="D1014" s="69" t="s">
        <v>2547</v>
      </c>
      <c r="E1014" s="2968"/>
      <c r="F1014" s="2968">
        <v>50</v>
      </c>
      <c r="G1014" s="2968" t="s">
        <v>510</v>
      </c>
      <c r="H1014" s="2968"/>
      <c r="I1014" s="2968"/>
      <c r="J1014" s="2968" t="str">
        <f t="shared" si="31"/>
        <v>DN0618</v>
      </c>
      <c r="K1014" s="2969" t="str">
        <f t="shared" si="30"/>
        <v>DN0618Đế neo BTCT 600x1800</v>
      </c>
    </row>
    <row r="1015" spans="1:11" hidden="1">
      <c r="A1015" s="2966" t="s">
        <v>1416</v>
      </c>
      <c r="B1015" s="2970"/>
      <c r="C1015" s="2983" t="s">
        <v>3613</v>
      </c>
      <c r="D1015" s="69" t="s">
        <v>2547</v>
      </c>
      <c r="E1015" s="2968"/>
      <c r="F1015" s="2968">
        <v>50</v>
      </c>
      <c r="G1015" s="2968" t="s">
        <v>510</v>
      </c>
      <c r="H1015" s="2968"/>
      <c r="I1015" s="2968"/>
      <c r="J1015" s="2968" t="str">
        <f t="shared" si="31"/>
        <v>Denbao</v>
      </c>
      <c r="K1015" s="2969" t="str">
        <f t="shared" si="30"/>
        <v>DenbaoĐèn báo hiệu pha 5W-220V</v>
      </c>
    </row>
    <row r="1016" spans="1:11" hidden="1">
      <c r="A1016" s="2966" t="s">
        <v>465</v>
      </c>
      <c r="B1016" s="2970"/>
      <c r="C1016" s="2983" t="s">
        <v>3612</v>
      </c>
      <c r="D1016" s="69" t="s">
        <v>2547</v>
      </c>
      <c r="E1016" s="2968"/>
      <c r="F1016" s="2968">
        <v>50</v>
      </c>
      <c r="G1016" s="2968" t="s">
        <v>510</v>
      </c>
      <c r="H1016" s="2968"/>
      <c r="I1016" s="2968"/>
      <c r="J1016" s="2968" t="str">
        <f t="shared" si="31"/>
        <v>Diabaohieu</v>
      </c>
      <c r="K1016" s="2969" t="str">
        <f t="shared" si="30"/>
        <v>DiabaohieuĐĩa sứ trắng báo hiệu cáp ngầm</v>
      </c>
    </row>
    <row r="1017" spans="1:11" hidden="1">
      <c r="A1017" s="2966" t="s">
        <v>6902</v>
      </c>
      <c r="B1017" s="2967"/>
      <c r="C1017" s="2981" t="s">
        <v>3612</v>
      </c>
      <c r="D1017" s="69" t="s">
        <v>3430</v>
      </c>
      <c r="E1017" s="2968"/>
      <c r="F1017" s="2968">
        <v>50</v>
      </c>
      <c r="G1017" s="2968" t="s">
        <v>510</v>
      </c>
      <c r="H1017" s="2968"/>
      <c r="I1017" s="2968"/>
      <c r="J1017" s="2968" t="str">
        <f t="shared" si="31"/>
        <v>DSBH</v>
      </c>
      <c r="K1017" s="2969" t="str">
        <f t="shared" si="30"/>
        <v>DSBHĐĩa sứ trắng báo hiệu cáp ngầm</v>
      </c>
    </row>
    <row r="1018" spans="1:11" hidden="1">
      <c r="A1018" s="2966" t="s">
        <v>1580</v>
      </c>
      <c r="B1018" s="2970"/>
      <c r="C1018" s="2981" t="s">
        <v>3422</v>
      </c>
      <c r="D1018" s="69" t="s">
        <v>2547</v>
      </c>
      <c r="E1018" s="2968"/>
      <c r="F1018" s="2968">
        <v>2000</v>
      </c>
      <c r="G1018" s="2968" t="s">
        <v>510</v>
      </c>
      <c r="H1018" s="2968"/>
      <c r="I1018" s="2968"/>
      <c r="J1018" s="2968" t="str">
        <f t="shared" si="31"/>
        <v>DK1p100A</v>
      </c>
      <c r="K1018" s="2969" t="str">
        <f t="shared" si="30"/>
        <v>DK1p100AĐiện kế 1 pha 2 dây 220V-100A</v>
      </c>
    </row>
    <row r="1019" spans="1:11" hidden="1">
      <c r="A1019" s="2966" t="s">
        <v>286</v>
      </c>
      <c r="B1019" s="2970"/>
      <c r="C1019" s="2981" t="s">
        <v>3424</v>
      </c>
      <c r="D1019" s="69" t="s">
        <v>2547</v>
      </c>
      <c r="E1019" s="2968"/>
      <c r="F1019" s="2968">
        <v>2000</v>
      </c>
      <c r="G1019" s="2968" t="s">
        <v>510</v>
      </c>
      <c r="H1019" s="2968"/>
      <c r="I1019" s="2968"/>
      <c r="J1019" s="2968" t="str">
        <f t="shared" si="31"/>
        <v>DK1p5A</v>
      </c>
      <c r="K1019" s="2969" t="str">
        <f t="shared" si="30"/>
        <v>DK1p5AĐiện kế 1 pha 2 dây 220V-5A</v>
      </c>
    </row>
    <row r="1020" spans="1:11" hidden="1">
      <c r="A1020" s="2966" t="s">
        <v>2188</v>
      </c>
      <c r="B1020" s="2970"/>
      <c r="C1020" s="2981" t="s">
        <v>3423</v>
      </c>
      <c r="D1020" s="69" t="s">
        <v>2547</v>
      </c>
      <c r="E1020" s="2968"/>
      <c r="F1020" s="2968">
        <v>2000</v>
      </c>
      <c r="G1020" s="2968" t="s">
        <v>510</v>
      </c>
      <c r="H1020" s="2968"/>
      <c r="I1020" s="2968"/>
      <c r="J1020" s="2968" t="str">
        <f t="shared" si="31"/>
        <v>DK1p80A</v>
      </c>
      <c r="K1020" s="2969" t="str">
        <f t="shared" si="30"/>
        <v>DK1p80AĐiện kế 1 pha 2 dây 220V-80A</v>
      </c>
    </row>
    <row r="1021" spans="1:11" hidden="1">
      <c r="A1021" s="2966" t="s">
        <v>1387</v>
      </c>
      <c r="B1021" s="2970"/>
      <c r="C1021" s="2981" t="s">
        <v>3425</v>
      </c>
      <c r="D1021" s="69" t="s">
        <v>2547</v>
      </c>
      <c r="E1021" s="2968"/>
      <c r="F1021" s="2968">
        <v>2000</v>
      </c>
      <c r="G1021" s="2968" t="s">
        <v>510</v>
      </c>
      <c r="H1021" s="2968"/>
      <c r="I1021" s="2968"/>
      <c r="J1021" s="2968" t="str">
        <f t="shared" si="31"/>
        <v>DK3p50(100)A</v>
      </c>
      <c r="K1021" s="2969" t="str">
        <f t="shared" si="30"/>
        <v>DK3p50(100)AĐiện kế 3 pha 4 dây 220/380V-50(100)A</v>
      </c>
    </row>
    <row r="1022" spans="1:11" hidden="1">
      <c r="A1022" s="2966" t="s">
        <v>287</v>
      </c>
      <c r="B1022" s="2970" t="s">
        <v>58</v>
      </c>
      <c r="C1022" s="2981" t="s">
        <v>3426</v>
      </c>
      <c r="D1022" s="69" t="s">
        <v>2547</v>
      </c>
      <c r="E1022" s="2968"/>
      <c r="F1022" s="2968">
        <v>2000</v>
      </c>
      <c r="G1022" s="2968" t="s">
        <v>510</v>
      </c>
      <c r="H1022" s="2968"/>
      <c r="I1022" s="2968"/>
      <c r="J1022" s="2968" t="str">
        <f t="shared" si="31"/>
        <v>DK3p5A</v>
      </c>
      <c r="K1022" s="2969" t="str">
        <f t="shared" si="30"/>
        <v>DK3p5AĐiện kế 3 pha 4 dây 220/380V-5A</v>
      </c>
    </row>
    <row r="1023" spans="1:11" hidden="1">
      <c r="A1023" s="2966" t="s">
        <v>4444</v>
      </c>
      <c r="B1023" s="2970" t="s">
        <v>58</v>
      </c>
      <c r="C1023" s="2981" t="s">
        <v>4445</v>
      </c>
      <c r="D1023" s="69" t="s">
        <v>2547</v>
      </c>
      <c r="E1023" s="2968"/>
      <c r="F1023" s="2968">
        <v>2000</v>
      </c>
      <c r="G1023" s="2968" t="s">
        <v>510</v>
      </c>
      <c r="H1023" s="2968"/>
      <c r="I1023" s="2968"/>
      <c r="J1023" s="2968" t="str">
        <f t="shared" si="31"/>
        <v>DK380-5A</v>
      </c>
      <c r="K1023" s="2969" t="str">
        <f t="shared" si="30"/>
        <v>DK380-5AĐiện kế 3 pha điện tử 220/380V-5A</v>
      </c>
    </row>
    <row r="1024" spans="1:11" hidden="1">
      <c r="A1024" s="2966" t="s">
        <v>1832</v>
      </c>
      <c r="B1024" s="2970"/>
      <c r="C1024" s="2966" t="s">
        <v>3427</v>
      </c>
      <c r="D1024" s="69" t="s">
        <v>2547</v>
      </c>
      <c r="E1024" s="2968"/>
      <c r="F1024" s="2968">
        <v>2000</v>
      </c>
      <c r="G1024" s="2968" t="s">
        <v>510</v>
      </c>
      <c r="H1024" s="2968"/>
      <c r="I1024" s="2968"/>
      <c r="J1024" s="2968" t="str">
        <f t="shared" si="31"/>
        <v>DK3DT</v>
      </c>
      <c r="K1024" s="2969" t="str">
        <f t="shared" si="30"/>
        <v>DK3DTĐiện kế 3 pha điện tử 600V-5A</v>
      </c>
    </row>
    <row r="1025" spans="1:11" hidden="1">
      <c r="A1025" s="2966" t="s">
        <v>6903</v>
      </c>
      <c r="B1025" s="2967" t="s">
        <v>5836</v>
      </c>
      <c r="C1025" s="2966" t="s">
        <v>6904</v>
      </c>
      <c r="D1025" s="69" t="s">
        <v>2547</v>
      </c>
      <c r="E1025" s="2968"/>
      <c r="F1025" s="2968">
        <v>2000</v>
      </c>
      <c r="G1025" s="2968" t="s">
        <v>510</v>
      </c>
      <c r="H1025" s="2968"/>
      <c r="I1025" s="2968"/>
      <c r="J1025" s="2968" t="str">
        <f t="shared" si="31"/>
        <v>DK-1P</v>
      </c>
      <c r="K1025" s="2969" t="str">
        <f t="shared" si="30"/>
        <v>DK-1PĐiện năng kế 1 pha</v>
      </c>
    </row>
    <row r="1026" spans="1:11" hidden="1">
      <c r="A1026" s="2966" t="s">
        <v>6905</v>
      </c>
      <c r="B1026" s="2967" t="s">
        <v>5839</v>
      </c>
      <c r="C1026" s="2966" t="s">
        <v>6906</v>
      </c>
      <c r="D1026" s="69" t="s">
        <v>2547</v>
      </c>
      <c r="E1026" s="2968"/>
      <c r="F1026" s="2968">
        <v>2000</v>
      </c>
      <c r="G1026" s="2968" t="s">
        <v>510</v>
      </c>
      <c r="H1026" s="2968"/>
      <c r="I1026" s="2968"/>
      <c r="J1026" s="2968" t="str">
        <f t="shared" si="31"/>
        <v>DK-3P</v>
      </c>
      <c r="K1026" s="2969" t="str">
        <f t="shared" si="30"/>
        <v>DK-3PĐiện năng kế 3 pha</v>
      </c>
    </row>
    <row r="1027" spans="1:11" hidden="1">
      <c r="A1027" s="2966" t="s">
        <v>939</v>
      </c>
      <c r="B1027" s="2970" t="s">
        <v>58</v>
      </c>
      <c r="C1027" s="2966" t="s">
        <v>3428</v>
      </c>
      <c r="D1027" s="69" t="s">
        <v>2547</v>
      </c>
      <c r="E1027" s="2968"/>
      <c r="F1027" s="2968">
        <v>2000</v>
      </c>
      <c r="G1027" s="2968" t="s">
        <v>510</v>
      </c>
      <c r="H1027" s="2968"/>
      <c r="I1027" s="2968"/>
      <c r="J1027" s="2968" t="str">
        <f t="shared" si="31"/>
        <v>DK3P</v>
      </c>
      <c r="K1027" s="2969" t="str">
        <f t="shared" ref="K1027:K1090" si="32">A1027&amp;C1027</f>
        <v>DK3PĐiện năng kế 3 pha 380V-5A</v>
      </c>
    </row>
    <row r="1028" spans="1:11" hidden="1">
      <c r="A1028" s="2966" t="s">
        <v>2051</v>
      </c>
      <c r="B1028" s="2967"/>
      <c r="C1028" s="2966" t="s">
        <v>2991</v>
      </c>
      <c r="D1028" s="69" t="s">
        <v>2243</v>
      </c>
      <c r="E1028" s="2968"/>
      <c r="F1028" s="2968">
        <v>50</v>
      </c>
      <c r="G1028" s="2968" t="s">
        <v>510</v>
      </c>
      <c r="H1028" s="2968"/>
      <c r="I1028" s="2968"/>
      <c r="J1028" s="2968" t="str">
        <f t="shared" ref="J1028:J1091" si="33">A1028</f>
        <v>DINH</v>
      </c>
      <c r="K1028" s="2969" t="str">
        <f t="shared" si="32"/>
        <v>DINHĐinh các loại</v>
      </c>
    </row>
    <row r="1029" spans="1:11" hidden="1">
      <c r="A1029" s="2966" t="s">
        <v>1950</v>
      </c>
      <c r="B1029" s="2973" t="s">
        <v>1382</v>
      </c>
      <c r="C1029" s="2971" t="s">
        <v>3181</v>
      </c>
      <c r="D1029" s="69" t="s">
        <v>853</v>
      </c>
      <c r="E1029" s="2968"/>
      <c r="F1029" s="2968">
        <v>3000</v>
      </c>
      <c r="G1029" s="2968" t="s">
        <v>510</v>
      </c>
      <c r="H1029" s="2968"/>
      <c r="I1029" s="2968"/>
      <c r="J1029" s="2968" t="str">
        <f t="shared" si="33"/>
        <v>DBT10046</v>
      </c>
      <c r="K1029" s="2969" t="str">
        <f t="shared" si="32"/>
        <v>DBT10046Đổ bê tông mác M100 đá 4x6</v>
      </c>
    </row>
    <row r="1030" spans="1:11" hidden="1">
      <c r="A1030" s="2966" t="s">
        <v>1830</v>
      </c>
      <c r="B1030" s="2973" t="s">
        <v>1757</v>
      </c>
      <c r="C1030" s="2971" t="s">
        <v>3182</v>
      </c>
      <c r="D1030" s="69" t="s">
        <v>853</v>
      </c>
      <c r="E1030" s="2968"/>
      <c r="F1030" s="2968">
        <v>3000</v>
      </c>
      <c r="G1030" s="2968" t="s">
        <v>510</v>
      </c>
      <c r="H1030" s="2968"/>
      <c r="I1030" s="2968"/>
      <c r="J1030" s="2968" t="str">
        <f t="shared" si="33"/>
        <v>DBT15012</v>
      </c>
      <c r="K1030" s="2969" t="str">
        <f t="shared" si="32"/>
        <v>DBT15012Đổ bê tông mác M150 đá 1x2</v>
      </c>
    </row>
    <row r="1031" spans="1:11" hidden="1">
      <c r="A1031" s="2966" t="s">
        <v>5392</v>
      </c>
      <c r="B1031" s="2967" t="s">
        <v>5393</v>
      </c>
      <c r="C1031" s="2966" t="s">
        <v>5394</v>
      </c>
      <c r="D1031" s="69" t="s">
        <v>853</v>
      </c>
      <c r="E1031" s="2968"/>
      <c r="F1031" s="2968">
        <v>3000</v>
      </c>
      <c r="G1031" s="2968" t="s">
        <v>510</v>
      </c>
      <c r="H1031" s="2968"/>
      <c r="I1031" s="2968"/>
      <c r="J1031" s="2968" t="str">
        <f t="shared" si="33"/>
        <v>DBT20024</v>
      </c>
      <c r="K1031" s="2969" t="str">
        <f t="shared" si="32"/>
        <v>DBT20024Đổ bê tông mác M200 đá 2x4</v>
      </c>
    </row>
    <row r="1032" spans="1:11" hidden="1">
      <c r="A1032" s="2966" t="s">
        <v>1831</v>
      </c>
      <c r="B1032" s="2997" t="s">
        <v>1756</v>
      </c>
      <c r="C1032" s="2971" t="s">
        <v>3183</v>
      </c>
      <c r="D1032" s="69" t="s">
        <v>853</v>
      </c>
      <c r="E1032" s="2968"/>
      <c r="F1032" s="2968">
        <v>3000</v>
      </c>
      <c r="G1032" s="2968" t="s">
        <v>510</v>
      </c>
      <c r="H1032" s="2968"/>
      <c r="I1032" s="2968"/>
      <c r="J1032" s="2968" t="str">
        <f t="shared" si="33"/>
        <v>DBT20012</v>
      </c>
      <c r="K1032" s="2969" t="str">
        <f t="shared" si="32"/>
        <v>DBT20012Đổ bê tông móng trụ &lt;=250cm-M200 đá 1x2</v>
      </c>
    </row>
    <row r="1033" spans="1:11" hidden="1">
      <c r="A1033" s="2966" t="s">
        <v>1569</v>
      </c>
      <c r="B1033" s="2967" t="s">
        <v>264</v>
      </c>
      <c r="C1033" s="2971" t="s">
        <v>3654</v>
      </c>
      <c r="D1033" s="69" t="s">
        <v>853</v>
      </c>
      <c r="E1033" s="2968"/>
      <c r="F1033" s="2968">
        <v>3000</v>
      </c>
      <c r="G1033" s="2968" t="s">
        <v>510</v>
      </c>
      <c r="H1033" s="2968"/>
      <c r="I1033" s="2968"/>
      <c r="J1033" s="2968" t="str">
        <f t="shared" si="33"/>
        <v>DBT20012CS</v>
      </c>
      <c r="K1033" s="2969" t="str">
        <f t="shared" si="32"/>
        <v>DBT20012CSĐổ betông M200 đá 1x2 (Nhân công đã qui đổi về ĐG chiếu sáng)</v>
      </c>
    </row>
    <row r="1034" spans="1:11" hidden="1">
      <c r="A1034" s="2966" t="s">
        <v>1947</v>
      </c>
      <c r="B1034" s="2967" t="s">
        <v>1948</v>
      </c>
      <c r="C1034" s="2971" t="s">
        <v>3653</v>
      </c>
      <c r="D1034" s="69" t="s">
        <v>853</v>
      </c>
      <c r="E1034" s="2968"/>
      <c r="F1034" s="2968">
        <v>3000</v>
      </c>
      <c r="G1034" s="2968" t="s">
        <v>510</v>
      </c>
      <c r="H1034" s="2968"/>
      <c r="I1034" s="2968"/>
      <c r="J1034" s="2968" t="str">
        <f t="shared" si="33"/>
        <v>DBTM150CS</v>
      </c>
      <c r="K1034" s="2969" t="str">
        <f t="shared" si="32"/>
        <v>DBTM150CSĐổ bêtông móng trụ M150 &lt;=250cm</v>
      </c>
    </row>
    <row r="1035" spans="1:11" hidden="1">
      <c r="A1035" s="2966" t="s">
        <v>4566</v>
      </c>
      <c r="B1035" s="2967"/>
      <c r="C1035" s="2966" t="s">
        <v>4567</v>
      </c>
      <c r="D1035" s="69" t="s">
        <v>853</v>
      </c>
      <c r="E1035" s="2968"/>
      <c r="F1035" s="2968">
        <v>3000</v>
      </c>
      <c r="G1035" s="2968" t="s">
        <v>510</v>
      </c>
      <c r="H1035" s="2968"/>
      <c r="I1035" s="2968"/>
      <c r="J1035" s="2968" t="str">
        <f t="shared" si="33"/>
        <v>MDD3R1</v>
      </c>
      <c r="K1035" s="2969" t="str">
        <f t="shared" si="32"/>
        <v>MDD3R1Đo đất mĩng cột, trụ, hố kiểm tra rộng &gt;1m, su &gt;1m, đất cấp 3 bằng thủ cơng</v>
      </c>
    </row>
    <row r="1036" spans="1:11" hidden="1">
      <c r="A1036" s="2966" t="s">
        <v>473</v>
      </c>
      <c r="B1036" s="2970"/>
      <c r="C1036" s="2971" t="s">
        <v>3627</v>
      </c>
      <c r="D1036" s="69" t="s">
        <v>2547</v>
      </c>
      <c r="E1036" s="2968"/>
      <c r="F1036" s="2968">
        <v>50</v>
      </c>
      <c r="G1036" s="2968" t="s">
        <v>510</v>
      </c>
      <c r="H1036" s="2968"/>
      <c r="I1036" s="2968"/>
      <c r="J1036" s="2968" t="str">
        <f t="shared" si="33"/>
        <v>DOMINO</v>
      </c>
      <c r="K1036" s="2969" t="str">
        <f t="shared" si="32"/>
        <v>DOMINOĐômino đấu nối trong trụ đèn</v>
      </c>
    </row>
    <row r="1037" spans="1:11" hidden="1">
      <c r="A1037" s="2966" t="s">
        <v>5265</v>
      </c>
      <c r="B1037" s="2967" t="s">
        <v>5266</v>
      </c>
      <c r="C1037" s="2966" t="s">
        <v>5267</v>
      </c>
      <c r="D1037" s="69" t="s">
        <v>2272</v>
      </c>
      <c r="E1037" s="2968"/>
      <c r="F1037" s="2968">
        <v>3000</v>
      </c>
      <c r="G1037" s="2968" t="s">
        <v>510</v>
      </c>
      <c r="H1037" s="2968"/>
      <c r="I1037" s="2968"/>
      <c r="J1037" s="2968" t="str">
        <f t="shared" si="33"/>
        <v>DCTD2</v>
      </c>
      <c r="K1037" s="2969" t="str">
        <f t="shared" si="32"/>
        <v>DCTD2Đóng cọc tiếp địa đất cấp 2 dài 2,5m</v>
      </c>
    </row>
    <row r="1038" spans="1:11" hidden="1">
      <c r="A1038" s="2966" t="s">
        <v>1100</v>
      </c>
      <c r="B1038" s="2997" t="s">
        <v>1758</v>
      </c>
      <c r="C1038" s="2966" t="s">
        <v>4265</v>
      </c>
      <c r="D1038" s="69" t="s">
        <v>2272</v>
      </c>
      <c r="E1038" s="2968"/>
      <c r="F1038" s="2968">
        <v>3000</v>
      </c>
      <c r="G1038" s="2968" t="s">
        <v>510</v>
      </c>
      <c r="H1038" s="2968"/>
      <c r="I1038" s="2968"/>
      <c r="J1038" s="2968" t="str">
        <f t="shared" si="33"/>
        <v>DCTD3</v>
      </c>
      <c r="K1038" s="2969" t="str">
        <f t="shared" si="32"/>
        <v>DCTD3Đóng cọc tiếp địa đất cấp 3</v>
      </c>
    </row>
    <row r="1039" spans="1:11" hidden="1">
      <c r="A1039" s="2966" t="s">
        <v>61</v>
      </c>
      <c r="B1039" s="2973" t="s">
        <v>1491</v>
      </c>
      <c r="C1039" s="2966" t="s">
        <v>3138</v>
      </c>
      <c r="D1039" s="69" t="s">
        <v>2272</v>
      </c>
      <c r="E1039" s="2968"/>
      <c r="F1039" s="2968">
        <v>3000</v>
      </c>
      <c r="G1039" s="2968" t="s">
        <v>510</v>
      </c>
      <c r="H1039" s="2968"/>
      <c r="I1039" s="2968"/>
      <c r="J1039" s="2968" t="str">
        <f t="shared" si="33"/>
        <v>DCTD4</v>
      </c>
      <c r="K1039" s="2969" t="str">
        <f t="shared" si="32"/>
        <v>DCTD4Đóng cọc tiếp địa đất cấp 4</v>
      </c>
    </row>
    <row r="1040" spans="1:11" hidden="1">
      <c r="A1040" s="2966" t="s">
        <v>1799</v>
      </c>
      <c r="B1040" s="2967" t="s">
        <v>1797</v>
      </c>
      <c r="C1040" s="2971" t="s">
        <v>3652</v>
      </c>
      <c r="D1040" s="69" t="s">
        <v>2272</v>
      </c>
      <c r="E1040" s="2968"/>
      <c r="F1040" s="2968">
        <v>3000</v>
      </c>
      <c r="G1040" s="2968" t="s">
        <v>510</v>
      </c>
      <c r="H1040" s="2968"/>
      <c r="I1040" s="2968"/>
      <c r="J1040" s="2968" t="str">
        <f t="shared" si="33"/>
        <v>DongCTD</v>
      </c>
      <c r="K1040" s="2969" t="str">
        <f t="shared" si="32"/>
        <v>DongCTDĐóng cọc tiếp địa hệ thống CS</v>
      </c>
    </row>
    <row r="1041" spans="1:11" hidden="1">
      <c r="A1041" s="2966" t="s">
        <v>1434</v>
      </c>
      <c r="B1041" s="2973" t="s">
        <v>1705</v>
      </c>
      <c r="C1041" s="2966" t="s">
        <v>3139</v>
      </c>
      <c r="D1041" s="69" t="s">
        <v>2272</v>
      </c>
      <c r="E1041" s="2968"/>
      <c r="F1041" s="2968">
        <v>3000</v>
      </c>
      <c r="G1041" s="2968" t="s">
        <v>510</v>
      </c>
      <c r="H1041" s="2968"/>
      <c r="I1041" s="2968"/>
      <c r="J1041" s="2968" t="str">
        <f t="shared" si="33"/>
        <v>DCTDTBA</v>
      </c>
      <c r="K1041" s="2969" t="str">
        <f t="shared" si="32"/>
        <v>DCTDTBAĐóng cọc tiếp địa trong TBA</v>
      </c>
    </row>
    <row r="1042" spans="1:11" hidden="1">
      <c r="A1042" s="2966" t="s">
        <v>5272</v>
      </c>
      <c r="B1042" s="2967" t="s">
        <v>1705</v>
      </c>
      <c r="C1042" s="2966" t="s">
        <v>5273</v>
      </c>
      <c r="D1042" s="69" t="s">
        <v>2272</v>
      </c>
      <c r="E1042" s="2968"/>
      <c r="F1042" s="2968">
        <v>3000</v>
      </c>
      <c r="G1042" s="2968" t="s">
        <v>510</v>
      </c>
      <c r="H1042" s="2968"/>
      <c r="I1042" s="2968"/>
      <c r="J1042" s="2968" t="str">
        <f t="shared" si="33"/>
        <v>DCTDTBA4</v>
      </c>
      <c r="K1042" s="2969" t="str">
        <f t="shared" si="32"/>
        <v>DCTDTBA4Đóng cọc tiếp địa trong TBA đaất cấp 4</v>
      </c>
    </row>
    <row r="1043" spans="1:11" hidden="1">
      <c r="A1043" s="2966" t="s">
        <v>5270</v>
      </c>
      <c r="B1043" s="2967" t="s">
        <v>1705</v>
      </c>
      <c r="C1043" s="2966" t="s">
        <v>5271</v>
      </c>
      <c r="D1043" s="69" t="s">
        <v>2272</v>
      </c>
      <c r="E1043" s="2968"/>
      <c r="F1043" s="2968">
        <v>3000</v>
      </c>
      <c r="G1043" s="2968" t="s">
        <v>510</v>
      </c>
      <c r="H1043" s="2968"/>
      <c r="I1043" s="2968"/>
      <c r="J1043" s="2968" t="str">
        <f t="shared" si="33"/>
        <v>DCTDTBA3</v>
      </c>
      <c r="K1043" s="2969" t="str">
        <f t="shared" si="32"/>
        <v>DCTDTBA3Đóng cọc tiếp địa trong TBA đất cấp 3</v>
      </c>
    </row>
    <row r="1044" spans="1:11" hidden="1">
      <c r="A1044" s="2966" t="s">
        <v>974</v>
      </c>
      <c r="B1044" s="2973" t="s">
        <v>1555</v>
      </c>
      <c r="C1044" s="2966" t="s">
        <v>3062</v>
      </c>
      <c r="D1044" s="69" t="s">
        <v>2582</v>
      </c>
      <c r="E1044" s="2968"/>
      <c r="F1044" s="2968">
        <v>3000</v>
      </c>
      <c r="G1044" s="2968" t="s">
        <v>510</v>
      </c>
      <c r="H1044" s="2968"/>
      <c r="I1044" s="2968"/>
      <c r="J1044" s="2968" t="str">
        <f t="shared" si="33"/>
        <v>DCT25</v>
      </c>
      <c r="K1044" s="2969" t="str">
        <f t="shared" si="32"/>
        <v>DCT25Đóng cừ tràm 2,5 m</v>
      </c>
    </row>
    <row r="1045" spans="1:11" hidden="1">
      <c r="A1045" s="2966" t="s">
        <v>987</v>
      </c>
      <c r="B1045" s="2973" t="s">
        <v>1555</v>
      </c>
      <c r="C1045" s="2966" t="s">
        <v>3063</v>
      </c>
      <c r="D1045" s="69" t="s">
        <v>2582</v>
      </c>
      <c r="E1045" s="2968"/>
      <c r="F1045" s="2968">
        <v>3000</v>
      </c>
      <c r="G1045" s="2968" t="s">
        <v>510</v>
      </c>
      <c r="H1045" s="2968"/>
      <c r="I1045" s="2968"/>
      <c r="J1045" s="2968" t="str">
        <f t="shared" si="33"/>
        <v>DCT30</v>
      </c>
      <c r="K1045" s="2969" t="str">
        <f t="shared" si="32"/>
        <v>DCT30Đóng cừ tràm 3 m</v>
      </c>
    </row>
    <row r="1046" spans="1:11" hidden="1">
      <c r="A1046" s="2966" t="s">
        <v>443</v>
      </c>
      <c r="B1046" s="2973" t="s">
        <v>1555</v>
      </c>
      <c r="C1046" s="2966" t="s">
        <v>3064</v>
      </c>
      <c r="D1046" s="69" t="s">
        <v>2582</v>
      </c>
      <c r="E1046" s="2968"/>
      <c r="F1046" s="2968">
        <v>3000</v>
      </c>
      <c r="G1046" s="2968" t="s">
        <v>510</v>
      </c>
      <c r="H1046" s="2968"/>
      <c r="I1046" s="2968"/>
      <c r="J1046" s="2968" t="str">
        <f t="shared" si="33"/>
        <v>DCT50</v>
      </c>
      <c r="K1046" s="2969" t="str">
        <f t="shared" si="32"/>
        <v>DCT50Đóng cừ tràm 5 m</v>
      </c>
    </row>
    <row r="1047" spans="1:11" hidden="1">
      <c r="A1047" s="2966" t="s">
        <v>444</v>
      </c>
      <c r="B1047" s="2970" t="s">
        <v>1385</v>
      </c>
      <c r="C1047" s="2966" t="s">
        <v>1214</v>
      </c>
      <c r="D1047" s="69" t="s">
        <v>2433</v>
      </c>
      <c r="E1047" s="2968"/>
      <c r="F1047" s="2968">
        <v>9</v>
      </c>
      <c r="G1047" s="2968" t="s">
        <v>6510</v>
      </c>
      <c r="H1047" s="2968"/>
      <c r="I1047" s="2968"/>
      <c r="J1047" s="2968" t="str">
        <f t="shared" si="33"/>
        <v>DS1P</v>
      </c>
      <c r="K1047" s="2969" t="str">
        <f t="shared" si="32"/>
        <v xml:space="preserve">DS1PDS 1P - 24KV - 600A </v>
      </c>
    </row>
    <row r="1048" spans="1:11" hidden="1">
      <c r="A1048" s="2966" t="s">
        <v>1186</v>
      </c>
      <c r="B1048" s="2970" t="s">
        <v>128</v>
      </c>
      <c r="C1048" s="2966" t="s">
        <v>1214</v>
      </c>
      <c r="D1048" s="69" t="s">
        <v>2433</v>
      </c>
      <c r="E1048" s="2968"/>
      <c r="F1048" s="2968">
        <v>9</v>
      </c>
      <c r="G1048" s="2968" t="s">
        <v>6510</v>
      </c>
      <c r="H1048" s="2968"/>
      <c r="I1048" s="2968"/>
      <c r="J1048" s="2968" t="str">
        <f t="shared" si="33"/>
        <v>DS1PDD</v>
      </c>
      <c r="K1048" s="2969" t="str">
        <f t="shared" si="32"/>
        <v xml:space="preserve">DS1PDDDS 1P - 24KV - 600A </v>
      </c>
    </row>
    <row r="1049" spans="1:11" hidden="1">
      <c r="A1049" s="2966" t="s">
        <v>392</v>
      </c>
      <c r="B1049" s="2970" t="s">
        <v>1385</v>
      </c>
      <c r="C1049" s="2966" t="s">
        <v>1589</v>
      </c>
      <c r="D1049" s="69" t="s">
        <v>2433</v>
      </c>
      <c r="E1049" s="2968"/>
      <c r="F1049" s="2968">
        <v>9</v>
      </c>
      <c r="G1049" s="2968" t="s">
        <v>6510</v>
      </c>
      <c r="H1049" s="2968"/>
      <c r="I1049" s="2968"/>
      <c r="J1049" s="2968" t="str">
        <f t="shared" si="33"/>
        <v>DS3P</v>
      </c>
      <c r="K1049" s="2969" t="str">
        <f t="shared" si="32"/>
        <v xml:space="preserve">DS3PDS 3P - 24KV - 630A </v>
      </c>
    </row>
    <row r="1050" spans="1:11" hidden="1">
      <c r="A1050" s="2966" t="s">
        <v>1187</v>
      </c>
      <c r="B1050" s="2970" t="s">
        <v>129</v>
      </c>
      <c r="C1050" s="2966" t="s">
        <v>1589</v>
      </c>
      <c r="D1050" s="69" t="s">
        <v>2433</v>
      </c>
      <c r="E1050" s="2968"/>
      <c r="F1050" s="2968">
        <v>9</v>
      </c>
      <c r="G1050" s="2968" t="s">
        <v>6510</v>
      </c>
      <c r="H1050" s="2968"/>
      <c r="I1050" s="2968"/>
      <c r="J1050" s="2968" t="str">
        <f t="shared" si="33"/>
        <v>DS3PDD</v>
      </c>
      <c r="K1050" s="2969" t="str">
        <f t="shared" si="32"/>
        <v xml:space="preserve">DS3PDDDS 3P - 24KV - 630A </v>
      </c>
    </row>
    <row r="1051" spans="1:11" hidden="1">
      <c r="A1051" s="2966" t="s">
        <v>1810</v>
      </c>
      <c r="B1051" s="2973" t="s">
        <v>391</v>
      </c>
      <c r="C1051" s="2966" t="s">
        <v>3141</v>
      </c>
      <c r="D1051" s="69" t="s">
        <v>2823</v>
      </c>
      <c r="E1051" s="2968"/>
      <c r="F1051" s="2968">
        <v>3000</v>
      </c>
      <c r="G1051" s="2968" t="s">
        <v>510</v>
      </c>
      <c r="H1051" s="2968"/>
      <c r="I1051" s="2968"/>
      <c r="J1051" s="2968" t="str">
        <f t="shared" si="33"/>
        <v>C10</v>
      </c>
      <c r="K1051" s="2969" t="str">
        <f t="shared" si="32"/>
        <v>C10Dựng trụ BTLT &lt;=10m bằng thủ công</v>
      </c>
    </row>
    <row r="1052" spans="1:11" hidden="1">
      <c r="A1052" s="2966" t="s">
        <v>2247</v>
      </c>
      <c r="B1052" s="2997" t="s">
        <v>1759</v>
      </c>
      <c r="C1052" s="2966" t="s">
        <v>3147</v>
      </c>
      <c r="D1052" s="69" t="s">
        <v>2823</v>
      </c>
      <c r="E1052" s="2968"/>
      <c r="F1052" s="2968">
        <v>3000</v>
      </c>
      <c r="G1052" s="2968" t="s">
        <v>510</v>
      </c>
      <c r="H1052" s="2968"/>
      <c r="I1052" s="2968"/>
      <c r="J1052" s="2968" t="str">
        <f t="shared" si="33"/>
        <v>C10m</v>
      </c>
      <c r="K1052" s="2969" t="str">
        <f t="shared" si="32"/>
        <v>C10mDựng trụ BTLT &lt;10m thủ công +cơ giới</v>
      </c>
    </row>
    <row r="1053" spans="1:11" hidden="1">
      <c r="A1053" s="2966" t="s">
        <v>1492</v>
      </c>
      <c r="B1053" s="2973" t="s">
        <v>1493</v>
      </c>
      <c r="C1053" s="2966" t="s">
        <v>3140</v>
      </c>
      <c r="D1053" s="69" t="s">
        <v>2823</v>
      </c>
      <c r="E1053" s="2968"/>
      <c r="F1053" s="2968">
        <v>3000</v>
      </c>
      <c r="G1053" s="2968" t="s">
        <v>510</v>
      </c>
      <c r="H1053" s="2968"/>
      <c r="I1053" s="2968"/>
      <c r="J1053" s="2968" t="str">
        <f t="shared" si="33"/>
        <v>C8</v>
      </c>
      <c r="K1053" s="2969" t="str">
        <f t="shared" si="32"/>
        <v>C8Dựng trụ BTLT &lt;8m bằng thủ công</v>
      </c>
    </row>
    <row r="1054" spans="1:11" hidden="1">
      <c r="A1054" s="2966" t="s">
        <v>1595</v>
      </c>
      <c r="B1054" s="2997" t="s">
        <v>2091</v>
      </c>
      <c r="C1054" s="2966" t="s">
        <v>3146</v>
      </c>
      <c r="D1054" s="69" t="s">
        <v>2823</v>
      </c>
      <c r="E1054" s="2968"/>
      <c r="F1054" s="2968">
        <v>3000</v>
      </c>
      <c r="G1054" s="2968" t="s">
        <v>510</v>
      </c>
      <c r="H1054" s="2968"/>
      <c r="I1054" s="2968"/>
      <c r="J1054" s="2968" t="str">
        <f t="shared" si="33"/>
        <v>C8m</v>
      </c>
      <c r="K1054" s="2969" t="str">
        <f t="shared" si="32"/>
        <v>C8mDựng trụ BTLT &lt;8m thủ công +cơ giới</v>
      </c>
    </row>
    <row r="1055" spans="1:11" hidden="1">
      <c r="A1055" s="2966" t="s">
        <v>454</v>
      </c>
      <c r="B1055" s="2973" t="s">
        <v>136</v>
      </c>
      <c r="C1055" s="2981" t="s">
        <v>3142</v>
      </c>
      <c r="D1055" s="69" t="s">
        <v>2823</v>
      </c>
      <c r="E1055" s="2968"/>
      <c r="F1055" s="2968">
        <v>3000</v>
      </c>
      <c r="G1055" s="2968" t="s">
        <v>510</v>
      </c>
      <c r="H1055" s="2968"/>
      <c r="I1055" s="2968"/>
      <c r="J1055" s="2968" t="str">
        <f t="shared" si="33"/>
        <v>C105</v>
      </c>
      <c r="K1055" s="2969" t="str">
        <f t="shared" si="32"/>
        <v>C105Dựng trụ BTLT 10,5m bằng thủ công</v>
      </c>
    </row>
    <row r="1056" spans="1:11" hidden="1">
      <c r="A1056" s="2966" t="s">
        <v>1608</v>
      </c>
      <c r="B1056" s="2997" t="s">
        <v>1760</v>
      </c>
      <c r="C1056" s="2981" t="s">
        <v>3148</v>
      </c>
      <c r="D1056" s="69" t="s">
        <v>2823</v>
      </c>
      <c r="E1056" s="2968"/>
      <c r="F1056" s="2968">
        <v>3000</v>
      </c>
      <c r="G1056" s="2968" t="s">
        <v>510</v>
      </c>
      <c r="H1056" s="2968"/>
      <c r="I1056" s="2968"/>
      <c r="J1056" s="2968" t="str">
        <f t="shared" si="33"/>
        <v>C105m</v>
      </c>
      <c r="K1056" s="2969" t="str">
        <f t="shared" si="32"/>
        <v>C105mDựng trụ BTLT 10,5m thủ công + cơ giới</v>
      </c>
    </row>
    <row r="1057" spans="1:11" hidden="1">
      <c r="A1057" s="2966" t="s">
        <v>641</v>
      </c>
      <c r="B1057" s="2973" t="s">
        <v>2122</v>
      </c>
      <c r="C1057" s="2981" t="s">
        <v>3153</v>
      </c>
      <c r="D1057" s="69" t="s">
        <v>2823</v>
      </c>
      <c r="E1057" s="2968"/>
      <c r="F1057" s="2968">
        <v>3000</v>
      </c>
      <c r="G1057" s="2968" t="s">
        <v>510</v>
      </c>
      <c r="H1057" s="2968"/>
      <c r="I1057" s="2968"/>
      <c r="J1057" s="2968" t="str">
        <f t="shared" si="33"/>
        <v>C10m-TBA</v>
      </c>
      <c r="K1057" s="2969" t="str">
        <f t="shared" si="32"/>
        <v>C10m-TBADựng trụ BTLT 10,5m trong TBA bằng thủ công + cơ giới</v>
      </c>
    </row>
    <row r="1058" spans="1:11" hidden="1">
      <c r="A1058" s="2966" t="s">
        <v>1610</v>
      </c>
      <c r="B1058" s="2973" t="s">
        <v>136</v>
      </c>
      <c r="C1058" s="2981" t="s">
        <v>3143</v>
      </c>
      <c r="D1058" s="69" t="s">
        <v>2823</v>
      </c>
      <c r="E1058" s="2968"/>
      <c r="F1058" s="2968">
        <v>3000</v>
      </c>
      <c r="G1058" s="2968" t="s">
        <v>510</v>
      </c>
      <c r="H1058" s="2968"/>
      <c r="I1058" s="2968"/>
      <c r="J1058" s="2968" t="str">
        <f t="shared" si="33"/>
        <v>C12</v>
      </c>
      <c r="K1058" s="2969" t="str">
        <f t="shared" si="32"/>
        <v>C12Dựng trụ BTLT 12m bằng thủ công</v>
      </c>
    </row>
    <row r="1059" spans="1:11" hidden="1">
      <c r="A1059" s="2966" t="s">
        <v>2164</v>
      </c>
      <c r="B1059" s="2973" t="s">
        <v>1760</v>
      </c>
      <c r="C1059" s="2981" t="s">
        <v>3149</v>
      </c>
      <c r="D1059" s="69" t="s">
        <v>2823</v>
      </c>
      <c r="E1059" s="2968"/>
      <c r="F1059" s="2968">
        <v>3000</v>
      </c>
      <c r="G1059" s="2968" t="s">
        <v>510</v>
      </c>
      <c r="H1059" s="2968"/>
      <c r="I1059" s="2968"/>
      <c r="J1059" s="2968" t="str">
        <f t="shared" si="33"/>
        <v>C12m</v>
      </c>
      <c r="K1059" s="2969" t="str">
        <f t="shared" si="32"/>
        <v>C12mDựng trụ BTLT 12m thủ công + cơ giới</v>
      </c>
    </row>
    <row r="1060" spans="1:11" hidden="1">
      <c r="A1060" s="2966" t="s">
        <v>6907</v>
      </c>
      <c r="B1060" s="2967" t="s">
        <v>6644</v>
      </c>
      <c r="C1060" s="2981" t="s">
        <v>6908</v>
      </c>
      <c r="D1060" s="69" t="s">
        <v>2823</v>
      </c>
      <c r="E1060" s="2968"/>
      <c r="F1060" s="2968">
        <v>3000</v>
      </c>
      <c r="G1060" s="2968" t="s">
        <v>510</v>
      </c>
      <c r="H1060" s="2968"/>
      <c r="I1060" s="2968"/>
      <c r="J1060" s="2968" t="str">
        <f t="shared" si="33"/>
        <v>C12TBA</v>
      </c>
      <c r="K1060" s="2969" t="str">
        <f t="shared" si="32"/>
        <v>C12TBADựng trụ BTLT 12m trong TBA</v>
      </c>
    </row>
    <row r="1061" spans="1:11" hidden="1">
      <c r="A1061" s="2966" t="s">
        <v>2121</v>
      </c>
      <c r="B1061" s="2973" t="s">
        <v>2122</v>
      </c>
      <c r="C1061" s="2981" t="s">
        <v>3152</v>
      </c>
      <c r="D1061" s="69" t="s">
        <v>2823</v>
      </c>
      <c r="E1061" s="2968"/>
      <c r="F1061" s="2968">
        <v>3000</v>
      </c>
      <c r="G1061" s="2968" t="s">
        <v>510</v>
      </c>
      <c r="H1061" s="2968"/>
      <c r="I1061" s="2968"/>
      <c r="J1061" s="2968" t="str">
        <f t="shared" si="33"/>
        <v>C12m-TBA</v>
      </c>
      <c r="K1061" s="2969" t="str">
        <f t="shared" si="32"/>
        <v>C12m-TBADựng trụ BTLT 12m trong TBA bằng thủ công + cơ giới</v>
      </c>
    </row>
    <row r="1062" spans="1:11" hidden="1">
      <c r="A1062" s="2977" t="s">
        <v>1011</v>
      </c>
      <c r="B1062" s="2973" t="s">
        <v>681</v>
      </c>
      <c r="C1062" s="2981" t="s">
        <v>3144</v>
      </c>
      <c r="D1062" s="69" t="s">
        <v>2823</v>
      </c>
      <c r="E1062" s="2968"/>
      <c r="F1062" s="2968">
        <v>3000</v>
      </c>
      <c r="G1062" s="2968" t="s">
        <v>510</v>
      </c>
      <c r="H1062" s="2968"/>
      <c r="I1062" s="2968"/>
      <c r="J1062" s="2968" t="str">
        <f t="shared" si="33"/>
        <v>C14</v>
      </c>
      <c r="K1062" s="2969" t="str">
        <f t="shared" si="32"/>
        <v>C14Dựng trụ BTLT 14m bằng thủ công</v>
      </c>
    </row>
    <row r="1063" spans="1:11" hidden="1">
      <c r="A1063" s="2977" t="s">
        <v>1655</v>
      </c>
      <c r="B1063" s="2973" t="s">
        <v>1656</v>
      </c>
      <c r="C1063" s="2981" t="s">
        <v>3150</v>
      </c>
      <c r="D1063" s="69" t="s">
        <v>2823</v>
      </c>
      <c r="E1063" s="2968"/>
      <c r="F1063" s="2968">
        <v>3000</v>
      </c>
      <c r="G1063" s="2968" t="s">
        <v>510</v>
      </c>
      <c r="H1063" s="2968"/>
      <c r="I1063" s="2968"/>
      <c r="J1063" s="2968" t="str">
        <f t="shared" si="33"/>
        <v>C14m</v>
      </c>
      <c r="K1063" s="2969" t="str">
        <f t="shared" si="32"/>
        <v>C14mDựng trụ BTLT 14m thủ công + cơ giới</v>
      </c>
    </row>
    <row r="1064" spans="1:11" hidden="1">
      <c r="A1064" s="2966" t="s">
        <v>6909</v>
      </c>
      <c r="B1064" s="2967" t="s">
        <v>6644</v>
      </c>
      <c r="C1064" s="2981" t="s">
        <v>6910</v>
      </c>
      <c r="D1064" s="69" t="s">
        <v>2823</v>
      </c>
      <c r="E1064" s="2968"/>
      <c r="F1064" s="2968">
        <v>3000</v>
      </c>
      <c r="G1064" s="2968" t="s">
        <v>510</v>
      </c>
      <c r="H1064" s="2968"/>
      <c r="I1064" s="2968"/>
      <c r="J1064" s="2968" t="str">
        <f t="shared" si="33"/>
        <v>C14TBA</v>
      </c>
      <c r="K1064" s="2969" t="str">
        <f t="shared" si="32"/>
        <v>C14TBADựng trụ BTLT 14m trong TBA</v>
      </c>
    </row>
    <row r="1065" spans="1:11" hidden="1">
      <c r="A1065" s="2966" t="s">
        <v>5285</v>
      </c>
      <c r="B1065" s="2967" t="s">
        <v>2122</v>
      </c>
      <c r="C1065" s="2981" t="s">
        <v>5286</v>
      </c>
      <c r="D1065" s="69" t="s">
        <v>2823</v>
      </c>
      <c r="E1065" s="2968"/>
      <c r="F1065" s="2968">
        <v>3000</v>
      </c>
      <c r="G1065" s="2968" t="s">
        <v>510</v>
      </c>
      <c r="H1065" s="2968"/>
      <c r="I1065" s="2968"/>
      <c r="J1065" s="2968" t="str">
        <f t="shared" si="33"/>
        <v>C14m-TBA</v>
      </c>
      <c r="K1065" s="2969" t="str">
        <f t="shared" si="32"/>
        <v>C14m-TBADựng trụ BTLT 14m trong TBA bằng thủ công + cơ giới</v>
      </c>
    </row>
    <row r="1066" spans="1:11" hidden="1">
      <c r="A1066" s="2966" t="s">
        <v>5278</v>
      </c>
      <c r="B1066" s="2967" t="s">
        <v>5279</v>
      </c>
      <c r="C1066" s="2981" t="s">
        <v>5280</v>
      </c>
      <c r="D1066" s="69" t="s">
        <v>2823</v>
      </c>
      <c r="E1066" s="2968"/>
      <c r="F1066" s="2968">
        <v>3000</v>
      </c>
      <c r="G1066" s="2968" t="s">
        <v>510</v>
      </c>
      <c r="H1066" s="2968"/>
      <c r="I1066" s="2968"/>
      <c r="J1066" s="2968" t="str">
        <f t="shared" si="33"/>
        <v>C18m</v>
      </c>
      <c r="K1066" s="2969" t="str">
        <f t="shared" si="32"/>
        <v>C18mDựng trụ BTLT 18m thủ công + cơ giới</v>
      </c>
    </row>
    <row r="1067" spans="1:11" hidden="1">
      <c r="A1067" s="2966" t="s">
        <v>2245</v>
      </c>
      <c r="B1067" s="2973" t="s">
        <v>2246</v>
      </c>
      <c r="C1067" s="2981" t="s">
        <v>3145</v>
      </c>
      <c r="D1067" s="69" t="s">
        <v>2823</v>
      </c>
      <c r="E1067" s="2968"/>
      <c r="F1067" s="2968">
        <v>3000</v>
      </c>
      <c r="G1067" s="2968" t="s">
        <v>510</v>
      </c>
      <c r="H1067" s="2968"/>
      <c r="I1067" s="2968"/>
      <c r="J1067" s="2968" t="str">
        <f t="shared" si="33"/>
        <v>C20</v>
      </c>
      <c r="K1067" s="2969" t="str">
        <f t="shared" si="32"/>
        <v>C20Dựng trụ BTLT 20m bằng thủ công</v>
      </c>
    </row>
    <row r="1068" spans="1:11" hidden="1">
      <c r="A1068" s="2966" t="s">
        <v>1657</v>
      </c>
      <c r="B1068" s="2973" t="s">
        <v>1658</v>
      </c>
      <c r="C1068" s="2981" t="s">
        <v>3151</v>
      </c>
      <c r="D1068" s="69" t="s">
        <v>2823</v>
      </c>
      <c r="E1068" s="2968"/>
      <c r="F1068" s="2968">
        <v>3000</v>
      </c>
      <c r="G1068" s="2968" t="s">
        <v>510</v>
      </c>
      <c r="H1068" s="2968"/>
      <c r="I1068" s="2968"/>
      <c r="J1068" s="2968" t="str">
        <f t="shared" si="33"/>
        <v>C20m</v>
      </c>
      <c r="K1068" s="2969" t="str">
        <f t="shared" si="32"/>
        <v>C20mDựng trụ BTLT 20m thủ công + cơ giới</v>
      </c>
    </row>
    <row r="1069" spans="1:11" hidden="1">
      <c r="A1069" s="2966" t="s">
        <v>2159</v>
      </c>
      <c r="B1069" s="2967" t="s">
        <v>2160</v>
      </c>
      <c r="C1069" s="2983" t="s">
        <v>3267</v>
      </c>
      <c r="D1069" s="69" t="s">
        <v>2823</v>
      </c>
      <c r="E1069" s="2968"/>
      <c r="F1069" s="2968">
        <v>3000</v>
      </c>
      <c r="G1069" s="2968" t="s">
        <v>510</v>
      </c>
      <c r="H1069" s="2968"/>
      <c r="I1069" s="2968"/>
      <c r="J1069" s="2968" t="str">
        <f t="shared" si="33"/>
        <v>LTRUHL-I</v>
      </c>
      <c r="K1069" s="2969" t="str">
        <f t="shared" si="32"/>
        <v xml:space="preserve">LTRUHL-IDựng trụ đỡ đường dây 3 pha </v>
      </c>
    </row>
    <row r="1070" spans="1:11" hidden="1">
      <c r="A1070" s="2966" t="s">
        <v>2220</v>
      </c>
      <c r="B1070" s="2967"/>
      <c r="C1070" s="2981" t="s">
        <v>2950</v>
      </c>
      <c r="D1070" s="69" t="s">
        <v>2243</v>
      </c>
      <c r="E1070" s="2968"/>
      <c r="F1070" s="2968">
        <v>50</v>
      </c>
      <c r="G1070" s="2968" t="s">
        <v>510</v>
      </c>
      <c r="H1070" s="2968"/>
      <c r="I1070" s="2968"/>
      <c r="J1070" s="2968" t="str">
        <f t="shared" si="33"/>
        <v>EKE300</v>
      </c>
      <c r="K1070" s="2969" t="str">
        <f t="shared" si="32"/>
        <v>EKE300Ê KE 5x300x300\Zn</v>
      </c>
    </row>
    <row r="1071" spans="1:11" hidden="1">
      <c r="A1071" s="2966" t="s">
        <v>5679</v>
      </c>
      <c r="B1071" s="2967" t="s">
        <v>5642</v>
      </c>
      <c r="C1071" s="2981" t="s">
        <v>5680</v>
      </c>
      <c r="D1071" s="69" t="s">
        <v>2547</v>
      </c>
      <c r="E1071" s="2968"/>
      <c r="F1071" s="2968">
        <v>50</v>
      </c>
      <c r="G1071" s="2968" t="s">
        <v>510</v>
      </c>
      <c r="H1071" s="2968"/>
      <c r="I1071" s="2968"/>
      <c r="J1071" s="2968" t="str">
        <f t="shared" si="33"/>
        <v>COS120-EP</v>
      </c>
      <c r="K1071" s="2969" t="str">
        <f t="shared" si="32"/>
        <v>COS120-EPÉp Đầu cosse 120mm2</v>
      </c>
    </row>
    <row r="1072" spans="1:11" hidden="1">
      <c r="A1072" s="2966" t="s">
        <v>5681</v>
      </c>
      <c r="B1072" s="2967" t="s">
        <v>5643</v>
      </c>
      <c r="C1072" s="2981" t="s">
        <v>5682</v>
      </c>
      <c r="D1072" s="69" t="s">
        <v>2547</v>
      </c>
      <c r="E1072" s="2968"/>
      <c r="F1072" s="2968">
        <v>50</v>
      </c>
      <c r="G1072" s="2968" t="s">
        <v>510</v>
      </c>
      <c r="H1072" s="2968"/>
      <c r="I1072" s="2968"/>
      <c r="J1072" s="2968" t="str">
        <f t="shared" si="33"/>
        <v>COS150-EP</v>
      </c>
      <c r="K1072" s="2969" t="str">
        <f t="shared" si="32"/>
        <v>COS150-EPÉp Đầu cosse 150mm2</v>
      </c>
    </row>
    <row r="1073" spans="1:11" hidden="1">
      <c r="A1073" s="2966" t="s">
        <v>5683</v>
      </c>
      <c r="B1073" s="2967" t="s">
        <v>5644</v>
      </c>
      <c r="C1073" s="2981" t="s">
        <v>5684</v>
      </c>
      <c r="D1073" s="69" t="s">
        <v>2547</v>
      </c>
      <c r="E1073" s="2968"/>
      <c r="F1073" s="2968">
        <v>50</v>
      </c>
      <c r="G1073" s="2968" t="s">
        <v>510</v>
      </c>
      <c r="H1073" s="2968"/>
      <c r="I1073" s="2968"/>
      <c r="J1073" s="2968" t="str">
        <f t="shared" si="33"/>
        <v>COS185-EP</v>
      </c>
      <c r="K1073" s="2969" t="str">
        <f t="shared" si="32"/>
        <v>COS185-EPÉp Đầu cosse 185mm2</v>
      </c>
    </row>
    <row r="1074" spans="1:11" hidden="1">
      <c r="A1074" s="2966" t="s">
        <v>5685</v>
      </c>
      <c r="B1074" s="2967" t="s">
        <v>5645</v>
      </c>
      <c r="C1074" s="2981" t="s">
        <v>5686</v>
      </c>
      <c r="D1074" s="69" t="s">
        <v>2547</v>
      </c>
      <c r="E1074" s="2968"/>
      <c r="F1074" s="2968">
        <v>50</v>
      </c>
      <c r="G1074" s="2968" t="s">
        <v>510</v>
      </c>
      <c r="H1074" s="2968"/>
      <c r="I1074" s="2968"/>
      <c r="J1074" s="2968" t="str">
        <f t="shared" si="33"/>
        <v>COS200-EP</v>
      </c>
      <c r="K1074" s="2969" t="str">
        <f t="shared" si="32"/>
        <v>COS200-EPÉp Đầu cosse 200mm2</v>
      </c>
    </row>
    <row r="1075" spans="1:11" hidden="1">
      <c r="A1075" s="2966" t="s">
        <v>5687</v>
      </c>
      <c r="B1075" s="2967" t="s">
        <v>5645</v>
      </c>
      <c r="C1075" s="2981" t="s">
        <v>5688</v>
      </c>
      <c r="D1075" s="69" t="s">
        <v>2547</v>
      </c>
      <c r="E1075" s="2968"/>
      <c r="F1075" s="2968">
        <v>50</v>
      </c>
      <c r="G1075" s="2968" t="s">
        <v>510</v>
      </c>
      <c r="H1075" s="2968"/>
      <c r="I1075" s="2968"/>
      <c r="J1075" s="2968" t="str">
        <f t="shared" si="33"/>
        <v>COS240-EP</v>
      </c>
      <c r="K1075" s="2969" t="str">
        <f t="shared" si="32"/>
        <v>COS240-EPÉp Đầu cosse 240mm2</v>
      </c>
    </row>
    <row r="1076" spans="1:11" hidden="1">
      <c r="A1076" s="2966" t="s">
        <v>5689</v>
      </c>
      <c r="B1076" s="2967" t="s">
        <v>5645</v>
      </c>
      <c r="C1076" s="2981" t="s">
        <v>5690</v>
      </c>
      <c r="D1076" s="69" t="s">
        <v>2547</v>
      </c>
      <c r="E1076" s="2968"/>
      <c r="F1076" s="2968">
        <v>50</v>
      </c>
      <c r="G1076" s="2968" t="s">
        <v>510</v>
      </c>
      <c r="H1076" s="2968"/>
      <c r="I1076" s="2968"/>
      <c r="J1076" s="2968" t="str">
        <f t="shared" si="33"/>
        <v>COS250-EP</v>
      </c>
      <c r="K1076" s="2969" t="str">
        <f t="shared" si="32"/>
        <v>COS250-EPÉp Đầu cosse 250mm2</v>
      </c>
    </row>
    <row r="1077" spans="1:11" hidden="1">
      <c r="A1077" s="2966" t="s">
        <v>5671</v>
      </c>
      <c r="B1077" s="2967" t="s">
        <v>5638</v>
      </c>
      <c r="C1077" s="2981" t="s">
        <v>5672</v>
      </c>
      <c r="D1077" s="69" t="s">
        <v>2547</v>
      </c>
      <c r="E1077" s="2968"/>
      <c r="F1077" s="2968">
        <v>50</v>
      </c>
      <c r="G1077" s="2968" t="s">
        <v>510</v>
      </c>
      <c r="H1077" s="2968"/>
      <c r="I1077" s="2968"/>
      <c r="J1077" s="2968" t="str">
        <f t="shared" si="33"/>
        <v>COS25-EP</v>
      </c>
      <c r="K1077" s="2969" t="str">
        <f t="shared" si="32"/>
        <v>COS25-EPÉp Đầu cosse 25mm2</v>
      </c>
    </row>
    <row r="1078" spans="1:11" hidden="1">
      <c r="A1078" s="2966" t="s">
        <v>5691</v>
      </c>
      <c r="B1078" s="2967" t="s">
        <v>5646</v>
      </c>
      <c r="C1078" s="2981" t="s">
        <v>5692</v>
      </c>
      <c r="D1078" s="69" t="s">
        <v>2547</v>
      </c>
      <c r="E1078" s="2968"/>
      <c r="F1078" s="2968">
        <v>50</v>
      </c>
      <c r="G1078" s="2968" t="s">
        <v>510</v>
      </c>
      <c r="H1078" s="2968"/>
      <c r="I1078" s="2968"/>
      <c r="J1078" s="2968" t="str">
        <f t="shared" si="33"/>
        <v>COS300-EP</v>
      </c>
      <c r="K1078" s="2969" t="str">
        <f t="shared" si="32"/>
        <v>COS300-EPÉp Đầu cosse 300mm2</v>
      </c>
    </row>
    <row r="1079" spans="1:11" hidden="1">
      <c r="A1079" s="2966" t="s">
        <v>5693</v>
      </c>
      <c r="B1079" s="2967" t="s">
        <v>5647</v>
      </c>
      <c r="C1079" s="2981" t="s">
        <v>5694</v>
      </c>
      <c r="D1079" s="69" t="s">
        <v>2547</v>
      </c>
      <c r="E1079" s="2968"/>
      <c r="F1079" s="2968">
        <v>50</v>
      </c>
      <c r="G1079" s="2968" t="s">
        <v>510</v>
      </c>
      <c r="H1079" s="2968"/>
      <c r="I1079" s="2968"/>
      <c r="J1079" s="2968" t="str">
        <f t="shared" si="33"/>
        <v>COS400-EP</v>
      </c>
      <c r="K1079" s="2969" t="str">
        <f t="shared" si="32"/>
        <v>COS400-EPÉp Đầu cosse 400mm2</v>
      </c>
    </row>
    <row r="1080" spans="1:11" hidden="1">
      <c r="A1080" s="2966" t="s">
        <v>5673</v>
      </c>
      <c r="B1080" s="2967" t="s">
        <v>5639</v>
      </c>
      <c r="C1080" s="2981" t="s">
        <v>5674</v>
      </c>
      <c r="D1080" s="69" t="s">
        <v>2547</v>
      </c>
      <c r="E1080" s="2968"/>
      <c r="F1080" s="2968">
        <v>50</v>
      </c>
      <c r="G1080" s="2968" t="s">
        <v>510</v>
      </c>
      <c r="H1080" s="2968"/>
      <c r="I1080" s="2968"/>
      <c r="J1080" s="2968" t="str">
        <f t="shared" si="33"/>
        <v>COS50-EP</v>
      </c>
      <c r="K1080" s="2969" t="str">
        <f t="shared" si="32"/>
        <v>COS50-EPÉp Đầu cosse 50mm2</v>
      </c>
    </row>
    <row r="1081" spans="1:11" hidden="1">
      <c r="A1081" s="2966" t="s">
        <v>5675</v>
      </c>
      <c r="B1081" s="2967" t="s">
        <v>5640</v>
      </c>
      <c r="C1081" s="2981" t="s">
        <v>5676</v>
      </c>
      <c r="D1081" s="69" t="s">
        <v>2547</v>
      </c>
      <c r="E1081" s="2968"/>
      <c r="F1081" s="2968">
        <v>50</v>
      </c>
      <c r="G1081" s="2968" t="s">
        <v>510</v>
      </c>
      <c r="H1081" s="2968"/>
      <c r="I1081" s="2968"/>
      <c r="J1081" s="2968" t="str">
        <f t="shared" si="33"/>
        <v>COS70-EP</v>
      </c>
      <c r="K1081" s="2969" t="str">
        <f t="shared" si="32"/>
        <v>COS70-EPÉp Đầu cosse 70mm2</v>
      </c>
    </row>
    <row r="1082" spans="1:11" hidden="1">
      <c r="A1082" s="2966" t="s">
        <v>5677</v>
      </c>
      <c r="B1082" s="2967" t="s">
        <v>5641</v>
      </c>
      <c r="C1082" s="2981" t="s">
        <v>5678</v>
      </c>
      <c r="D1082" s="69" t="s">
        <v>2547</v>
      </c>
      <c r="E1082" s="2968"/>
      <c r="F1082" s="2968">
        <v>50</v>
      </c>
      <c r="G1082" s="2968" t="s">
        <v>510</v>
      </c>
      <c r="H1082" s="2968"/>
      <c r="I1082" s="2968"/>
      <c r="J1082" s="2968" t="str">
        <f t="shared" si="33"/>
        <v>COS95-EP</v>
      </c>
      <c r="K1082" s="2969" t="str">
        <f t="shared" si="32"/>
        <v>COS95-EPÉp Đầu cosse 95mm2</v>
      </c>
    </row>
    <row r="1083" spans="1:11" hidden="1">
      <c r="A1083" s="2966" t="s">
        <v>1648</v>
      </c>
      <c r="B1083" s="2993" t="s">
        <v>1740</v>
      </c>
      <c r="C1083" s="2981" t="s">
        <v>95</v>
      </c>
      <c r="D1083" s="69" t="s">
        <v>2547</v>
      </c>
      <c r="E1083" s="2968"/>
      <c r="F1083" s="2968">
        <v>2</v>
      </c>
      <c r="G1083" s="2968" t="s">
        <v>6510</v>
      </c>
      <c r="H1083" s="2968"/>
      <c r="I1083" s="2968"/>
      <c r="J1083" s="2968" t="str">
        <f t="shared" si="33"/>
        <v>FCO100-22</v>
      </c>
      <c r="K1083" s="2969" t="str">
        <f t="shared" si="32"/>
        <v>FCO100-22FCO 24kV - 100A</v>
      </c>
    </row>
    <row r="1084" spans="1:11" hidden="1">
      <c r="A1084" s="2966" t="s">
        <v>6911</v>
      </c>
      <c r="B1084" s="2967" t="s">
        <v>5513</v>
      </c>
      <c r="C1084" s="2981" t="s">
        <v>95</v>
      </c>
      <c r="D1084" s="69" t="s">
        <v>2547</v>
      </c>
      <c r="E1084" s="2968"/>
      <c r="F1084" s="2968">
        <v>2</v>
      </c>
      <c r="G1084" s="2968" t="s">
        <v>6510</v>
      </c>
      <c r="H1084" s="2968"/>
      <c r="I1084" s="2968"/>
      <c r="J1084" s="2968" t="str">
        <f t="shared" si="33"/>
        <v>FCO100-15</v>
      </c>
      <c r="K1084" s="2969" t="str">
        <f t="shared" si="32"/>
        <v>FCO100-15FCO 24kV - 100A</v>
      </c>
    </row>
    <row r="1085" spans="1:11" hidden="1">
      <c r="A1085" s="2966" t="s">
        <v>1651</v>
      </c>
      <c r="B1085" s="2993" t="s">
        <v>1647</v>
      </c>
      <c r="C1085" s="2981" t="s">
        <v>2025</v>
      </c>
      <c r="D1085" s="69" t="s">
        <v>2547</v>
      </c>
      <c r="E1085" s="2968"/>
      <c r="F1085" s="2968">
        <v>2</v>
      </c>
      <c r="G1085" s="2968" t="s">
        <v>6510</v>
      </c>
      <c r="H1085" s="2968"/>
      <c r="I1085" s="2968"/>
      <c r="J1085" s="2968" t="str">
        <f t="shared" si="33"/>
        <v>FCO200-15</v>
      </c>
      <c r="K1085" s="2969" t="str">
        <f t="shared" si="32"/>
        <v xml:space="preserve">FCO200-15FCO 24KV - 200A </v>
      </c>
    </row>
    <row r="1086" spans="1:11" hidden="1">
      <c r="A1086" s="2966" t="s">
        <v>1649</v>
      </c>
      <c r="B1086" s="2993" t="s">
        <v>433</v>
      </c>
      <c r="C1086" s="2981" t="s">
        <v>2025</v>
      </c>
      <c r="D1086" s="69" t="s">
        <v>2547</v>
      </c>
      <c r="E1086" s="2968"/>
      <c r="F1086" s="2968">
        <v>2</v>
      </c>
      <c r="G1086" s="2968" t="s">
        <v>6510</v>
      </c>
      <c r="H1086" s="2968"/>
      <c r="I1086" s="2968"/>
      <c r="J1086" s="2968" t="str">
        <f t="shared" si="33"/>
        <v>FCO200-22</v>
      </c>
      <c r="K1086" s="2969" t="str">
        <f t="shared" si="32"/>
        <v xml:space="preserve">FCO200-22FCO 24KV - 200A </v>
      </c>
    </row>
    <row r="1087" spans="1:11" hidden="1">
      <c r="A1087" s="2966" t="s">
        <v>1893</v>
      </c>
      <c r="B1087" s="2967" t="s">
        <v>6912</v>
      </c>
      <c r="C1087" s="2981" t="s">
        <v>6913</v>
      </c>
      <c r="D1087" s="69" t="s">
        <v>2547</v>
      </c>
      <c r="E1087" s="2968"/>
      <c r="F1087" s="2968">
        <v>2</v>
      </c>
      <c r="G1087" s="2968" t="s">
        <v>6510</v>
      </c>
      <c r="H1087" s="2968"/>
      <c r="I1087" s="2968"/>
      <c r="J1087" s="2968" t="str">
        <f t="shared" si="33"/>
        <v>FCO100</v>
      </c>
      <c r="K1087" s="2969" t="str">
        <f t="shared" si="32"/>
        <v>FCO100FCO 27kV - 100A</v>
      </c>
    </row>
    <row r="1088" spans="1:11" hidden="1">
      <c r="A1088" s="2966" t="s">
        <v>672</v>
      </c>
      <c r="B1088" s="2967" t="s">
        <v>6912</v>
      </c>
      <c r="C1088" s="2981" t="s">
        <v>6914</v>
      </c>
      <c r="D1088" s="69" t="s">
        <v>2547</v>
      </c>
      <c r="E1088" s="2968"/>
      <c r="F1088" s="2968">
        <v>2</v>
      </c>
      <c r="G1088" s="2968" t="s">
        <v>6510</v>
      </c>
      <c r="H1088" s="2968"/>
      <c r="I1088" s="2968"/>
      <c r="J1088" s="2968" t="str">
        <f t="shared" si="33"/>
        <v>FCO200</v>
      </c>
      <c r="K1088" s="2969" t="str">
        <f t="shared" si="32"/>
        <v xml:space="preserve">FCO200FCO 27KV - 200A </v>
      </c>
    </row>
    <row r="1089" spans="1:11" hidden="1">
      <c r="A1089" s="2966" t="s">
        <v>930</v>
      </c>
      <c r="B1089" s="2967"/>
      <c r="C1089" s="2981" t="s">
        <v>2997</v>
      </c>
      <c r="D1089" s="69" t="s">
        <v>2998</v>
      </c>
      <c r="E1089" s="2968"/>
      <c r="F1089" s="2968">
        <v>1000</v>
      </c>
      <c r="G1089" s="2968" t="s">
        <v>510</v>
      </c>
      <c r="H1089" s="2968"/>
      <c r="I1089" s="2968"/>
      <c r="J1089" s="2968" t="str">
        <f t="shared" si="33"/>
        <v>gachong</v>
      </c>
      <c r="K1089" s="2969" t="str">
        <f t="shared" si="32"/>
        <v>gachongGạch ống</v>
      </c>
    </row>
    <row r="1090" spans="1:11" hidden="1">
      <c r="A1090" s="2966" t="s">
        <v>1671</v>
      </c>
      <c r="B1090" s="2967"/>
      <c r="C1090" s="2981" t="s">
        <v>2999</v>
      </c>
      <c r="D1090" s="69" t="s">
        <v>2998</v>
      </c>
      <c r="E1090" s="2968"/>
      <c r="F1090" s="2968">
        <v>50</v>
      </c>
      <c r="G1090" s="2968" t="s">
        <v>510</v>
      </c>
      <c r="H1090" s="2968"/>
      <c r="I1090" s="2968"/>
      <c r="J1090" s="2968" t="str">
        <f t="shared" si="33"/>
        <v>gachtau</v>
      </c>
      <c r="K1090" s="2969" t="str">
        <f t="shared" si="32"/>
        <v>gachtauGạch tàu</v>
      </c>
    </row>
    <row r="1091" spans="1:11" hidden="1">
      <c r="A1091" s="2966" t="s">
        <v>6915</v>
      </c>
      <c r="B1091" s="2967"/>
      <c r="C1091" s="2981" t="s">
        <v>2999</v>
      </c>
      <c r="D1091" s="69" t="s">
        <v>2998</v>
      </c>
      <c r="E1091" s="2968"/>
      <c r="F1091" s="2968">
        <v>50</v>
      </c>
      <c r="G1091" s="2968" t="s">
        <v>510</v>
      </c>
      <c r="H1091" s="2968"/>
      <c r="I1091" s="2968"/>
      <c r="J1091" s="2968" t="str">
        <f t="shared" si="33"/>
        <v>GT</v>
      </c>
      <c r="K1091" s="2969" t="str">
        <f t="shared" ref="K1091:K1154" si="34">A1091&amp;C1091</f>
        <v>GTGạch tàu</v>
      </c>
    </row>
    <row r="1092" spans="1:11" hidden="1">
      <c r="A1092" s="2966" t="s">
        <v>84</v>
      </c>
      <c r="B1092" s="2967"/>
      <c r="C1092" s="2981" t="s">
        <v>3000</v>
      </c>
      <c r="D1092" s="69" t="s">
        <v>2998</v>
      </c>
      <c r="E1092" s="2968"/>
      <c r="F1092" s="2968">
        <v>50</v>
      </c>
      <c r="G1092" s="2968" t="s">
        <v>510</v>
      </c>
      <c r="H1092" s="2968"/>
      <c r="I1092" s="2968"/>
      <c r="J1092" s="2968" t="str">
        <f t="shared" ref="J1092:J1155" si="35">A1092</f>
        <v>gachthe</v>
      </c>
      <c r="K1092" s="2969" t="str">
        <f t="shared" si="34"/>
        <v>gachtheGạch thẻ</v>
      </c>
    </row>
    <row r="1093" spans="1:11" hidden="1">
      <c r="A1093" s="2966" t="s">
        <v>6475</v>
      </c>
      <c r="B1093" s="2967" t="s">
        <v>5370</v>
      </c>
      <c r="C1093" s="2981" t="s">
        <v>4105</v>
      </c>
      <c r="D1093" s="69"/>
      <c r="E1093" s="2968"/>
      <c r="F1093" s="2968">
        <v>3000</v>
      </c>
      <c r="G1093" s="2968" t="s">
        <v>510</v>
      </c>
      <c r="H1093" s="2968"/>
      <c r="I1093" s="2968"/>
      <c r="J1093" s="2968" t="str">
        <f t="shared" si="35"/>
        <v>GC</v>
      </c>
      <c r="K1093" s="2969" t="str">
        <f t="shared" si="34"/>
        <v>GCGhi chú</v>
      </c>
    </row>
    <row r="1094" spans="1:11" hidden="1">
      <c r="A1094" s="2966" t="s">
        <v>4634</v>
      </c>
      <c r="B1094" s="2967"/>
      <c r="C1094" s="2981" t="s">
        <v>3914</v>
      </c>
      <c r="D1094" s="69" t="s">
        <v>2547</v>
      </c>
      <c r="E1094" s="2968"/>
      <c r="F1094" s="2968">
        <v>50</v>
      </c>
      <c r="G1094" s="2968" t="s">
        <v>510</v>
      </c>
      <c r="H1094" s="2968"/>
      <c r="I1094" s="2968"/>
      <c r="J1094" s="2968" t="str">
        <f t="shared" si="35"/>
        <v>GIP</v>
      </c>
      <c r="K1094" s="2969" t="str">
        <f t="shared" si="34"/>
        <v>GIPGhíp nối IPC</v>
      </c>
    </row>
    <row r="1095" spans="1:11" hidden="1">
      <c r="A1095" s="2980" t="s">
        <v>896</v>
      </c>
      <c r="B1095" s="2970"/>
      <c r="C1095" s="2981" t="s">
        <v>3585</v>
      </c>
      <c r="D1095" s="69" t="s">
        <v>2547</v>
      </c>
      <c r="E1095" s="2968"/>
      <c r="F1095" s="2968">
        <v>50</v>
      </c>
      <c r="G1095" s="2968" t="s">
        <v>510</v>
      </c>
      <c r="H1095" s="2968"/>
      <c r="I1095" s="2968"/>
      <c r="J1095" s="2968" t="str">
        <f t="shared" si="35"/>
        <v>GIP11-11</v>
      </c>
      <c r="K1095" s="2969" t="str">
        <f t="shared" si="34"/>
        <v>GIP11-11Ghíp nối IPC 11-11</v>
      </c>
    </row>
    <row r="1096" spans="1:11" hidden="1">
      <c r="A1096" s="2966" t="s">
        <v>5794</v>
      </c>
      <c r="B1096" s="2967"/>
      <c r="C1096" s="2981" t="s">
        <v>5795</v>
      </c>
      <c r="D1096" s="69" t="s">
        <v>2547</v>
      </c>
      <c r="E1096" s="2968"/>
      <c r="F1096" s="2968">
        <v>50</v>
      </c>
      <c r="G1096" s="2968" t="s">
        <v>510</v>
      </c>
      <c r="H1096" s="2968"/>
      <c r="I1096" s="2968"/>
      <c r="J1096" s="2968" t="str">
        <f t="shared" si="35"/>
        <v>GIP120-120</v>
      </c>
      <c r="K1096" s="2969" t="str">
        <f t="shared" si="34"/>
        <v>GIP120-120Ghíp nối IPC 120-120</v>
      </c>
    </row>
    <row r="1097" spans="1:11" hidden="1">
      <c r="A1097" s="2980" t="s">
        <v>859</v>
      </c>
      <c r="B1097" s="2970"/>
      <c r="C1097" s="2981" t="s">
        <v>3592</v>
      </c>
      <c r="D1097" s="69" t="s">
        <v>2547</v>
      </c>
      <c r="E1097" s="2968"/>
      <c r="F1097" s="2968">
        <v>50</v>
      </c>
      <c r="G1097" s="2968" t="s">
        <v>510</v>
      </c>
      <c r="H1097" s="2968"/>
      <c r="I1097" s="2968"/>
      <c r="J1097" s="2968" t="str">
        <f t="shared" si="35"/>
        <v>GIP120-35</v>
      </c>
      <c r="K1097" s="2969" t="str">
        <f t="shared" si="34"/>
        <v>GIP120-35Ghíp nối IPC 120-35</v>
      </c>
    </row>
    <row r="1098" spans="1:11" hidden="1">
      <c r="A1098" s="2980" t="s">
        <v>1151</v>
      </c>
      <c r="B1098" s="2970"/>
      <c r="C1098" s="2981" t="s">
        <v>3596</v>
      </c>
      <c r="D1098" s="69" t="s">
        <v>2547</v>
      </c>
      <c r="E1098" s="2968"/>
      <c r="F1098" s="2968">
        <v>50</v>
      </c>
      <c r="G1098" s="2968" t="s">
        <v>510</v>
      </c>
      <c r="H1098" s="2968"/>
      <c r="I1098" s="2968"/>
      <c r="J1098" s="2968" t="str">
        <f t="shared" si="35"/>
        <v>GIP120-50</v>
      </c>
      <c r="K1098" s="2969" t="str">
        <f t="shared" si="34"/>
        <v>GIP120-50Ghíp nối IPC 120-50</v>
      </c>
    </row>
    <row r="1099" spans="1:11" hidden="1">
      <c r="A1099" s="2980" t="s">
        <v>472</v>
      </c>
      <c r="B1099" s="2970"/>
      <c r="C1099" s="2981" t="s">
        <v>3600</v>
      </c>
      <c r="D1099" s="69" t="s">
        <v>2547</v>
      </c>
      <c r="E1099" s="2968"/>
      <c r="F1099" s="2968">
        <v>50</v>
      </c>
      <c r="G1099" s="2968" t="s">
        <v>510</v>
      </c>
      <c r="H1099" s="2968"/>
      <c r="I1099" s="2968"/>
      <c r="J1099" s="2968" t="str">
        <f t="shared" si="35"/>
        <v>GIP120-70</v>
      </c>
      <c r="K1099" s="2969" t="str">
        <f t="shared" si="34"/>
        <v>GIP120-70Ghíp nối IPC 120-70</v>
      </c>
    </row>
    <row r="1100" spans="1:11" hidden="1">
      <c r="A1100" s="2966" t="s">
        <v>5786</v>
      </c>
      <c r="B1100" s="2967"/>
      <c r="C1100" s="2981" t="s">
        <v>5787</v>
      </c>
      <c r="D1100" s="69" t="s">
        <v>2547</v>
      </c>
      <c r="E1100" s="2968"/>
      <c r="F1100" s="2968">
        <v>50</v>
      </c>
      <c r="G1100" s="2968" t="s">
        <v>510</v>
      </c>
      <c r="H1100" s="2968"/>
      <c r="I1100" s="2968"/>
      <c r="J1100" s="2968" t="str">
        <f t="shared" si="35"/>
        <v>GIP120-95</v>
      </c>
      <c r="K1100" s="2969" t="str">
        <f t="shared" si="34"/>
        <v>GIP120-95Ghíp nối IPC 120-95</v>
      </c>
    </row>
    <row r="1101" spans="1:11" hidden="1">
      <c r="A1101" s="2966" t="s">
        <v>5792</v>
      </c>
      <c r="B1101" s="2967"/>
      <c r="C1101" s="2981" t="s">
        <v>5793</v>
      </c>
      <c r="D1101" s="69" t="s">
        <v>2547</v>
      </c>
      <c r="E1101" s="2968"/>
      <c r="F1101" s="2968">
        <v>50</v>
      </c>
      <c r="G1101" s="2968" t="s">
        <v>510</v>
      </c>
      <c r="H1101" s="2968"/>
      <c r="I1101" s="2968"/>
      <c r="J1101" s="2968" t="str">
        <f t="shared" si="35"/>
        <v>GIP150-120</v>
      </c>
      <c r="K1101" s="2969" t="str">
        <f t="shared" si="34"/>
        <v>GIP150-120Ghíp nối IPC 150-120</v>
      </c>
    </row>
    <row r="1102" spans="1:11" hidden="1">
      <c r="A1102" s="2966" t="s">
        <v>5790</v>
      </c>
      <c r="B1102" s="2967"/>
      <c r="C1102" s="2981" t="s">
        <v>5791</v>
      </c>
      <c r="D1102" s="69" t="s">
        <v>2547</v>
      </c>
      <c r="E1102" s="2968"/>
      <c r="F1102" s="2968">
        <v>50</v>
      </c>
      <c r="G1102" s="2968" t="s">
        <v>510</v>
      </c>
      <c r="H1102" s="2968"/>
      <c r="I1102" s="2968"/>
      <c r="J1102" s="2968" t="str">
        <f t="shared" si="35"/>
        <v>GIP150-150</v>
      </c>
      <c r="K1102" s="2969" t="str">
        <f t="shared" si="34"/>
        <v>GIP150-150Ghíp nối IPC 150-150</v>
      </c>
    </row>
    <row r="1103" spans="1:11" hidden="1">
      <c r="A1103" s="2966" t="s">
        <v>5784</v>
      </c>
      <c r="B1103" s="2967"/>
      <c r="C1103" s="2981" t="s">
        <v>5785</v>
      </c>
      <c r="D1103" s="69" t="s">
        <v>2547</v>
      </c>
      <c r="E1103" s="2968"/>
      <c r="F1103" s="2968">
        <v>50</v>
      </c>
      <c r="G1103" s="2968" t="s">
        <v>510</v>
      </c>
      <c r="H1103" s="2968"/>
      <c r="I1103" s="2968"/>
      <c r="J1103" s="2968" t="str">
        <f t="shared" si="35"/>
        <v>GIP150-35</v>
      </c>
      <c r="K1103" s="2969" t="str">
        <f t="shared" si="34"/>
        <v>GIP150-35Ghíp nối IPC 150-35</v>
      </c>
    </row>
    <row r="1104" spans="1:11" hidden="1">
      <c r="A1104" s="2980" t="s">
        <v>1343</v>
      </c>
      <c r="B1104" s="2970"/>
      <c r="C1104" s="2981" t="s">
        <v>3597</v>
      </c>
      <c r="D1104" s="69" t="s">
        <v>2547</v>
      </c>
      <c r="E1104" s="2968"/>
      <c r="F1104" s="2968">
        <v>50</v>
      </c>
      <c r="G1104" s="2968" t="s">
        <v>510</v>
      </c>
      <c r="H1104" s="2968"/>
      <c r="I1104" s="2968"/>
      <c r="J1104" s="2968" t="str">
        <f t="shared" si="35"/>
        <v>GIP150-50</v>
      </c>
      <c r="K1104" s="2969" t="str">
        <f t="shared" si="34"/>
        <v>GIP150-50Ghíp nối IPC 150-50</v>
      </c>
    </row>
    <row r="1105" spans="1:11" hidden="1">
      <c r="A1105" s="2980" t="s">
        <v>1341</v>
      </c>
      <c r="B1105" s="2970"/>
      <c r="C1105" s="2981" t="s">
        <v>3601</v>
      </c>
      <c r="D1105" s="69" t="s">
        <v>2547</v>
      </c>
      <c r="E1105" s="2968"/>
      <c r="F1105" s="2968">
        <v>50</v>
      </c>
      <c r="G1105" s="2968" t="s">
        <v>510</v>
      </c>
      <c r="H1105" s="2968"/>
      <c r="I1105" s="2968"/>
      <c r="J1105" s="2968" t="str">
        <f t="shared" si="35"/>
        <v>GIP150-70</v>
      </c>
      <c r="K1105" s="2969" t="str">
        <f t="shared" si="34"/>
        <v>GIP150-70Ghíp nối IPC 150-70</v>
      </c>
    </row>
    <row r="1106" spans="1:11" hidden="1">
      <c r="A1106" s="2966" t="s">
        <v>5788</v>
      </c>
      <c r="B1106" s="2967"/>
      <c r="C1106" s="2981" t="s">
        <v>5789</v>
      </c>
      <c r="D1106" s="69" t="s">
        <v>2547</v>
      </c>
      <c r="E1106" s="2968"/>
      <c r="F1106" s="2968">
        <v>50</v>
      </c>
      <c r="G1106" s="2968" t="s">
        <v>510</v>
      </c>
      <c r="H1106" s="2968"/>
      <c r="I1106" s="2968"/>
      <c r="J1106" s="2968" t="str">
        <f t="shared" si="35"/>
        <v>GIP150-95</v>
      </c>
      <c r="K1106" s="2969" t="str">
        <f t="shared" si="34"/>
        <v>GIP150-95Ghíp nối IPC 150-95</v>
      </c>
    </row>
    <row r="1107" spans="1:11" hidden="1">
      <c r="A1107" s="2980" t="s">
        <v>2209</v>
      </c>
      <c r="B1107" s="2970"/>
      <c r="C1107" s="2981" t="s">
        <v>3586</v>
      </c>
      <c r="D1107" s="69" t="s">
        <v>2547</v>
      </c>
      <c r="E1107" s="2968"/>
      <c r="F1107" s="2968">
        <v>50</v>
      </c>
      <c r="G1107" s="2968" t="s">
        <v>510</v>
      </c>
      <c r="H1107" s="2968"/>
      <c r="I1107" s="2968"/>
      <c r="J1107" s="2968" t="str">
        <f t="shared" si="35"/>
        <v>GIP22-11</v>
      </c>
      <c r="K1107" s="2969" t="str">
        <f t="shared" si="34"/>
        <v>GIP22-11Ghíp nối IPC 22-11</v>
      </c>
    </row>
    <row r="1108" spans="1:11" hidden="1">
      <c r="A1108" s="2980" t="s">
        <v>2208</v>
      </c>
      <c r="B1108" s="2970"/>
      <c r="C1108" s="2981" t="s">
        <v>3587</v>
      </c>
      <c r="D1108" s="69" t="s">
        <v>2547</v>
      </c>
      <c r="E1108" s="2968"/>
      <c r="F1108" s="2968">
        <v>50</v>
      </c>
      <c r="G1108" s="2968" t="s">
        <v>510</v>
      </c>
      <c r="H1108" s="2968"/>
      <c r="I1108" s="2968"/>
      <c r="J1108" s="2968" t="str">
        <f t="shared" si="35"/>
        <v>GIP22-22</v>
      </c>
      <c r="K1108" s="2969" t="str">
        <f t="shared" si="34"/>
        <v>GIP22-22Ghíp nối IPC 22-22</v>
      </c>
    </row>
    <row r="1109" spans="1:11" hidden="1">
      <c r="A1109" s="2980" t="s">
        <v>1062</v>
      </c>
      <c r="B1109" s="2970"/>
      <c r="C1109" s="2981" t="s">
        <v>3588</v>
      </c>
      <c r="D1109" s="69" t="s">
        <v>2547</v>
      </c>
      <c r="E1109" s="2968"/>
      <c r="F1109" s="2968">
        <v>50</v>
      </c>
      <c r="G1109" s="2968" t="s">
        <v>510</v>
      </c>
      <c r="H1109" s="2968"/>
      <c r="I1109" s="2968"/>
      <c r="J1109" s="2968" t="str">
        <f t="shared" si="35"/>
        <v>GIP35-35</v>
      </c>
      <c r="K1109" s="2969" t="str">
        <f t="shared" si="34"/>
        <v>GIP35-35Ghíp nối IPC 35-35</v>
      </c>
    </row>
    <row r="1110" spans="1:11" hidden="1">
      <c r="A1110" s="2980" t="s">
        <v>1435</v>
      </c>
      <c r="B1110" s="2970"/>
      <c r="C1110" s="2981" t="s">
        <v>3589</v>
      </c>
      <c r="D1110" s="69" t="s">
        <v>2547</v>
      </c>
      <c r="E1110" s="2968"/>
      <c r="F1110" s="2968">
        <v>50</v>
      </c>
      <c r="G1110" s="2968" t="s">
        <v>510</v>
      </c>
      <c r="H1110" s="2968"/>
      <c r="I1110" s="2968"/>
      <c r="J1110" s="2968" t="str">
        <f t="shared" si="35"/>
        <v>GIP50-25</v>
      </c>
      <c r="K1110" s="2969" t="str">
        <f t="shared" si="34"/>
        <v>GIP50-25Ghíp nối IPC 50-25 1 bulong</v>
      </c>
    </row>
    <row r="1111" spans="1:11" hidden="1">
      <c r="A1111" s="2980" t="s">
        <v>2207</v>
      </c>
      <c r="B1111" s="2970"/>
      <c r="C1111" s="2981" t="s">
        <v>3590</v>
      </c>
      <c r="D1111" s="69" t="s">
        <v>2547</v>
      </c>
      <c r="E1111" s="2968"/>
      <c r="F1111" s="2968">
        <v>50</v>
      </c>
      <c r="G1111" s="2968" t="s">
        <v>510</v>
      </c>
      <c r="H1111" s="2968"/>
      <c r="I1111" s="2968"/>
      <c r="J1111" s="2968" t="str">
        <f t="shared" si="35"/>
        <v>GIP50-35</v>
      </c>
      <c r="K1111" s="2969" t="str">
        <f t="shared" si="34"/>
        <v>GIP50-35Ghíp nối IPC 50-35</v>
      </c>
    </row>
    <row r="1112" spans="1:11" hidden="1">
      <c r="A1112" s="2980" t="s">
        <v>2018</v>
      </c>
      <c r="B1112" s="2970"/>
      <c r="C1112" s="2981" t="s">
        <v>3593</v>
      </c>
      <c r="D1112" s="69" t="s">
        <v>2547</v>
      </c>
      <c r="E1112" s="2968"/>
      <c r="F1112" s="2968">
        <v>50</v>
      </c>
      <c r="G1112" s="2968" t="s">
        <v>510</v>
      </c>
      <c r="H1112" s="2968"/>
      <c r="I1112" s="2968"/>
      <c r="J1112" s="2968" t="str">
        <f t="shared" si="35"/>
        <v>GIP50-50</v>
      </c>
      <c r="K1112" s="2969" t="str">
        <f t="shared" si="34"/>
        <v>GIP50-50Ghíp nối IPC 50-50 1 bulong</v>
      </c>
    </row>
    <row r="1113" spans="1:11" hidden="1">
      <c r="A1113" s="2980" t="s">
        <v>2196</v>
      </c>
      <c r="B1113" s="2970"/>
      <c r="C1113" s="2981" t="s">
        <v>2380</v>
      </c>
      <c r="D1113" s="69" t="s">
        <v>2547</v>
      </c>
      <c r="E1113" s="2968"/>
      <c r="F1113" s="2968">
        <v>50</v>
      </c>
      <c r="G1113" s="2968" t="s">
        <v>510</v>
      </c>
      <c r="H1113" s="2968"/>
      <c r="I1113" s="2968"/>
      <c r="J1113" s="2968" t="str">
        <f t="shared" si="35"/>
        <v>GIP70-35</v>
      </c>
      <c r="K1113" s="2969" t="str">
        <f t="shared" si="34"/>
        <v>GIP70-35Ghíp nối IPC 70-35</v>
      </c>
    </row>
    <row r="1114" spans="1:11" hidden="1">
      <c r="A1114" s="2980" t="s">
        <v>2026</v>
      </c>
      <c r="B1114" s="2970"/>
      <c r="C1114" s="2981" t="s">
        <v>3594</v>
      </c>
      <c r="D1114" s="69" t="s">
        <v>2547</v>
      </c>
      <c r="E1114" s="2968"/>
      <c r="F1114" s="2968">
        <v>50</v>
      </c>
      <c r="G1114" s="2968" t="s">
        <v>510</v>
      </c>
      <c r="H1114" s="2968"/>
      <c r="I1114" s="2968"/>
      <c r="J1114" s="2968" t="str">
        <f t="shared" si="35"/>
        <v>GIP70-50</v>
      </c>
      <c r="K1114" s="2969" t="str">
        <f t="shared" si="34"/>
        <v>GIP70-50Ghíp nối IPC 70-50 1 bulong</v>
      </c>
    </row>
    <row r="1115" spans="1:11" hidden="1">
      <c r="A1115" s="2980" t="s">
        <v>1105</v>
      </c>
      <c r="B1115" s="2970"/>
      <c r="C1115" s="2981" t="s">
        <v>3598</v>
      </c>
      <c r="D1115" s="69" t="s">
        <v>2547</v>
      </c>
      <c r="E1115" s="2968"/>
      <c r="F1115" s="2968">
        <v>50</v>
      </c>
      <c r="G1115" s="2968" t="s">
        <v>510</v>
      </c>
      <c r="H1115" s="2968"/>
      <c r="I1115" s="2968"/>
      <c r="J1115" s="2968" t="str">
        <f t="shared" si="35"/>
        <v>GIP70-70</v>
      </c>
      <c r="K1115" s="2969" t="str">
        <f t="shared" si="34"/>
        <v>GIP70-70Ghíp nối IPC 70-70</v>
      </c>
    </row>
    <row r="1116" spans="1:11" hidden="1">
      <c r="A1116" s="2980" t="s">
        <v>1149</v>
      </c>
      <c r="B1116" s="2970"/>
      <c r="C1116" s="2981" t="s">
        <v>3603</v>
      </c>
      <c r="D1116" s="69" t="s">
        <v>2547</v>
      </c>
      <c r="E1116" s="2968"/>
      <c r="F1116" s="2968">
        <v>50</v>
      </c>
      <c r="G1116" s="2968" t="s">
        <v>510</v>
      </c>
      <c r="H1116" s="2968"/>
      <c r="I1116" s="2968"/>
      <c r="J1116" s="2968" t="str">
        <f t="shared" si="35"/>
        <v>GIP95-120</v>
      </c>
      <c r="K1116" s="2969" t="str">
        <f t="shared" si="34"/>
        <v>GIP95-120Ghíp nối IPC 95-120</v>
      </c>
    </row>
    <row r="1117" spans="1:11" hidden="1">
      <c r="A1117" s="2980" t="s">
        <v>1340</v>
      </c>
      <c r="B1117" s="2970"/>
      <c r="C1117" s="2981" t="s">
        <v>3604</v>
      </c>
      <c r="D1117" s="69" t="s">
        <v>2547</v>
      </c>
      <c r="E1117" s="2968"/>
      <c r="F1117" s="2968">
        <v>50</v>
      </c>
      <c r="G1117" s="2968" t="s">
        <v>510</v>
      </c>
      <c r="H1117" s="2968"/>
      <c r="I1117" s="2968"/>
      <c r="J1117" s="2968" t="str">
        <f t="shared" si="35"/>
        <v>GIP95-150</v>
      </c>
      <c r="K1117" s="2969" t="str">
        <f t="shared" si="34"/>
        <v>GIP95-150Ghíp nối IPC 95-150</v>
      </c>
    </row>
    <row r="1118" spans="1:11" hidden="1">
      <c r="A1118" s="2980" t="s">
        <v>4255</v>
      </c>
      <c r="B1118" s="2970"/>
      <c r="C1118" s="2981" t="s">
        <v>4792</v>
      </c>
      <c r="D1118" s="69" t="s">
        <v>2547</v>
      </c>
      <c r="E1118" s="2968"/>
      <c r="F1118" s="2968">
        <v>50</v>
      </c>
      <c r="G1118" s="2968" t="s">
        <v>510</v>
      </c>
      <c r="H1118" s="2968"/>
      <c r="I1118" s="2968"/>
      <c r="J1118" s="2968" t="str">
        <f t="shared" si="35"/>
        <v>GIP95-25</v>
      </c>
      <c r="K1118" s="2969" t="str">
        <f t="shared" si="34"/>
        <v>GIP95-25Ghíp nối IPC 95-25 (2 bulong)</v>
      </c>
    </row>
    <row r="1119" spans="1:11" hidden="1">
      <c r="A1119" s="2980" t="s">
        <v>858</v>
      </c>
      <c r="B1119" s="2970"/>
      <c r="C1119" s="2981" t="s">
        <v>3591</v>
      </c>
      <c r="D1119" s="69" t="s">
        <v>2547</v>
      </c>
      <c r="E1119" s="2968"/>
      <c r="F1119" s="2968">
        <v>50</v>
      </c>
      <c r="G1119" s="2968" t="s">
        <v>510</v>
      </c>
      <c r="H1119" s="2968"/>
      <c r="I1119" s="2968"/>
      <c r="J1119" s="2968" t="str">
        <f t="shared" si="35"/>
        <v>GIP95-35</v>
      </c>
      <c r="K1119" s="2969" t="str">
        <f t="shared" si="34"/>
        <v>GIP95-35Ghíp nối IPC 95-35</v>
      </c>
    </row>
    <row r="1120" spans="1:11" hidden="1">
      <c r="A1120" s="2980" t="s">
        <v>1150</v>
      </c>
      <c r="B1120" s="2970"/>
      <c r="C1120" s="2981" t="s">
        <v>3595</v>
      </c>
      <c r="D1120" s="69" t="s">
        <v>2547</v>
      </c>
      <c r="E1120" s="2968"/>
      <c r="F1120" s="2968">
        <v>50</v>
      </c>
      <c r="G1120" s="2968" t="s">
        <v>510</v>
      </c>
      <c r="H1120" s="2968"/>
      <c r="I1120" s="2968"/>
      <c r="J1120" s="2968" t="str">
        <f t="shared" si="35"/>
        <v>GIP95-50</v>
      </c>
      <c r="K1120" s="2969" t="str">
        <f t="shared" si="34"/>
        <v>GIP95-50Ghíp nối IPC 95-50 1 bulong</v>
      </c>
    </row>
    <row r="1121" spans="1:11" hidden="1">
      <c r="A1121" s="2980" t="s">
        <v>2027</v>
      </c>
      <c r="B1121" s="2970"/>
      <c r="C1121" s="2981" t="s">
        <v>3599</v>
      </c>
      <c r="D1121" s="69" t="s">
        <v>2547</v>
      </c>
      <c r="E1121" s="2968"/>
      <c r="F1121" s="2968">
        <v>50</v>
      </c>
      <c r="G1121" s="2968" t="s">
        <v>510</v>
      </c>
      <c r="H1121" s="2968"/>
      <c r="I1121" s="2968"/>
      <c r="J1121" s="2968" t="str">
        <f t="shared" si="35"/>
        <v>GIP95-70</v>
      </c>
      <c r="K1121" s="2969" t="str">
        <f t="shared" si="34"/>
        <v>GIP95-70Ghíp nối IPC 95-70</v>
      </c>
    </row>
    <row r="1122" spans="1:11" hidden="1">
      <c r="A1122" s="2980" t="s">
        <v>1104</v>
      </c>
      <c r="B1122" s="2970"/>
      <c r="C1122" s="2981" t="s">
        <v>3602</v>
      </c>
      <c r="D1122" s="69" t="s">
        <v>2547</v>
      </c>
      <c r="E1122" s="2968"/>
      <c r="F1122" s="2968">
        <v>50</v>
      </c>
      <c r="G1122" s="2968" t="s">
        <v>510</v>
      </c>
      <c r="H1122" s="2968"/>
      <c r="I1122" s="2968"/>
      <c r="J1122" s="2968" t="str">
        <f t="shared" si="35"/>
        <v>GIP95-95</v>
      </c>
      <c r="K1122" s="2969" t="str">
        <f t="shared" si="34"/>
        <v>GIP95-95Ghíp nối IPC 95-95</v>
      </c>
    </row>
    <row r="1123" spans="1:11" hidden="1">
      <c r="A1123" s="2966" t="s">
        <v>5065</v>
      </c>
      <c r="B1123" s="2967" t="s">
        <v>5066</v>
      </c>
      <c r="C1123" s="2981" t="s">
        <v>5067</v>
      </c>
      <c r="D1123" s="69" t="s">
        <v>2433</v>
      </c>
      <c r="E1123" s="2968"/>
      <c r="F1123" s="2968">
        <v>50</v>
      </c>
      <c r="G1123" s="2968" t="s">
        <v>510</v>
      </c>
      <c r="H1123" s="2968"/>
      <c r="I1123" s="2968"/>
      <c r="J1123" s="2968" t="str">
        <f t="shared" si="35"/>
        <v>LGIATFCO</v>
      </c>
      <c r="K1123" s="2969" t="str">
        <f t="shared" si="34"/>
        <v>LGIATFCOGiá chữ "T" lắp FCO, LA (5,65kg)</v>
      </c>
    </row>
    <row r="1124" spans="1:11" hidden="1">
      <c r="A1124" s="2966" t="s">
        <v>147</v>
      </c>
      <c r="B1124" s="2967" t="s">
        <v>1744</v>
      </c>
      <c r="C1124" s="2981" t="s">
        <v>2819</v>
      </c>
      <c r="D1124" s="69" t="s">
        <v>1624</v>
      </c>
      <c r="E1124" s="2968"/>
      <c r="F1124" s="2968">
        <v>50</v>
      </c>
      <c r="G1124" s="2968" t="s">
        <v>510</v>
      </c>
      <c r="H1124" s="2968"/>
      <c r="I1124" s="2968"/>
      <c r="J1124" s="2968" t="str">
        <f t="shared" si="35"/>
        <v>GIATFCO</v>
      </c>
      <c r="K1124" s="2969" t="str">
        <f t="shared" si="34"/>
        <v>GIATFCOGiá chữ "T" lắp FCO, LA (V50x50x5)</v>
      </c>
    </row>
    <row r="1125" spans="1:11" hidden="1">
      <c r="A1125" s="2966" t="s">
        <v>1452</v>
      </c>
      <c r="B1125" s="2967" t="s">
        <v>276</v>
      </c>
      <c r="C1125" s="2981" t="s">
        <v>2817</v>
      </c>
      <c r="D1125" s="69" t="s">
        <v>2433</v>
      </c>
      <c r="E1125" s="2968"/>
      <c r="F1125" s="2968">
        <v>50</v>
      </c>
      <c r="G1125" s="2968" t="s">
        <v>510</v>
      </c>
      <c r="H1125" s="2968"/>
      <c r="I1125" s="2968"/>
      <c r="J1125" s="2968" t="str">
        <f t="shared" si="35"/>
        <v>GDFCO</v>
      </c>
      <c r="K1125" s="2969" t="str">
        <f t="shared" si="34"/>
        <v>GDFCOGiá chữ "T" lắp FCO, LA (V63x63x6)</v>
      </c>
    </row>
    <row r="1126" spans="1:11" hidden="1">
      <c r="A1126" s="2966" t="s">
        <v>5636</v>
      </c>
      <c r="B1126" s="2967" t="s">
        <v>688</v>
      </c>
      <c r="C1126" s="2981" t="s">
        <v>6916</v>
      </c>
      <c r="D1126" s="69" t="s">
        <v>3442</v>
      </c>
      <c r="E1126" s="2968"/>
      <c r="F1126" s="2968">
        <v>50</v>
      </c>
      <c r="G1126" s="2968" t="s">
        <v>510</v>
      </c>
      <c r="H1126" s="2968"/>
      <c r="I1126" s="2968"/>
      <c r="J1126" s="2968" t="str">
        <f t="shared" si="35"/>
        <v>GTMBA100</v>
      </c>
      <c r="K1126" s="2969" t="str">
        <f t="shared" si="34"/>
        <v>GTMBA100Giá chùm treo máy biến áp 3x100</v>
      </c>
    </row>
    <row r="1127" spans="1:11" hidden="1">
      <c r="A1127" s="2966" t="s">
        <v>1582</v>
      </c>
      <c r="B1127" s="2967" t="s">
        <v>276</v>
      </c>
      <c r="C1127" s="2981" t="s">
        <v>4337</v>
      </c>
      <c r="D1127" s="69" t="s">
        <v>3442</v>
      </c>
      <c r="E1127" s="2968"/>
      <c r="F1127" s="2968">
        <v>50</v>
      </c>
      <c r="G1127" s="2968" t="s">
        <v>510</v>
      </c>
      <c r="H1127" s="2968"/>
      <c r="I1127" s="2968"/>
      <c r="J1127" s="2968" t="str">
        <f t="shared" si="35"/>
        <v>GTMBA15</v>
      </c>
      <c r="K1127" s="2969" t="str">
        <f t="shared" si="34"/>
        <v>GTMBA15Giá chùm treo máy biến áp 3x15</v>
      </c>
    </row>
    <row r="1128" spans="1:11" hidden="1">
      <c r="A1128" s="2966" t="s">
        <v>996</v>
      </c>
      <c r="B1128" s="2967" t="s">
        <v>276</v>
      </c>
      <c r="C1128" s="2981" t="s">
        <v>4338</v>
      </c>
      <c r="D1128" s="69" t="s">
        <v>2547</v>
      </c>
      <c r="E1128" s="2968"/>
      <c r="F1128" s="2968">
        <v>50</v>
      </c>
      <c r="G1128" s="2968" t="s">
        <v>510</v>
      </c>
      <c r="H1128" s="2968"/>
      <c r="I1128" s="2968"/>
      <c r="J1128" s="2968" t="str">
        <f t="shared" si="35"/>
        <v>GTMBA25</v>
      </c>
      <c r="K1128" s="2969" t="str">
        <f t="shared" si="34"/>
        <v>GTMBA25Giá chùm treo máy biến áp 3x25</v>
      </c>
    </row>
    <row r="1129" spans="1:11" hidden="1">
      <c r="A1129" s="2966" t="s">
        <v>1583</v>
      </c>
      <c r="B1129" s="2967" t="s">
        <v>276</v>
      </c>
      <c r="C1129" s="2981" t="s">
        <v>4339</v>
      </c>
      <c r="D1129" s="69" t="s">
        <v>2547</v>
      </c>
      <c r="E1129" s="2968"/>
      <c r="F1129" s="2968">
        <v>50</v>
      </c>
      <c r="G1129" s="2968" t="s">
        <v>510</v>
      </c>
      <c r="H1129" s="2968"/>
      <c r="I1129" s="2968"/>
      <c r="J1129" s="2968" t="str">
        <f t="shared" si="35"/>
        <v>GTMBA37,5</v>
      </c>
      <c r="K1129" s="2969" t="str">
        <f t="shared" si="34"/>
        <v>GTMBA37,5Giá chùm treo máy biến áp 3x37,5</v>
      </c>
    </row>
    <row r="1130" spans="1:11" hidden="1">
      <c r="A1130" s="2966" t="s">
        <v>1037</v>
      </c>
      <c r="B1130" s="2967"/>
      <c r="C1130" s="2966" t="s">
        <v>4340</v>
      </c>
      <c r="D1130" s="69" t="s">
        <v>3442</v>
      </c>
      <c r="E1130" s="2968"/>
      <c r="F1130" s="2968">
        <v>50</v>
      </c>
      <c r="G1130" s="2968" t="s">
        <v>510</v>
      </c>
      <c r="H1130" s="2968"/>
      <c r="I1130" s="2968"/>
      <c r="J1130" s="2968" t="str">
        <f t="shared" si="35"/>
        <v>GTMBA</v>
      </c>
      <c r="K1130" s="2969" t="str">
        <f t="shared" si="34"/>
        <v>GTMBAGiá chùm treo máy biến áp 3x50</v>
      </c>
    </row>
    <row r="1131" spans="1:11" hidden="1">
      <c r="A1131" s="2966" t="s">
        <v>4908</v>
      </c>
      <c r="B1131" s="2967" t="s">
        <v>276</v>
      </c>
      <c r="C1131" s="2981" t="s">
        <v>4340</v>
      </c>
      <c r="D1131" s="69" t="s">
        <v>2547</v>
      </c>
      <c r="E1131" s="2968"/>
      <c r="F1131" s="2968">
        <v>50</v>
      </c>
      <c r="G1131" s="2968" t="s">
        <v>510</v>
      </c>
      <c r="H1131" s="2968"/>
      <c r="I1131" s="2968"/>
      <c r="J1131" s="2968" t="str">
        <f t="shared" si="35"/>
        <v>GTMBA50</v>
      </c>
      <c r="K1131" s="2969" t="str">
        <f t="shared" si="34"/>
        <v>GTMBA50Giá chùm treo máy biến áp 3x50</v>
      </c>
    </row>
    <row r="1132" spans="1:11" hidden="1">
      <c r="A1132" s="2966" t="s">
        <v>5633</v>
      </c>
      <c r="B1132" s="2967"/>
      <c r="C1132" s="2981" t="s">
        <v>6917</v>
      </c>
      <c r="D1132" s="69" t="s">
        <v>3442</v>
      </c>
      <c r="E1132" s="2968"/>
      <c r="F1132" s="2968">
        <v>50</v>
      </c>
      <c r="G1132" s="2968" t="s">
        <v>510</v>
      </c>
      <c r="H1132" s="2968"/>
      <c r="I1132" s="2968"/>
      <c r="J1132" s="2968" t="str">
        <f t="shared" si="35"/>
        <v>GTMBA75</v>
      </c>
      <c r="K1132" s="2969" t="str">
        <f t="shared" si="34"/>
        <v>GTMBA75Giá chùm treo máy biến áp 3x75</v>
      </c>
    </row>
    <row r="1133" spans="1:11" hidden="1">
      <c r="A1133" s="2966" t="s">
        <v>1172</v>
      </c>
      <c r="B1133" s="2967"/>
      <c r="C1133" s="2981" t="s">
        <v>2821</v>
      </c>
      <c r="D1133" s="69" t="s">
        <v>2243</v>
      </c>
      <c r="E1133" s="2968"/>
      <c r="F1133" s="2968">
        <v>3000</v>
      </c>
      <c r="G1133" s="2968" t="s">
        <v>510</v>
      </c>
      <c r="H1133" s="2968"/>
      <c r="I1133" s="2968"/>
      <c r="J1133" s="2968" t="str">
        <f t="shared" si="35"/>
        <v>GCST</v>
      </c>
      <c r="K1133" s="2969" t="str">
        <f t="shared" si="34"/>
        <v>GCSTGia công sắt thép</v>
      </c>
    </row>
    <row r="1134" spans="1:11" hidden="1">
      <c r="A1134" s="2966" t="s">
        <v>1635</v>
      </c>
      <c r="B1134" s="69" t="s">
        <v>2087</v>
      </c>
      <c r="C1134" s="2983" t="s">
        <v>3571</v>
      </c>
      <c r="D1134" s="69" t="s">
        <v>3570</v>
      </c>
      <c r="E1134" s="2968"/>
      <c r="F1134" s="2968">
        <v>50</v>
      </c>
      <c r="G1134" s="2968" t="s">
        <v>510</v>
      </c>
      <c r="H1134" s="2968"/>
      <c r="I1134" s="2968"/>
      <c r="J1134" s="2968" t="str">
        <f t="shared" si="35"/>
        <v>LBbh</v>
      </c>
      <c r="K1134" s="2969" t="str">
        <f t="shared" si="34"/>
        <v>LBbhGia công và lắp dựng bảng báo hiệu</v>
      </c>
    </row>
    <row r="1135" spans="1:11" hidden="1">
      <c r="A1135" s="2966" t="s">
        <v>867</v>
      </c>
      <c r="B1135" s="69" t="s">
        <v>214</v>
      </c>
      <c r="C1135" s="2983" t="s">
        <v>3569</v>
      </c>
      <c r="D1135" s="69" t="s">
        <v>3570</v>
      </c>
      <c r="E1135" s="2968"/>
      <c r="F1135" s="2968">
        <v>50</v>
      </c>
      <c r="G1135" s="2968" t="s">
        <v>510</v>
      </c>
      <c r="H1135" s="2968"/>
      <c r="I1135" s="2968"/>
      <c r="J1135" s="2968" t="str">
        <f t="shared" si="35"/>
        <v>LCbh9</v>
      </c>
      <c r="K1135" s="2969" t="str">
        <f t="shared" si="34"/>
        <v>LCbh9Gia công và lắp dựng cột báo hiệu cao 9m</v>
      </c>
    </row>
    <row r="1136" spans="1:11" hidden="1">
      <c r="A1136" s="2966" t="s">
        <v>9</v>
      </c>
      <c r="B1136" s="2973" t="s">
        <v>1770</v>
      </c>
      <c r="C1136" s="2983" t="s">
        <v>3184</v>
      </c>
      <c r="D1136" s="69" t="s">
        <v>2243</v>
      </c>
      <c r="E1136" s="2968"/>
      <c r="F1136" s="2968">
        <v>3000</v>
      </c>
      <c r="G1136" s="2968" t="s">
        <v>510</v>
      </c>
      <c r="H1136" s="2968"/>
      <c r="I1136" s="2968"/>
      <c r="J1136" s="2968" t="str">
        <f t="shared" si="35"/>
        <v>LCT10</v>
      </c>
      <c r="K1136" s="2969" t="str">
        <f t="shared" si="34"/>
        <v>LCT10Gia công và lắp dựng cốt thép D&lt;=10</v>
      </c>
    </row>
    <row r="1137" spans="1:11" hidden="1">
      <c r="A1137" s="2966" t="s">
        <v>583</v>
      </c>
      <c r="B1137" s="2973" t="s">
        <v>883</v>
      </c>
      <c r="C1137" s="2983" t="s">
        <v>3185</v>
      </c>
      <c r="D1137" s="69" t="s">
        <v>2243</v>
      </c>
      <c r="E1137" s="2968"/>
      <c r="F1137" s="2968">
        <v>3000</v>
      </c>
      <c r="G1137" s="2968" t="s">
        <v>510</v>
      </c>
      <c r="H1137" s="2968"/>
      <c r="I1137" s="2968"/>
      <c r="J1137" s="2968" t="str">
        <f t="shared" si="35"/>
        <v>LCT18</v>
      </c>
      <c r="K1137" s="2969" t="str">
        <f t="shared" si="34"/>
        <v>LCT18Gia công và lắp dựng cốt thép D&lt;=18</v>
      </c>
    </row>
    <row r="1138" spans="1:11" hidden="1">
      <c r="A1138" s="2966" t="s">
        <v>1802</v>
      </c>
      <c r="B1138" s="2999" t="s">
        <v>1803</v>
      </c>
      <c r="C1138" s="2983" t="s">
        <v>3186</v>
      </c>
      <c r="D1138" s="69" t="s">
        <v>2243</v>
      </c>
      <c r="E1138" s="2968"/>
      <c r="F1138" s="2968">
        <v>3000</v>
      </c>
      <c r="G1138" s="2968" t="s">
        <v>510</v>
      </c>
      <c r="H1138" s="2968"/>
      <c r="I1138" s="2968"/>
      <c r="J1138" s="2968" t="str">
        <f t="shared" si="35"/>
        <v>LCT&gt;18</v>
      </c>
      <c r="K1138" s="2969" t="str">
        <f t="shared" si="34"/>
        <v>LCT&gt;18Gia công và lắp dựng cốt thép D&gt;18</v>
      </c>
    </row>
    <row r="1139" spans="1:11" hidden="1">
      <c r="A1139" s="2966" t="s">
        <v>5397</v>
      </c>
      <c r="B1139" s="2967" t="s">
        <v>5398</v>
      </c>
      <c r="C1139" s="2966" t="s">
        <v>5399</v>
      </c>
      <c r="D1139" s="69" t="s">
        <v>1955</v>
      </c>
      <c r="E1139" s="2968"/>
      <c r="F1139" s="2968">
        <v>3000</v>
      </c>
      <c r="G1139" s="2968" t="s">
        <v>510</v>
      </c>
      <c r="H1139" s="2968"/>
      <c r="I1139" s="2968"/>
      <c r="J1139" s="2968" t="str">
        <f t="shared" si="35"/>
        <v>LDKhungcua</v>
      </c>
      <c r="K1139" s="2969" t="str">
        <f t="shared" si="34"/>
        <v>LDKhungcuaGia công và lắp dựng khung cửa sắt</v>
      </c>
    </row>
    <row r="1140" spans="1:11" hidden="1">
      <c r="A1140" s="2966" t="s">
        <v>10</v>
      </c>
      <c r="B1140" s="2973" t="s">
        <v>53</v>
      </c>
      <c r="C1140" s="2983" t="s">
        <v>3187</v>
      </c>
      <c r="D1140" s="69" t="s">
        <v>1955</v>
      </c>
      <c r="E1140" s="2968"/>
      <c r="F1140" s="2968">
        <v>3000</v>
      </c>
      <c r="G1140" s="2968" t="s">
        <v>510</v>
      </c>
      <c r="H1140" s="2968"/>
      <c r="I1140" s="2968"/>
      <c r="J1140" s="2968" t="str">
        <f t="shared" si="35"/>
        <v>LDVANK</v>
      </c>
      <c r="K1140" s="2969" t="str">
        <f t="shared" si="34"/>
        <v>LDVANKGia công và lắp dựng ván khuôn</v>
      </c>
    </row>
    <row r="1141" spans="1:11" hidden="1">
      <c r="A1141" s="2966" t="s">
        <v>402</v>
      </c>
      <c r="B1141" s="69"/>
      <c r="C1141" s="2983" t="s">
        <v>3572</v>
      </c>
      <c r="D1141" s="69" t="s">
        <v>3355</v>
      </c>
      <c r="E1141" s="2968"/>
      <c r="F1141" s="2968">
        <v>50</v>
      </c>
      <c r="G1141" s="2968" t="s">
        <v>510</v>
      </c>
      <c r="H1141" s="2968"/>
      <c r="I1141" s="2968"/>
      <c r="J1141" s="2968" t="str">
        <f t="shared" si="35"/>
        <v>LTC</v>
      </c>
      <c r="K1141" s="2969" t="str">
        <f t="shared" si="34"/>
        <v>LTCGia công và lắp thanh cái và phụ kiện trong tủ</v>
      </c>
    </row>
    <row r="1142" spans="1:11" hidden="1">
      <c r="A1142" s="2966" t="s">
        <v>1813</v>
      </c>
      <c r="B1142" s="3000"/>
      <c r="C1142" s="2981" t="s">
        <v>3441</v>
      </c>
      <c r="D1142" s="69" t="s">
        <v>2695</v>
      </c>
      <c r="E1142" s="2968"/>
      <c r="F1142" s="2968">
        <v>50</v>
      </c>
      <c r="G1142" s="2968" t="s">
        <v>510</v>
      </c>
      <c r="H1142" s="2968"/>
      <c r="I1142" s="2968"/>
      <c r="J1142" s="2968" t="str">
        <f t="shared" si="35"/>
        <v>GiacapHT</v>
      </c>
      <c r="K1142" s="2969" t="str">
        <f t="shared" si="34"/>
        <v xml:space="preserve">GiacapHTGiá đỡ cáp hạ thế </v>
      </c>
    </row>
    <row r="1143" spans="1:11" hidden="1">
      <c r="A1143" s="2966" t="s">
        <v>903</v>
      </c>
      <c r="B1143" s="2999"/>
      <c r="C1143" s="2981" t="s">
        <v>3441</v>
      </c>
      <c r="D1143" s="69" t="s">
        <v>2433</v>
      </c>
      <c r="E1143" s="2968"/>
      <c r="F1143" s="2968">
        <v>50</v>
      </c>
      <c r="G1143" s="2968" t="s">
        <v>510</v>
      </c>
      <c r="H1143" s="2968"/>
      <c r="I1143" s="2968"/>
      <c r="J1143" s="2968" t="str">
        <f t="shared" si="35"/>
        <v>GiacapHT-1m</v>
      </c>
      <c r="K1143" s="2969" t="str">
        <f t="shared" si="34"/>
        <v xml:space="preserve">GiacapHT-1mGiá đỡ cáp hạ thế </v>
      </c>
    </row>
    <row r="1144" spans="1:11" hidden="1">
      <c r="A1144" s="2966" t="s">
        <v>1447</v>
      </c>
      <c r="B1144" s="3000"/>
      <c r="C1144" s="2981" t="s">
        <v>3441</v>
      </c>
      <c r="D1144" s="69" t="s">
        <v>2433</v>
      </c>
      <c r="E1144" s="2968"/>
      <c r="F1144" s="2968">
        <v>50</v>
      </c>
      <c r="G1144" s="2968" t="s">
        <v>510</v>
      </c>
      <c r="H1144" s="2968"/>
      <c r="I1144" s="2968"/>
      <c r="J1144" s="2968" t="str">
        <f t="shared" si="35"/>
        <v>GiacapHT-2m</v>
      </c>
      <c r="K1144" s="2969" t="str">
        <f t="shared" si="34"/>
        <v xml:space="preserve">GiacapHT-2mGiá đỡ cáp hạ thế </v>
      </c>
    </row>
    <row r="1145" spans="1:11" hidden="1">
      <c r="A1145" s="2966" t="s">
        <v>163</v>
      </c>
      <c r="B1145" s="3000"/>
      <c r="C1145" s="2981" t="s">
        <v>3441</v>
      </c>
      <c r="D1145" s="69" t="s">
        <v>2433</v>
      </c>
      <c r="E1145" s="2968"/>
      <c r="F1145" s="2968">
        <v>50</v>
      </c>
      <c r="G1145" s="2968" t="s">
        <v>510</v>
      </c>
      <c r="H1145" s="2968"/>
      <c r="I1145" s="2968"/>
      <c r="J1145" s="2968" t="str">
        <f t="shared" si="35"/>
        <v>GiacapHT-30m</v>
      </c>
      <c r="K1145" s="2969" t="str">
        <f t="shared" si="34"/>
        <v xml:space="preserve">GiacapHT-30mGiá đỡ cáp hạ thế </v>
      </c>
    </row>
    <row r="1146" spans="1:11" hidden="1">
      <c r="A1146" s="2966" t="s">
        <v>2227</v>
      </c>
      <c r="B1146" s="3000"/>
      <c r="C1146" s="2981" t="s">
        <v>3441</v>
      </c>
      <c r="D1146" s="69" t="s">
        <v>2433</v>
      </c>
      <c r="E1146" s="2968"/>
      <c r="F1146" s="2968">
        <v>50</v>
      </c>
      <c r="G1146" s="2968" t="s">
        <v>510</v>
      </c>
      <c r="H1146" s="2968"/>
      <c r="I1146" s="2968"/>
      <c r="J1146" s="2968" t="str">
        <f t="shared" si="35"/>
        <v>GiacapHT-3m</v>
      </c>
      <c r="K1146" s="2969" t="str">
        <f t="shared" si="34"/>
        <v xml:space="preserve">GiacapHT-3mGiá đỡ cáp hạ thế </v>
      </c>
    </row>
    <row r="1147" spans="1:11" hidden="1">
      <c r="A1147" s="2966" t="s">
        <v>247</v>
      </c>
      <c r="B1147" s="3000"/>
      <c r="C1147" s="2981" t="s">
        <v>3441</v>
      </c>
      <c r="D1147" s="69" t="s">
        <v>2433</v>
      </c>
      <c r="E1147" s="2968"/>
      <c r="F1147" s="2968">
        <v>50</v>
      </c>
      <c r="G1147" s="2968" t="s">
        <v>510</v>
      </c>
      <c r="H1147" s="2968"/>
      <c r="I1147" s="2968"/>
      <c r="J1147" s="2968" t="str">
        <f t="shared" si="35"/>
        <v>GiacapHT-4m</v>
      </c>
      <c r="K1147" s="2969" t="str">
        <f t="shared" si="34"/>
        <v xml:space="preserve">GiacapHT-4mGiá đỡ cáp hạ thế </v>
      </c>
    </row>
    <row r="1148" spans="1:11" hidden="1">
      <c r="A1148" s="2966" t="s">
        <v>1625</v>
      </c>
      <c r="B1148" s="2999"/>
      <c r="C1148" s="2981" t="s">
        <v>3434</v>
      </c>
      <c r="D1148" s="69" t="s">
        <v>2433</v>
      </c>
      <c r="E1148" s="2968"/>
      <c r="F1148" s="2968">
        <v>50</v>
      </c>
      <c r="G1148" s="2968" t="s">
        <v>510</v>
      </c>
      <c r="H1148" s="2968"/>
      <c r="I1148" s="2968"/>
      <c r="J1148" s="2968" t="str">
        <f t="shared" si="35"/>
        <v>GCAP</v>
      </c>
      <c r="K1148" s="2969" t="str">
        <f t="shared" si="34"/>
        <v>GCAPGiá đỡ cáp ngầm (V63x6)</v>
      </c>
    </row>
    <row r="1149" spans="1:11" hidden="1">
      <c r="A1149" s="2966" t="s">
        <v>6918</v>
      </c>
      <c r="B1149" s="3001"/>
      <c r="C1149" s="2981" t="s">
        <v>3434</v>
      </c>
      <c r="D1149" s="69" t="s">
        <v>2379</v>
      </c>
      <c r="E1149" s="2968"/>
      <c r="F1149" s="2968">
        <v>50</v>
      </c>
      <c r="G1149" s="2968" t="s">
        <v>510</v>
      </c>
      <c r="H1149" s="2968"/>
      <c r="I1149" s="2968"/>
      <c r="J1149" s="2968" t="str">
        <f t="shared" si="35"/>
        <v>GDCN</v>
      </c>
      <c r="K1149" s="2969" t="str">
        <f t="shared" si="34"/>
        <v>GDCNGiá đỡ cáp ngầm (V63x6)</v>
      </c>
    </row>
    <row r="1150" spans="1:11" hidden="1">
      <c r="A1150" s="2966" t="s">
        <v>2132</v>
      </c>
      <c r="B1150" s="2999"/>
      <c r="C1150" s="2981" t="s">
        <v>3440</v>
      </c>
      <c r="D1150" s="69" t="s">
        <v>2433</v>
      </c>
      <c r="E1150" s="2968"/>
      <c r="F1150" s="2968">
        <v>50</v>
      </c>
      <c r="G1150" s="2968" t="s">
        <v>510</v>
      </c>
      <c r="H1150" s="2968"/>
      <c r="I1150" s="2968"/>
      <c r="J1150" s="2968" t="str">
        <f t="shared" si="35"/>
        <v>GiacapTHT-10m</v>
      </c>
      <c r="K1150" s="2969" t="str">
        <f t="shared" si="34"/>
        <v>GiacapTHT-10mGiá đỡ cáp trung hạ thế</v>
      </c>
    </row>
    <row r="1151" spans="1:11" hidden="1">
      <c r="A1151" s="2966" t="s">
        <v>558</v>
      </c>
      <c r="B1151" s="2999"/>
      <c r="C1151" s="2981" t="s">
        <v>3439</v>
      </c>
      <c r="D1151" s="69" t="s">
        <v>2433</v>
      </c>
      <c r="E1151" s="2968"/>
      <c r="F1151" s="2968">
        <v>50</v>
      </c>
      <c r="G1151" s="2968" t="s">
        <v>510</v>
      </c>
      <c r="H1151" s="2968"/>
      <c r="I1151" s="2968"/>
      <c r="J1151" s="2968" t="str">
        <f t="shared" si="35"/>
        <v>GiacapTT-15m</v>
      </c>
      <c r="K1151" s="2969" t="str">
        <f t="shared" si="34"/>
        <v>GiacapTT-15mGiá đỡ cáp trung thế</v>
      </c>
    </row>
    <row r="1152" spans="1:11" hidden="1">
      <c r="A1152" s="2966" t="s">
        <v>1124</v>
      </c>
      <c r="B1152" s="2999"/>
      <c r="C1152" s="2981" t="s">
        <v>3439</v>
      </c>
      <c r="D1152" s="69" t="s">
        <v>2433</v>
      </c>
      <c r="E1152" s="2968"/>
      <c r="F1152" s="2968">
        <v>50</v>
      </c>
      <c r="G1152" s="2968" t="s">
        <v>510</v>
      </c>
      <c r="H1152" s="2968"/>
      <c r="I1152" s="2968"/>
      <c r="J1152" s="2968" t="str">
        <f t="shared" si="35"/>
        <v>GiacapTT-2m</v>
      </c>
      <c r="K1152" s="2969" t="str">
        <f t="shared" si="34"/>
        <v>GiacapTT-2mGiá đỡ cáp trung thế</v>
      </c>
    </row>
    <row r="1153" spans="1:11" hidden="1">
      <c r="A1153" s="2966" t="s">
        <v>1226</v>
      </c>
      <c r="B1153" s="2999"/>
      <c r="C1153" s="2981" t="s">
        <v>3439</v>
      </c>
      <c r="D1153" s="69" t="s">
        <v>2433</v>
      </c>
      <c r="E1153" s="2968"/>
      <c r="F1153" s="2968">
        <v>50</v>
      </c>
      <c r="G1153" s="2968" t="s">
        <v>510</v>
      </c>
      <c r="H1153" s="2968"/>
      <c r="I1153" s="2968"/>
      <c r="J1153" s="2968" t="str">
        <f t="shared" si="35"/>
        <v>GiacapTT-6m</v>
      </c>
      <c r="K1153" s="2969" t="str">
        <f t="shared" si="34"/>
        <v>GiacapTT-6mGiá đỡ cáp trung thế</v>
      </c>
    </row>
    <row r="1154" spans="1:11" hidden="1">
      <c r="A1154" s="2966" t="s">
        <v>847</v>
      </c>
      <c r="B1154" s="2999"/>
      <c r="C1154" s="2981" t="s">
        <v>3439</v>
      </c>
      <c r="D1154" s="69" t="s">
        <v>2433</v>
      </c>
      <c r="E1154" s="2968"/>
      <c r="F1154" s="2968">
        <v>50</v>
      </c>
      <c r="G1154" s="2968" t="s">
        <v>510</v>
      </c>
      <c r="H1154" s="2968"/>
      <c r="I1154" s="2968"/>
      <c r="J1154" s="2968" t="str">
        <f t="shared" si="35"/>
        <v>GiacapTT-8m</v>
      </c>
      <c r="K1154" s="2969" t="str">
        <f t="shared" si="34"/>
        <v>GiacapTT-8mGiá đỡ cáp trung thế</v>
      </c>
    </row>
    <row r="1155" spans="1:11" hidden="1">
      <c r="A1155" s="2966" t="s">
        <v>1722</v>
      </c>
      <c r="B1155" s="2973"/>
      <c r="C1155" s="2966" t="s">
        <v>4336</v>
      </c>
      <c r="D1155" s="69" t="s">
        <v>2433</v>
      </c>
      <c r="E1155" s="2968"/>
      <c r="F1155" s="2968">
        <v>50</v>
      </c>
      <c r="G1155" s="2968" t="s">
        <v>510</v>
      </c>
      <c r="H1155" s="2968"/>
      <c r="I1155" s="2968"/>
      <c r="J1155" s="2968" t="str">
        <f t="shared" si="35"/>
        <v>GSXTg</v>
      </c>
      <c r="K1155" s="2969" t="str">
        <f t="shared" ref="K1155:K1218" si="36">A1155&amp;C1155</f>
        <v>GSXTgGiá lắp sứ xuyên tường</v>
      </c>
    </row>
    <row r="1156" spans="1:11" hidden="1">
      <c r="A1156" s="2966" t="s">
        <v>1259</v>
      </c>
      <c r="B1156" s="3001"/>
      <c r="C1156" s="2981" t="s">
        <v>2820</v>
      </c>
      <c r="D1156" s="69" t="s">
        <v>2433</v>
      </c>
      <c r="E1156" s="2968"/>
      <c r="F1156" s="2968">
        <v>50</v>
      </c>
      <c r="G1156" s="2968" t="s">
        <v>510</v>
      </c>
      <c r="H1156" s="2968"/>
      <c r="I1156" s="2968"/>
      <c r="J1156" s="2968" t="str">
        <f t="shared" ref="J1156:J1219" si="37">A1156</f>
        <v>Gianoi1600</v>
      </c>
      <c r="K1156" s="2969" t="str">
        <f t="shared" si="36"/>
        <v>Gianoi1600Giá nới + Thanh cái tủ CB</v>
      </c>
    </row>
    <row r="1157" spans="1:11" hidden="1">
      <c r="A1157" s="2966" t="s">
        <v>1260</v>
      </c>
      <c r="B1157" s="3001"/>
      <c r="C1157" s="2981" t="s">
        <v>2820</v>
      </c>
      <c r="D1157" s="69" t="s">
        <v>2433</v>
      </c>
      <c r="E1157" s="2968"/>
      <c r="F1157" s="2968">
        <v>50</v>
      </c>
      <c r="G1157" s="2968" t="s">
        <v>510</v>
      </c>
      <c r="H1157" s="2968"/>
      <c r="I1157" s="2968"/>
      <c r="J1157" s="2968" t="str">
        <f t="shared" si="37"/>
        <v>Gianoi2500</v>
      </c>
      <c r="K1157" s="2969" t="str">
        <f t="shared" si="36"/>
        <v>Gianoi2500Giá nới + Thanh cái tủ CB</v>
      </c>
    </row>
    <row r="1158" spans="1:11" hidden="1">
      <c r="A1158" s="2966" t="s">
        <v>1531</v>
      </c>
      <c r="B1158" s="3001"/>
      <c r="C1158" s="2981" t="s">
        <v>2820</v>
      </c>
      <c r="D1158" s="69" t="s">
        <v>2433</v>
      </c>
      <c r="E1158" s="2968"/>
      <c r="F1158" s="2968">
        <v>50</v>
      </c>
      <c r="G1158" s="2968" t="s">
        <v>510</v>
      </c>
      <c r="H1158" s="2968"/>
      <c r="I1158" s="2968"/>
      <c r="J1158" s="2968" t="str">
        <f t="shared" si="37"/>
        <v>GianoiCB</v>
      </c>
      <c r="K1158" s="2969" t="str">
        <f t="shared" si="36"/>
        <v>GianoiCBGiá nới + Thanh cái tủ CB</v>
      </c>
    </row>
    <row r="1159" spans="1:11" hidden="1">
      <c r="A1159" s="2966" t="s">
        <v>1641</v>
      </c>
      <c r="B1159" s="3001" t="s">
        <v>276</v>
      </c>
      <c r="C1159" s="2981" t="s">
        <v>2818</v>
      </c>
      <c r="D1159" s="69" t="s">
        <v>2433</v>
      </c>
      <c r="E1159" s="2968"/>
      <c r="F1159" s="2968">
        <v>50</v>
      </c>
      <c r="G1159" s="2968" t="s">
        <v>510</v>
      </c>
      <c r="H1159" s="2968"/>
      <c r="I1159" s="2968"/>
      <c r="J1159" s="2968" t="str">
        <f t="shared" si="37"/>
        <v>GUFCO</v>
      </c>
      <c r="K1159" s="2969" t="str">
        <f t="shared" si="36"/>
        <v>GUFCOGiá U 80x600 lắp FCO</v>
      </c>
    </row>
    <row r="1160" spans="1:11" hidden="1">
      <c r="A1160" s="2966" t="s">
        <v>5137</v>
      </c>
      <c r="B1160" s="3001"/>
      <c r="C1160" s="2981" t="s">
        <v>5138</v>
      </c>
      <c r="D1160" s="69" t="s">
        <v>2547</v>
      </c>
      <c r="E1160" s="2968"/>
      <c r="F1160" s="2968">
        <v>50</v>
      </c>
      <c r="G1160" s="2968" t="s">
        <v>602</v>
      </c>
      <c r="H1160" s="2968"/>
      <c r="I1160" s="2968"/>
      <c r="J1160" s="2968" t="str">
        <f t="shared" si="37"/>
        <v>GNIU150b</v>
      </c>
      <c r="K1160" s="2969" t="str">
        <f t="shared" si="36"/>
        <v>GNIU150bGiáp níu dừng dây bọc (120-150mm2)</v>
      </c>
    </row>
    <row r="1161" spans="1:11" hidden="1">
      <c r="A1161" s="2966" t="s">
        <v>5139</v>
      </c>
      <c r="B1161" s="2967"/>
      <c r="C1161" s="2966" t="s">
        <v>5140</v>
      </c>
      <c r="D1161" s="69" t="s">
        <v>2547</v>
      </c>
      <c r="E1161" s="2968"/>
      <c r="F1161" s="2968">
        <v>50</v>
      </c>
      <c r="G1161" s="2968" t="s">
        <v>602</v>
      </c>
      <c r="H1161" s="2968"/>
      <c r="I1161" s="2968"/>
      <c r="J1161" s="2968" t="str">
        <f t="shared" si="37"/>
        <v>GNIU240b</v>
      </c>
      <c r="K1161" s="2969" t="str">
        <f t="shared" si="36"/>
        <v>GNIU240bGiáp níu dừng dây bọc (185-240mm2)</v>
      </c>
    </row>
    <row r="1162" spans="1:11" hidden="1">
      <c r="A1162" s="2966" t="s">
        <v>5135</v>
      </c>
      <c r="B1162" s="2967"/>
      <c r="C1162" s="2966" t="s">
        <v>5136</v>
      </c>
      <c r="D1162" s="69" t="s">
        <v>2547</v>
      </c>
      <c r="E1162" s="2968"/>
      <c r="F1162" s="2968">
        <v>50</v>
      </c>
      <c r="G1162" s="2968" t="s">
        <v>602</v>
      </c>
      <c r="H1162" s="2968"/>
      <c r="I1162" s="2968"/>
      <c r="J1162" s="2968" t="str">
        <f t="shared" si="37"/>
        <v>GNIU95b</v>
      </c>
      <c r="K1162" s="2969" t="str">
        <f t="shared" si="36"/>
        <v>GNIU95bGiáp níu dừng dây bọc (70-95mm2)</v>
      </c>
    </row>
    <row r="1163" spans="1:11" hidden="1">
      <c r="A1163" s="2966" t="s">
        <v>6919</v>
      </c>
      <c r="B1163" s="2967"/>
      <c r="C1163" s="2966" t="s">
        <v>6920</v>
      </c>
      <c r="D1163" s="69" t="s">
        <v>2433</v>
      </c>
      <c r="E1163" s="2968"/>
      <c r="F1163" s="2968">
        <v>50</v>
      </c>
      <c r="G1163" s="2968" t="s">
        <v>602</v>
      </c>
      <c r="H1163" s="2968"/>
      <c r="I1163" s="2968"/>
      <c r="J1163" s="2968" t="str">
        <f t="shared" si="37"/>
        <v>GNIU120</v>
      </c>
      <c r="K1163" s="2969" t="str">
        <f t="shared" si="36"/>
        <v>GNIU120Giáp níu dừng dây bọc 120 + Yếm móng U + Mắt nối yếm</v>
      </c>
    </row>
    <row r="1164" spans="1:11" hidden="1">
      <c r="A1164" s="2966" t="s">
        <v>6921</v>
      </c>
      <c r="B1164" s="2967"/>
      <c r="C1164" s="2981" t="s">
        <v>6922</v>
      </c>
      <c r="D1164" s="69" t="s">
        <v>2433</v>
      </c>
      <c r="E1164" s="2968"/>
      <c r="F1164" s="2968">
        <v>50</v>
      </c>
      <c r="G1164" s="2968" t="s">
        <v>602</v>
      </c>
      <c r="H1164" s="2968"/>
      <c r="I1164" s="2968"/>
      <c r="J1164" s="2968" t="str">
        <f t="shared" si="37"/>
        <v>GNIU150</v>
      </c>
      <c r="K1164" s="2969" t="str">
        <f t="shared" si="36"/>
        <v>GNIU150Giáp níu dừng dây bọc 150 + Yếm móng U + Mắt nối yếm</v>
      </c>
    </row>
    <row r="1165" spans="1:11" hidden="1">
      <c r="A1165" s="2966" t="s">
        <v>4592</v>
      </c>
      <c r="B1165" s="2967"/>
      <c r="C1165" s="2966" t="s">
        <v>4593</v>
      </c>
      <c r="D1165" s="69" t="s">
        <v>2547</v>
      </c>
      <c r="E1165" s="2968"/>
      <c r="F1165" s="2968">
        <v>50</v>
      </c>
      <c r="G1165" s="2968" t="s">
        <v>602</v>
      </c>
      <c r="H1165" s="2968"/>
      <c r="I1165" s="2968"/>
      <c r="J1165" s="2968" t="str">
        <f t="shared" si="37"/>
        <v>GNIU 185</v>
      </c>
      <c r="K1165" s="2969" t="str">
        <f t="shared" si="36"/>
        <v>GNIU 185Giáp níu dừng dây bọc 185 + yếm móng U + Mắt nối yếm</v>
      </c>
    </row>
    <row r="1166" spans="1:11" hidden="1">
      <c r="A1166" s="2966" t="s">
        <v>6923</v>
      </c>
      <c r="B1166" s="2967"/>
      <c r="C1166" s="2966" t="s">
        <v>6924</v>
      </c>
      <c r="D1166" s="69" t="s">
        <v>2433</v>
      </c>
      <c r="E1166" s="2968"/>
      <c r="F1166" s="2968">
        <v>50</v>
      </c>
      <c r="G1166" s="2968" t="s">
        <v>602</v>
      </c>
      <c r="H1166" s="2968"/>
      <c r="I1166" s="2968"/>
      <c r="J1166" s="2968" t="str">
        <f t="shared" si="37"/>
        <v>GNIU185</v>
      </c>
      <c r="K1166" s="2969" t="str">
        <f t="shared" si="36"/>
        <v>GNIU185Giáp níu dừng dây bọc 185 + Yếm móng U + Mắt nối yếm</v>
      </c>
    </row>
    <row r="1167" spans="1:11" hidden="1">
      <c r="A1167" s="2966" t="s">
        <v>6925</v>
      </c>
      <c r="B1167" s="2967"/>
      <c r="C1167" s="2966" t="s">
        <v>6926</v>
      </c>
      <c r="D1167" s="69" t="s">
        <v>2433</v>
      </c>
      <c r="E1167" s="2968"/>
      <c r="F1167" s="2968">
        <v>50</v>
      </c>
      <c r="G1167" s="2968" t="s">
        <v>602</v>
      </c>
      <c r="H1167" s="2968"/>
      <c r="I1167" s="2968"/>
      <c r="J1167" s="2968" t="str">
        <f t="shared" si="37"/>
        <v>GNIU240</v>
      </c>
      <c r="K1167" s="2969" t="str">
        <f t="shared" si="36"/>
        <v>GNIU240Giáp níu dừng dây bọc 240 + Yếm móng U + Mắt nối yếm</v>
      </c>
    </row>
    <row r="1168" spans="1:11" hidden="1">
      <c r="A1168" s="2966" t="s">
        <v>4594</v>
      </c>
      <c r="B1168" s="2967"/>
      <c r="C1168" s="2966" t="s">
        <v>4595</v>
      </c>
      <c r="D1168" s="69" t="s">
        <v>2547</v>
      </c>
      <c r="E1168" s="2968"/>
      <c r="F1168" s="2968">
        <v>50</v>
      </c>
      <c r="G1168" s="2968" t="s">
        <v>510</v>
      </c>
      <c r="H1168" s="2968"/>
      <c r="I1168" s="2968"/>
      <c r="J1168" s="2968" t="str">
        <f t="shared" si="37"/>
        <v>GNIU50</v>
      </c>
      <c r="K1168" s="2969" t="str">
        <f t="shared" si="36"/>
        <v>GNIU50Giáp níu dừng dây bọc 50mm2 + yếm móng U + Mắt nối yếm</v>
      </c>
    </row>
    <row r="1169" spans="1:11" hidden="1">
      <c r="A1169" s="2966" t="s">
        <v>6927</v>
      </c>
      <c r="B1169" s="2967"/>
      <c r="C1169" s="2966" t="s">
        <v>6928</v>
      </c>
      <c r="D1169" s="69" t="s">
        <v>2433</v>
      </c>
      <c r="E1169" s="2968"/>
      <c r="F1169" s="2968">
        <v>50</v>
      </c>
      <c r="G1169" s="2968" t="s">
        <v>510</v>
      </c>
      <c r="H1169" s="2968"/>
      <c r="I1169" s="2968"/>
      <c r="J1169" s="2968" t="str">
        <f t="shared" si="37"/>
        <v>GNIU70</v>
      </c>
      <c r="K1169" s="2969" t="str">
        <f t="shared" si="36"/>
        <v>GNIU70Giáp níu dừng dây bọc 70 + Yếm móng U + Mắt nối yếm</v>
      </c>
    </row>
    <row r="1170" spans="1:11" hidden="1">
      <c r="A1170" s="2966" t="s">
        <v>6929</v>
      </c>
      <c r="B1170" s="2967"/>
      <c r="C1170" s="2966" t="s">
        <v>6930</v>
      </c>
      <c r="D1170" s="69" t="s">
        <v>2433</v>
      </c>
      <c r="E1170" s="2968"/>
      <c r="F1170" s="2968">
        <v>50</v>
      </c>
      <c r="G1170" s="2968" t="s">
        <v>510</v>
      </c>
      <c r="H1170" s="2968"/>
      <c r="I1170" s="2968"/>
      <c r="J1170" s="2968" t="str">
        <f t="shared" si="37"/>
        <v>GNIU95</v>
      </c>
      <c r="K1170" s="2969" t="str">
        <f t="shared" si="36"/>
        <v>GNIU95Giáp níu dừng dây bọc 95 + Yếm móng U + Mắt nối yếm</v>
      </c>
    </row>
    <row r="1171" spans="1:11" hidden="1">
      <c r="A1171" s="2966" t="s">
        <v>542</v>
      </c>
      <c r="B1171" s="2973"/>
      <c r="C1171" s="2966" t="s">
        <v>4791</v>
      </c>
      <c r="D1171" s="69" t="s">
        <v>2547</v>
      </c>
      <c r="E1171" s="2968"/>
      <c r="F1171" s="2968">
        <v>50</v>
      </c>
      <c r="G1171" s="2968" t="s">
        <v>510</v>
      </c>
      <c r="H1171" s="2968"/>
      <c r="I1171" s="2968"/>
      <c r="J1171" s="2968" t="str">
        <f t="shared" si="37"/>
        <v>GNIU</v>
      </c>
      <c r="K1171" s="2969" t="str">
        <f t="shared" si="36"/>
        <v>GNIUGiáp níu dừng dây bọc ACX50</v>
      </c>
    </row>
    <row r="1172" spans="1:11" hidden="1">
      <c r="A1172" s="2966" t="s">
        <v>3431</v>
      </c>
      <c r="B1172" s="2973"/>
      <c r="C1172" s="2966" t="s">
        <v>3432</v>
      </c>
      <c r="D1172" s="69" t="s">
        <v>3430</v>
      </c>
      <c r="E1172" s="2968"/>
      <c r="F1172" s="2968">
        <v>50</v>
      </c>
      <c r="G1172" s="2968" t="s">
        <v>510</v>
      </c>
      <c r="H1172" s="2968"/>
      <c r="I1172" s="2968"/>
      <c r="J1172" s="2968" t="str">
        <f t="shared" si="37"/>
        <v>GTDĐ</v>
      </c>
      <c r="K1172" s="2969" t="str">
        <f t="shared" si="36"/>
        <v>GTDĐGiếng tiếp địa khoan đá</v>
      </c>
    </row>
    <row r="1173" spans="1:11" hidden="1">
      <c r="A1173" s="2966" t="s">
        <v>1581</v>
      </c>
      <c r="B1173" s="2973"/>
      <c r="C1173" s="2966" t="s">
        <v>3429</v>
      </c>
      <c r="D1173" s="69" t="s">
        <v>3430</v>
      </c>
      <c r="E1173" s="2968"/>
      <c r="F1173" s="2968">
        <v>50</v>
      </c>
      <c r="G1173" s="2968" t="s">
        <v>510</v>
      </c>
      <c r="H1173" s="2968"/>
      <c r="I1173" s="2968"/>
      <c r="J1173" s="2968" t="str">
        <f t="shared" si="37"/>
        <v>GTD</v>
      </c>
      <c r="K1173" s="2969" t="str">
        <f t="shared" si="36"/>
        <v>GTDGiếng tiếp địa khoan đất</v>
      </c>
    </row>
    <row r="1174" spans="1:11" hidden="1">
      <c r="A1174" s="2966" t="s">
        <v>4560</v>
      </c>
      <c r="B1174" s="2967"/>
      <c r="C1174" s="2966" t="s">
        <v>4561</v>
      </c>
      <c r="D1174" s="69" t="s">
        <v>853</v>
      </c>
      <c r="E1174" s="2968"/>
      <c r="F1174" s="2968">
        <v>999</v>
      </c>
      <c r="G1174" s="2968" t="s">
        <v>510</v>
      </c>
      <c r="H1174" s="2968"/>
      <c r="I1174" s="2968"/>
      <c r="J1174" s="2968" t="str">
        <f t="shared" si="37"/>
        <v>GO-CH</v>
      </c>
      <c r="K1174" s="2969" t="str">
        <f t="shared" si="36"/>
        <v>GO-CHGỗ chống</v>
      </c>
    </row>
    <row r="1175" spans="1:11" hidden="1">
      <c r="A1175" s="2966" t="s">
        <v>6931</v>
      </c>
      <c r="B1175" s="2967"/>
      <c r="C1175" s="2966" t="s">
        <v>6932</v>
      </c>
      <c r="D1175" s="69" t="s">
        <v>853</v>
      </c>
      <c r="E1175" s="2968"/>
      <c r="F1175" s="2968">
        <v>50</v>
      </c>
      <c r="G1175" s="2968" t="s">
        <v>510</v>
      </c>
      <c r="H1175" s="2968"/>
      <c r="I1175" s="2968"/>
      <c r="J1175" s="2968" t="str">
        <f t="shared" si="37"/>
        <v>GOCHONG</v>
      </c>
      <c r="K1175" s="2969" t="str">
        <f t="shared" si="36"/>
        <v>GOCHONGGỗ chống: 0,335 m3/100m2 ván khuôn</v>
      </c>
    </row>
    <row r="1176" spans="1:11" hidden="1">
      <c r="A1176" s="2966" t="s">
        <v>4562</v>
      </c>
      <c r="B1176" s="2967"/>
      <c r="C1176" s="2966" t="s">
        <v>4563</v>
      </c>
      <c r="D1176" s="69" t="s">
        <v>853</v>
      </c>
      <c r="E1176" s="2968"/>
      <c r="F1176" s="2968">
        <v>999</v>
      </c>
      <c r="G1176" s="2968" t="s">
        <v>510</v>
      </c>
      <c r="H1176" s="2968"/>
      <c r="I1176" s="2968"/>
      <c r="J1176" s="2968" t="str">
        <f t="shared" si="37"/>
        <v>GO-DN</v>
      </c>
      <c r="K1176" s="2969" t="str">
        <f t="shared" si="36"/>
        <v>GO-DNGỗ đà nẹp</v>
      </c>
    </row>
    <row r="1177" spans="1:11" hidden="1">
      <c r="A1177" s="2966" t="s">
        <v>6933</v>
      </c>
      <c r="B1177" s="2967"/>
      <c r="C1177" s="2966" t="s">
        <v>6934</v>
      </c>
      <c r="D1177" s="69" t="s">
        <v>853</v>
      </c>
      <c r="E1177" s="2968"/>
      <c r="F1177" s="2968">
        <v>50</v>
      </c>
      <c r="G1177" s="2968" t="s">
        <v>510</v>
      </c>
      <c r="H1177" s="2968"/>
      <c r="I1177" s="2968"/>
      <c r="J1177" s="2968" t="str">
        <f t="shared" si="37"/>
        <v>GODA</v>
      </c>
      <c r="K1177" s="2969" t="str">
        <f t="shared" si="36"/>
        <v>GODAGỗ đà nẹp: 0,21 m3/100m2 ván khuôn</v>
      </c>
    </row>
    <row r="1178" spans="1:11" hidden="1">
      <c r="A1178" s="2966" t="s">
        <v>4564</v>
      </c>
      <c r="B1178" s="2967"/>
      <c r="C1178" s="2966" t="s">
        <v>4565</v>
      </c>
      <c r="D1178" s="69" t="s">
        <v>853</v>
      </c>
      <c r="E1178" s="2968"/>
      <c r="F1178" s="2968">
        <v>999</v>
      </c>
      <c r="G1178" s="2968" t="s">
        <v>510</v>
      </c>
      <c r="H1178" s="2968"/>
      <c r="I1178" s="2968"/>
      <c r="J1178" s="2968" t="str">
        <f t="shared" si="37"/>
        <v>GO-V</v>
      </c>
      <c r="K1178" s="2969" t="str">
        <f t="shared" si="36"/>
        <v>GO-VGỗ ván (cả nẹp)</v>
      </c>
    </row>
    <row r="1179" spans="1:11" hidden="1">
      <c r="A1179" s="2966" t="s">
        <v>6935</v>
      </c>
      <c r="B1179" s="2967"/>
      <c r="C1179" s="2966" t="s">
        <v>6936</v>
      </c>
      <c r="D1179" s="69" t="s">
        <v>853</v>
      </c>
      <c r="E1179" s="2968"/>
      <c r="F1179" s="2968">
        <v>50</v>
      </c>
      <c r="G1179" s="2968" t="s">
        <v>510</v>
      </c>
      <c r="H1179" s="2968"/>
      <c r="I1179" s="2968"/>
      <c r="J1179" s="2968" t="str">
        <f t="shared" si="37"/>
        <v>VAN</v>
      </c>
      <c r="K1179" s="2969" t="str">
        <f t="shared" si="36"/>
        <v>VANGỗ ván (cả nẹp): 0,792 m3/100m2 ván khuôn</v>
      </c>
    </row>
    <row r="1180" spans="1:11" hidden="1">
      <c r="A1180" s="2966" t="s">
        <v>854</v>
      </c>
      <c r="B1180" s="2967"/>
      <c r="C1180" s="2966" t="s">
        <v>2990</v>
      </c>
      <c r="D1180" s="69" t="s">
        <v>853</v>
      </c>
      <c r="E1180" s="2968"/>
      <c r="F1180" s="2968">
        <v>999</v>
      </c>
      <c r="G1180" s="2968" t="s">
        <v>510</v>
      </c>
      <c r="H1180" s="2968"/>
      <c r="I1180" s="2968"/>
      <c r="J1180" s="2968" t="str">
        <f t="shared" si="37"/>
        <v>GO</v>
      </c>
      <c r="K1180" s="2969" t="str">
        <f t="shared" si="36"/>
        <v>GOGỗ ván khuôn</v>
      </c>
    </row>
    <row r="1181" spans="1:11" hidden="1">
      <c r="A1181" s="2966" t="s">
        <v>5905</v>
      </c>
      <c r="B1181" s="2967" t="s">
        <v>5906</v>
      </c>
      <c r="C1181" s="2966" t="s">
        <v>5907</v>
      </c>
      <c r="D1181" s="69" t="s">
        <v>2823</v>
      </c>
      <c r="E1181" s="2968"/>
      <c r="F1181" s="2968">
        <v>3000</v>
      </c>
      <c r="G1181" s="2968" t="s">
        <v>510</v>
      </c>
      <c r="H1181" s="2968"/>
      <c r="I1181" s="2968"/>
      <c r="J1181" s="2968" t="str">
        <f t="shared" si="37"/>
        <v>C10m228H</v>
      </c>
      <c r="K1181" s="2969" t="str">
        <f t="shared" si="36"/>
        <v>C10m228HHạ trụ BTLT 10,5m (định mức 228)</v>
      </c>
    </row>
    <row r="1182" spans="1:11" hidden="1">
      <c r="A1182" s="2966" t="s">
        <v>5908</v>
      </c>
      <c r="B1182" s="2967" t="s">
        <v>5909</v>
      </c>
      <c r="C1182" s="2966" t="s">
        <v>5910</v>
      </c>
      <c r="D1182" s="69" t="s">
        <v>2823</v>
      </c>
      <c r="E1182" s="2968"/>
      <c r="F1182" s="2968">
        <v>3000</v>
      </c>
      <c r="G1182" s="2968" t="s">
        <v>510</v>
      </c>
      <c r="H1182" s="2968"/>
      <c r="I1182" s="2968"/>
      <c r="J1182" s="2968" t="str">
        <f t="shared" si="37"/>
        <v>C12m228H</v>
      </c>
      <c r="K1182" s="2969" t="str">
        <f t="shared" si="36"/>
        <v>C12m228HHạ trụ BTLT 12m (định mức 228)</v>
      </c>
    </row>
    <row r="1183" spans="1:11" hidden="1">
      <c r="A1183" s="2966" t="s">
        <v>5911</v>
      </c>
      <c r="B1183" s="2967" t="s">
        <v>5912</v>
      </c>
      <c r="C1183" s="2966" t="s">
        <v>5913</v>
      </c>
      <c r="D1183" s="69" t="s">
        <v>2823</v>
      </c>
      <c r="E1183" s="2968"/>
      <c r="F1183" s="2968">
        <v>3000</v>
      </c>
      <c r="G1183" s="2968" t="s">
        <v>510</v>
      </c>
      <c r="H1183" s="2968"/>
      <c r="I1183" s="2968"/>
      <c r="J1183" s="2968" t="str">
        <f t="shared" si="37"/>
        <v>C14m228H</v>
      </c>
      <c r="K1183" s="2969" t="str">
        <f t="shared" si="36"/>
        <v>C14m228HHạ trụ BTLT 14m (định mức 228)</v>
      </c>
    </row>
    <row r="1184" spans="1:11" hidden="1">
      <c r="A1184" s="2966" t="s">
        <v>5902</v>
      </c>
      <c r="B1184" s="2967" t="s">
        <v>5903</v>
      </c>
      <c r="C1184" s="2966" t="s">
        <v>5904</v>
      </c>
      <c r="D1184" s="69" t="s">
        <v>2823</v>
      </c>
      <c r="E1184" s="2968"/>
      <c r="F1184" s="2968">
        <v>3000</v>
      </c>
      <c r="G1184" s="2968" t="s">
        <v>510</v>
      </c>
      <c r="H1184" s="2968"/>
      <c r="I1184" s="2968"/>
      <c r="J1184" s="2968" t="str">
        <f t="shared" si="37"/>
        <v>C8m228H</v>
      </c>
      <c r="K1184" s="2969" t="str">
        <f t="shared" si="36"/>
        <v>C8m228HHạ trụ BTLT 8,5m (định mức 228)</v>
      </c>
    </row>
    <row r="1185" spans="1:11" hidden="1">
      <c r="A1185" s="2966" t="s">
        <v>5086</v>
      </c>
      <c r="B1185" s="2967" t="s">
        <v>5087</v>
      </c>
      <c r="C1185" s="2966" t="s">
        <v>5088</v>
      </c>
      <c r="D1185" s="69" t="s">
        <v>5089</v>
      </c>
      <c r="E1185" s="2968"/>
      <c r="F1185" s="2968">
        <v>50</v>
      </c>
      <c r="G1185" s="2968" t="s">
        <v>510</v>
      </c>
      <c r="H1185" s="2968"/>
      <c r="I1185" s="2968"/>
      <c r="J1185" s="2968" t="str">
        <f t="shared" si="37"/>
        <v>HANSATV5</v>
      </c>
      <c r="K1185" s="2969" t="str">
        <f t="shared" si="36"/>
        <v>HANSATV5Hàn thanh sắt V50x50x5-4000/Zn thành cọc dài 20 mét</v>
      </c>
    </row>
    <row r="1186" spans="1:11" hidden="1">
      <c r="A1186" s="2966" t="s">
        <v>190</v>
      </c>
      <c r="B1186" s="2967"/>
      <c r="C1186" s="2966" t="s">
        <v>6380</v>
      </c>
      <c r="D1186" s="69"/>
      <c r="E1186" s="2968"/>
      <c r="F1186" s="2968">
        <v>2000</v>
      </c>
      <c r="G1186" s="2968" t="s">
        <v>510</v>
      </c>
      <c r="H1186" s="2968"/>
      <c r="I1186" s="2968"/>
      <c r="J1186" s="2968" t="str">
        <f t="shared" si="37"/>
        <v>HTHH</v>
      </c>
      <c r="K1186" s="2969" t="str">
        <f t="shared" si="36"/>
        <v>HTHHHình thức trụ hiện hữu</v>
      </c>
    </row>
    <row r="1187" spans="1:11" hidden="1">
      <c r="A1187" s="2966" t="s">
        <v>6439</v>
      </c>
      <c r="B1187" s="2967"/>
      <c r="C1187" s="2966" t="s">
        <v>6381</v>
      </c>
      <c r="D1187" s="69"/>
      <c r="E1187" s="2968"/>
      <c r="F1187" s="2968">
        <v>2000</v>
      </c>
      <c r="G1187" s="2968" t="s">
        <v>510</v>
      </c>
      <c r="H1187" s="2968"/>
      <c r="I1187" s="2968"/>
      <c r="J1187" s="2968" t="str">
        <f t="shared" si="37"/>
        <v>HHTK</v>
      </c>
      <c r="K1187" s="2969" t="str">
        <f t="shared" si="36"/>
        <v>HHTKHình thức trụ thiết kế</v>
      </c>
    </row>
    <row r="1188" spans="1:11" hidden="1">
      <c r="A1188" s="2966" t="s">
        <v>1560</v>
      </c>
      <c r="B1188" s="69"/>
      <c r="C1188" s="2966" t="s">
        <v>3584</v>
      </c>
      <c r="D1188" s="69" t="s">
        <v>853</v>
      </c>
      <c r="E1188" s="2968"/>
      <c r="F1188" s="2968">
        <v>50</v>
      </c>
      <c r="G1188" s="2968" t="s">
        <v>510</v>
      </c>
      <c r="H1188" s="2968"/>
      <c r="I1188" s="2968"/>
      <c r="J1188" s="2968" t="str">
        <f t="shared" si="37"/>
        <v>axetylen</v>
      </c>
      <c r="K1188" s="2969" t="str">
        <f t="shared" si="36"/>
        <v>axetylenHơi Axetylen</v>
      </c>
    </row>
    <row r="1189" spans="1:11" hidden="1">
      <c r="A1189" s="2966" t="s">
        <v>6937</v>
      </c>
      <c r="B1189" s="2967"/>
      <c r="C1189" s="2966" t="s">
        <v>6938</v>
      </c>
      <c r="D1189" s="69" t="s">
        <v>2433</v>
      </c>
      <c r="E1189" s="2968"/>
      <c r="F1189" s="2968">
        <v>50</v>
      </c>
      <c r="G1189" s="2968" t="s">
        <v>355</v>
      </c>
      <c r="H1189" s="2968"/>
      <c r="I1189" s="2968"/>
      <c r="J1189" s="2968" t="str">
        <f t="shared" si="37"/>
        <v>HOP1CT</v>
      </c>
      <c r="K1189" s="2969" t="str">
        <f t="shared" si="36"/>
        <v>HOP1CTHộp bắt 1 công tơ + dây rút thép + khóa đai</v>
      </c>
    </row>
    <row r="1190" spans="1:11" hidden="1">
      <c r="A1190" s="2966" t="s">
        <v>6939</v>
      </c>
      <c r="B1190" s="2967"/>
      <c r="C1190" s="2966" t="s">
        <v>6940</v>
      </c>
      <c r="D1190" s="69" t="s">
        <v>2433</v>
      </c>
      <c r="E1190" s="2968"/>
      <c r="F1190" s="2968">
        <v>50</v>
      </c>
      <c r="G1190" s="2968" t="s">
        <v>355</v>
      </c>
      <c r="H1190" s="2968"/>
      <c r="I1190" s="2968"/>
      <c r="J1190" s="2968" t="str">
        <f t="shared" si="37"/>
        <v>HOP2CT</v>
      </c>
      <c r="K1190" s="2969" t="str">
        <f t="shared" si="36"/>
        <v>HOP2CTHộp bắt 2 công tơ + dây rút thép + khóa đai</v>
      </c>
    </row>
    <row r="1191" spans="1:11" hidden="1">
      <c r="A1191" s="2966" t="s">
        <v>6941</v>
      </c>
      <c r="B1191" s="2967"/>
      <c r="C1191" s="2966" t="s">
        <v>6940</v>
      </c>
      <c r="D1191" s="69" t="s">
        <v>2433</v>
      </c>
      <c r="E1191" s="2968"/>
      <c r="F1191" s="2968">
        <v>50</v>
      </c>
      <c r="G1191" s="2968" t="s">
        <v>355</v>
      </c>
      <c r="H1191" s="2968"/>
      <c r="I1191" s="2968"/>
      <c r="J1191" s="2968" t="str">
        <f t="shared" si="37"/>
        <v>HOP4CT</v>
      </c>
      <c r="K1191" s="2969" t="str">
        <f t="shared" si="36"/>
        <v>HOP4CTHộp bắt 2 công tơ + dây rút thép + khóa đai</v>
      </c>
    </row>
    <row r="1192" spans="1:11" hidden="1">
      <c r="A1192" s="2966" t="s">
        <v>6942</v>
      </c>
      <c r="B1192" s="2967"/>
      <c r="C1192" s="2966" t="s">
        <v>6943</v>
      </c>
      <c r="D1192" s="69" t="s">
        <v>2547</v>
      </c>
      <c r="E1192" s="2968"/>
      <c r="F1192" s="2968">
        <v>50</v>
      </c>
      <c r="G1192" s="2968" t="s">
        <v>355</v>
      </c>
      <c r="H1192" s="2968"/>
      <c r="I1192" s="2968"/>
      <c r="J1192" s="2968" t="str">
        <f t="shared" si="37"/>
        <v>HOPCB</v>
      </c>
      <c r="K1192" s="2969" t="str">
        <f t="shared" si="36"/>
        <v>HOPCBHộp gắn CB phân đoạn</v>
      </c>
    </row>
    <row r="1193" spans="1:11" hidden="1">
      <c r="A1193" s="2966" t="s">
        <v>580</v>
      </c>
      <c r="B1193" s="2967"/>
      <c r="C1193" s="2966" t="s">
        <v>2849</v>
      </c>
      <c r="D1193" s="69" t="s">
        <v>2547</v>
      </c>
      <c r="E1193" s="2968"/>
      <c r="F1193" s="2968">
        <v>50</v>
      </c>
      <c r="G1193" s="2968" t="s">
        <v>510</v>
      </c>
      <c r="H1193" s="2968"/>
      <c r="I1193" s="2968"/>
      <c r="J1193" s="2968" t="str">
        <f t="shared" si="37"/>
        <v>Hopcap120</v>
      </c>
      <c r="K1193" s="2969" t="str">
        <f t="shared" si="36"/>
        <v>Hopcap120Hộp nối cáp ngầm 24kV 3x120mm2</v>
      </c>
    </row>
    <row r="1194" spans="1:11" hidden="1">
      <c r="A1194" s="2966" t="s">
        <v>1353</v>
      </c>
      <c r="B1194" s="2967"/>
      <c r="C1194" s="2966" t="s">
        <v>2848</v>
      </c>
      <c r="D1194" s="69" t="s">
        <v>2547</v>
      </c>
      <c r="E1194" s="2968"/>
      <c r="F1194" s="2968">
        <v>50</v>
      </c>
      <c r="G1194" s="2968" t="s">
        <v>510</v>
      </c>
      <c r="H1194" s="2968"/>
      <c r="I1194" s="2968"/>
      <c r="J1194" s="2968" t="str">
        <f t="shared" si="37"/>
        <v>Hopcap150</v>
      </c>
      <c r="K1194" s="2969" t="str">
        <f t="shared" si="36"/>
        <v>Hopcap150Hộp nối cáp ngầm 24kV 3x150mm2</v>
      </c>
    </row>
    <row r="1195" spans="1:11" hidden="1">
      <c r="A1195" s="2966" t="s">
        <v>1834</v>
      </c>
      <c r="B1195" s="2967"/>
      <c r="C1195" s="2966" t="s">
        <v>2847</v>
      </c>
      <c r="D1195" s="69" t="s">
        <v>2547</v>
      </c>
      <c r="E1195" s="2968"/>
      <c r="F1195" s="2968">
        <v>50</v>
      </c>
      <c r="G1195" s="2968" t="s">
        <v>510</v>
      </c>
      <c r="H1195" s="2968"/>
      <c r="I1195" s="2968"/>
      <c r="J1195" s="2968" t="str">
        <f t="shared" si="37"/>
        <v>Hopcap185</v>
      </c>
      <c r="K1195" s="2969" t="str">
        <f t="shared" si="36"/>
        <v>Hopcap185Hộp nối cáp ngầm 24kV 3x185mm2</v>
      </c>
    </row>
    <row r="1196" spans="1:11" hidden="1">
      <c r="A1196" s="2966" t="s">
        <v>1808</v>
      </c>
      <c r="B1196" s="2967"/>
      <c r="C1196" s="2966" t="s">
        <v>2846</v>
      </c>
      <c r="D1196" s="69" t="s">
        <v>2547</v>
      </c>
      <c r="E1196" s="2968"/>
      <c r="F1196" s="2968">
        <v>50</v>
      </c>
      <c r="G1196" s="2968" t="s">
        <v>510</v>
      </c>
      <c r="H1196" s="2968"/>
      <c r="I1196" s="2968"/>
      <c r="J1196" s="2968" t="str">
        <f t="shared" si="37"/>
        <v>Hopcap240</v>
      </c>
      <c r="K1196" s="2969" t="str">
        <f t="shared" si="36"/>
        <v>Hopcap240Hộp nối cáp ngầm 24kV 3x240mm2</v>
      </c>
    </row>
    <row r="1197" spans="1:11" hidden="1">
      <c r="A1197" s="2966" t="s">
        <v>1049</v>
      </c>
      <c r="B1197" s="2967"/>
      <c r="C1197" s="2966" t="s">
        <v>2852</v>
      </c>
      <c r="D1197" s="69" t="s">
        <v>2547</v>
      </c>
      <c r="E1197" s="2968"/>
      <c r="F1197" s="2968">
        <v>50</v>
      </c>
      <c r="G1197" s="2968" t="s">
        <v>510</v>
      </c>
      <c r="H1197" s="2968"/>
      <c r="I1197" s="2968"/>
      <c r="J1197" s="2968" t="str">
        <f t="shared" si="37"/>
        <v>Hopcap50</v>
      </c>
      <c r="K1197" s="2969" t="str">
        <f t="shared" si="36"/>
        <v>Hopcap50Hộp nối cáp ngầm 24kV 3x50mm2</v>
      </c>
    </row>
    <row r="1198" spans="1:11" hidden="1">
      <c r="A1198" s="2966" t="s">
        <v>5209</v>
      </c>
      <c r="B1198" s="2967"/>
      <c r="C1198" s="2966" t="s">
        <v>5210</v>
      </c>
      <c r="D1198" s="69" t="s">
        <v>2547</v>
      </c>
      <c r="E1198" s="2968"/>
      <c r="F1198" s="2968">
        <v>50</v>
      </c>
      <c r="G1198" s="2968" t="s">
        <v>510</v>
      </c>
      <c r="H1198" s="2968"/>
      <c r="I1198" s="2968"/>
      <c r="J1198" s="2968" t="str">
        <f t="shared" si="37"/>
        <v>hopnoi50</v>
      </c>
      <c r="K1198" s="2969" t="str">
        <f t="shared" si="36"/>
        <v xml:space="preserve">hopnoi50Hộp nối cáp ngầm 24KV 3x50mm2 </v>
      </c>
    </row>
    <row r="1199" spans="1:11" hidden="1">
      <c r="A1199" s="2966" t="s">
        <v>784</v>
      </c>
      <c r="B1199" s="2967"/>
      <c r="C1199" s="2966" t="s">
        <v>2851</v>
      </c>
      <c r="D1199" s="69" t="s">
        <v>2547</v>
      </c>
      <c r="E1199" s="2968"/>
      <c r="F1199" s="2968">
        <v>50</v>
      </c>
      <c r="G1199" s="2968" t="s">
        <v>510</v>
      </c>
      <c r="H1199" s="2968"/>
      <c r="I1199" s="2968"/>
      <c r="J1199" s="2968" t="str">
        <f t="shared" si="37"/>
        <v>Hopcap70</v>
      </c>
      <c r="K1199" s="2969" t="str">
        <f t="shared" si="36"/>
        <v>Hopcap70Hộp nối cáp ngầm 24kV 3x70mm2</v>
      </c>
    </row>
    <row r="1200" spans="1:11" hidden="1">
      <c r="A1200" s="2966" t="s">
        <v>47</v>
      </c>
      <c r="B1200" s="2967"/>
      <c r="C1200" s="2966" t="s">
        <v>2850</v>
      </c>
      <c r="D1200" s="69" t="s">
        <v>2547</v>
      </c>
      <c r="E1200" s="2968"/>
      <c r="F1200" s="2968">
        <v>50</v>
      </c>
      <c r="G1200" s="2968" t="s">
        <v>510</v>
      </c>
      <c r="H1200" s="2968"/>
      <c r="I1200" s="2968"/>
      <c r="J1200" s="2968" t="str">
        <f t="shared" si="37"/>
        <v>Hopcap95</v>
      </c>
      <c r="K1200" s="2969" t="str">
        <f t="shared" si="36"/>
        <v>Hopcap95Hộp nối cáp ngầm 24kV 3x95mm2</v>
      </c>
    </row>
    <row r="1201" spans="1:11" ht="15.75" hidden="1">
      <c r="A1201" s="3002" t="s">
        <v>4074</v>
      </c>
      <c r="B1201" s="2967" t="s">
        <v>1749</v>
      </c>
      <c r="C1201" s="2976" t="s">
        <v>4796</v>
      </c>
      <c r="D1201" s="69" t="s">
        <v>4075</v>
      </c>
      <c r="E1201" s="2968"/>
      <c r="F1201" s="2968">
        <v>50</v>
      </c>
      <c r="G1201" s="2968" t="s">
        <v>510</v>
      </c>
      <c r="H1201" s="2968"/>
      <c r="I1201" s="2968"/>
      <c r="J1201" s="2968" t="str">
        <f t="shared" si="37"/>
        <v>HopCBpd</v>
      </c>
      <c r="K1201" s="2969" t="str">
        <f t="shared" si="36"/>
        <v>HopCBpdHộp phân đoạn MCCB 3 cực 400V-125A - 30KA</v>
      </c>
    </row>
    <row r="1202" spans="1:11" hidden="1">
      <c r="A1202" s="1634" t="s">
        <v>1153</v>
      </c>
      <c r="B1202" s="2973"/>
      <c r="C1202" s="2966" t="s">
        <v>2853</v>
      </c>
      <c r="D1202" s="69" t="s">
        <v>2547</v>
      </c>
      <c r="E1202" s="2968"/>
      <c r="F1202" s="2968">
        <v>50</v>
      </c>
      <c r="G1202" s="2968" t="s">
        <v>510</v>
      </c>
      <c r="H1202" s="2968"/>
      <c r="I1202" s="2968"/>
      <c r="J1202" s="2968" t="str">
        <f t="shared" si="37"/>
        <v>HOP6C</v>
      </c>
      <c r="K1202" s="2969" t="str">
        <f t="shared" si="36"/>
        <v>HOP6CHộp phân phối (hộp rỗng)</v>
      </c>
    </row>
    <row r="1203" spans="1:11" hidden="1">
      <c r="A1203" s="2978" t="s">
        <v>4887</v>
      </c>
      <c r="B1203" s="2967"/>
      <c r="C1203" s="2966" t="s">
        <v>4900</v>
      </c>
      <c r="D1203" s="69" t="s">
        <v>2547</v>
      </c>
      <c r="E1203" s="2968"/>
      <c r="F1203" s="2968">
        <v>50</v>
      </c>
      <c r="G1203" s="2968" t="s">
        <v>355</v>
      </c>
      <c r="H1203" s="2968">
        <v>500</v>
      </c>
      <c r="I1203" s="2968"/>
      <c r="J1203" s="2968" t="str">
        <f t="shared" si="37"/>
        <v>HOPPP</v>
      </c>
      <c r="K1203" s="2969" t="str">
        <f t="shared" si="36"/>
        <v>HOPPPHộp phân phối (loại 9 cực đấu trực tiếp)</v>
      </c>
    </row>
    <row r="1204" spans="1:11" hidden="1">
      <c r="A1204" s="2978" t="s">
        <v>5124</v>
      </c>
      <c r="B1204" s="2967" t="s">
        <v>5122</v>
      </c>
      <c r="C1204" s="2966" t="s">
        <v>5125</v>
      </c>
      <c r="D1204" s="69" t="s">
        <v>2547</v>
      </c>
      <c r="E1204" s="2968"/>
      <c r="F1204" s="2968">
        <v>50</v>
      </c>
      <c r="G1204" s="2968" t="s">
        <v>355</v>
      </c>
      <c r="H1204" s="2968">
        <v>700</v>
      </c>
      <c r="I1204" s="2968"/>
      <c r="J1204" s="2968" t="str">
        <f t="shared" si="37"/>
        <v xml:space="preserve">HOP6C </v>
      </c>
      <c r="K1204" s="2969" t="str">
        <f t="shared" si="36"/>
        <v>HOP6C Hộp phân phối 6 cực rỗng</v>
      </c>
    </row>
    <row r="1205" spans="1:11" hidden="1">
      <c r="A1205" s="2966" t="s">
        <v>5121</v>
      </c>
      <c r="B1205" s="2967" t="s">
        <v>5122</v>
      </c>
      <c r="C1205" s="2966" t="s">
        <v>5123</v>
      </c>
      <c r="D1205" s="69" t="s">
        <v>2547</v>
      </c>
      <c r="E1205" s="2968"/>
      <c r="F1205" s="2968">
        <v>50</v>
      </c>
      <c r="G1205" s="2968" t="s">
        <v>355</v>
      </c>
      <c r="H1205" s="2968">
        <v>740</v>
      </c>
      <c r="I1205" s="2968"/>
      <c r="J1205" s="2968" t="str">
        <f t="shared" si="37"/>
        <v xml:space="preserve">HOP9C </v>
      </c>
      <c r="K1205" s="2969" t="str">
        <f t="shared" si="36"/>
        <v>HOP9C Hộp phân phối 9 cực rỗng</v>
      </c>
    </row>
    <row r="1206" spans="1:11" hidden="1">
      <c r="A1206" s="1634" t="s">
        <v>1152</v>
      </c>
      <c r="B1206" s="3003" t="s">
        <v>1763</v>
      </c>
      <c r="C1206" s="2966" t="s">
        <v>4793</v>
      </c>
      <c r="D1206" s="69" t="s">
        <v>2547</v>
      </c>
      <c r="E1206" s="2968"/>
      <c r="F1206" s="2968">
        <v>50</v>
      </c>
      <c r="G1206" s="2968" t="s">
        <v>355</v>
      </c>
      <c r="H1206" s="2968">
        <v>1100</v>
      </c>
      <c r="I1206" s="2968"/>
      <c r="J1206" s="2968" t="str">
        <f t="shared" si="37"/>
        <v>HOP9C</v>
      </c>
      <c r="K1206" s="2969" t="str">
        <f t="shared" si="36"/>
        <v>HOP9CHộp phân phối 9CB-32A( hộp rỗng)</v>
      </c>
    </row>
    <row r="1207" spans="1:11" hidden="1">
      <c r="A1207" s="2966" t="s">
        <v>1421</v>
      </c>
      <c r="B1207" s="2967"/>
      <c r="C1207" s="2966" t="s">
        <v>3554</v>
      </c>
      <c r="D1207" s="69" t="s">
        <v>2243</v>
      </c>
      <c r="E1207" s="2968"/>
      <c r="F1207" s="2968">
        <v>50</v>
      </c>
      <c r="G1207" s="2968" t="s">
        <v>510</v>
      </c>
      <c r="H1207" s="2968">
        <v>1449</v>
      </c>
      <c r="I1207" s="2968"/>
      <c r="J1207" s="2968" t="str">
        <f t="shared" si="37"/>
        <v>KEM</v>
      </c>
      <c r="K1207" s="2969" t="str">
        <f t="shared" si="36"/>
        <v>KEMKẽm</v>
      </c>
    </row>
    <row r="1208" spans="1:11" hidden="1">
      <c r="A1208" s="2966" t="s">
        <v>2031</v>
      </c>
      <c r="B1208" s="2973"/>
      <c r="C1208" s="2966" t="s">
        <v>3555</v>
      </c>
      <c r="D1208" s="69" t="s">
        <v>3556</v>
      </c>
      <c r="E1208" s="2968"/>
      <c r="F1208" s="2968">
        <v>50</v>
      </c>
      <c r="G1208" s="2968" t="s">
        <v>510</v>
      </c>
      <c r="H1208" s="2968">
        <v>1700</v>
      </c>
      <c r="I1208" s="2968"/>
      <c r="J1208" s="2968" t="str">
        <f t="shared" si="37"/>
        <v>keodan</v>
      </c>
      <c r="K1208" s="2969" t="str">
        <f t="shared" si="36"/>
        <v>keodanKeo dán ống PVC (100gr)</v>
      </c>
    </row>
    <row r="1209" spans="1:11" hidden="1">
      <c r="A1209" s="2966" t="s">
        <v>723</v>
      </c>
      <c r="B1209" s="2973"/>
      <c r="C1209" s="2966" t="s">
        <v>3557</v>
      </c>
      <c r="D1209" s="69" t="s">
        <v>387</v>
      </c>
      <c r="E1209" s="2968"/>
      <c r="F1209" s="2968">
        <v>50</v>
      </c>
      <c r="G1209" s="2968" t="s">
        <v>510</v>
      </c>
      <c r="H1209" s="2968">
        <v>2100</v>
      </c>
      <c r="I1209" s="2968"/>
      <c r="J1209" s="2968" t="str">
        <f t="shared" si="37"/>
        <v>KEO</v>
      </c>
      <c r="K1209" s="2969" t="str">
        <f t="shared" si="36"/>
        <v>KEOKeo dán ống PVC (500gr)</v>
      </c>
    </row>
    <row r="1210" spans="1:11" ht="14.25" hidden="1" customHeight="1">
      <c r="A1210" s="2978" t="s">
        <v>5449</v>
      </c>
      <c r="B1210" s="2967" t="s">
        <v>5450</v>
      </c>
      <c r="C1210" s="2966" t="s">
        <v>5451</v>
      </c>
      <c r="D1210" s="69" t="s">
        <v>2032</v>
      </c>
      <c r="E1210" s="2968"/>
      <c r="F1210" s="2968">
        <v>3000</v>
      </c>
      <c r="G1210" s="2968" t="s">
        <v>510</v>
      </c>
      <c r="H1210" s="2968"/>
      <c r="I1210" s="2968"/>
      <c r="J1210" s="2968" t="str">
        <f t="shared" si="37"/>
        <v>KDM120</v>
      </c>
      <c r="K1210" s="2969" t="str">
        <f t="shared" si="36"/>
        <v>KDM120Kéo dây  đồng (M), tiết diện &lt;=120mm2, bằng thủ công</v>
      </c>
    </row>
    <row r="1211" spans="1:11" ht="14.25" hidden="1" customHeight="1">
      <c r="A1211" s="2978" t="s">
        <v>5452</v>
      </c>
      <c r="B1211" s="2967" t="s">
        <v>5453</v>
      </c>
      <c r="C1211" s="2966" t="s">
        <v>5454</v>
      </c>
      <c r="D1211" s="69" t="s">
        <v>2032</v>
      </c>
      <c r="E1211" s="2968"/>
      <c r="F1211" s="2968">
        <v>3000</v>
      </c>
      <c r="G1211" s="2968" t="s">
        <v>510</v>
      </c>
      <c r="H1211" s="2968"/>
      <c r="I1211" s="2968"/>
      <c r="J1211" s="2968" t="str">
        <f t="shared" si="37"/>
        <v>KDM150</v>
      </c>
      <c r="K1211" s="2969" t="str">
        <f t="shared" si="36"/>
        <v>KDM150Kéo dây  đồng (M), tiết diện &lt;=150mm2, bằng thủ công</v>
      </c>
    </row>
    <row r="1212" spans="1:11" hidden="1">
      <c r="A1212" s="2966" t="s">
        <v>5446</v>
      </c>
      <c r="B1212" s="2967" t="s">
        <v>5447</v>
      </c>
      <c r="C1212" s="2966" t="s">
        <v>5448</v>
      </c>
      <c r="D1212" s="69" t="s">
        <v>2032</v>
      </c>
      <c r="E1212" s="2968"/>
      <c r="F1212" s="2968">
        <v>3000</v>
      </c>
      <c r="G1212" s="2968" t="s">
        <v>510</v>
      </c>
      <c r="H1212" s="2968"/>
      <c r="I1212" s="2968"/>
      <c r="J1212" s="2968" t="str">
        <f t="shared" si="37"/>
        <v>KDM16</v>
      </c>
      <c r="K1212" s="2969" t="str">
        <f t="shared" si="36"/>
        <v>KDM16Kéo dây  đồng (M), tiết diện &lt;=16mm2, bằng thủ công</v>
      </c>
    </row>
    <row r="1213" spans="1:11" hidden="1">
      <c r="A1213" s="2966" t="s">
        <v>5455</v>
      </c>
      <c r="B1213" s="2967" t="s">
        <v>5456</v>
      </c>
      <c r="C1213" s="2966" t="s">
        <v>5457</v>
      </c>
      <c r="D1213" s="69" t="s">
        <v>2032</v>
      </c>
      <c r="E1213" s="2968"/>
      <c r="F1213" s="2968">
        <v>3000</v>
      </c>
      <c r="G1213" s="2968" t="s">
        <v>510</v>
      </c>
      <c r="H1213" s="2968"/>
      <c r="I1213" s="2968"/>
      <c r="J1213" s="2968" t="str">
        <f t="shared" si="37"/>
        <v>KDM185</v>
      </c>
      <c r="K1213" s="2969" t="str">
        <f t="shared" si="36"/>
        <v>KDM185Kéo dây  đồng (M), tiết diện &lt;=185mm2, bằng thủ công</v>
      </c>
    </row>
    <row r="1214" spans="1:11" hidden="1">
      <c r="A1214" s="2966" t="s">
        <v>5458</v>
      </c>
      <c r="B1214" s="2967" t="s">
        <v>5459</v>
      </c>
      <c r="C1214" s="2966" t="s">
        <v>5460</v>
      </c>
      <c r="D1214" s="69" t="s">
        <v>2032</v>
      </c>
      <c r="E1214" s="2968"/>
      <c r="F1214" s="2968">
        <v>3000</v>
      </c>
      <c r="G1214" s="2968" t="s">
        <v>510</v>
      </c>
      <c r="H1214" s="2968"/>
      <c r="I1214" s="2968"/>
      <c r="J1214" s="2968" t="str">
        <f t="shared" si="37"/>
        <v>KDM240</v>
      </c>
      <c r="K1214" s="2969" t="str">
        <f t="shared" si="36"/>
        <v>KDM240Kéo dây  đồng (M), tiết diện &lt;=240mm2, bằng thủ công</v>
      </c>
    </row>
    <row r="1215" spans="1:11" hidden="1">
      <c r="A1215" s="2966" t="s">
        <v>5427</v>
      </c>
      <c r="B1215" s="2967" t="s">
        <v>5410</v>
      </c>
      <c r="C1215" s="2966" t="s">
        <v>5428</v>
      </c>
      <c r="D1215" s="69" t="s">
        <v>2032</v>
      </c>
      <c r="E1215" s="2968"/>
      <c r="F1215" s="2968">
        <v>3000</v>
      </c>
      <c r="G1215" s="2968" t="s">
        <v>510</v>
      </c>
      <c r="H1215" s="2968"/>
      <c r="I1215" s="2968"/>
      <c r="J1215" s="2968" t="str">
        <f t="shared" si="37"/>
        <v>KDAABC2x120</v>
      </c>
      <c r="K1215" s="2969" t="str">
        <f t="shared" si="36"/>
        <v>KDAABC2x120Kéo dây ABC 2x120mm2</v>
      </c>
    </row>
    <row r="1216" spans="1:11" hidden="1">
      <c r="A1216" s="2966" t="s">
        <v>5429</v>
      </c>
      <c r="B1216" s="2967" t="s">
        <v>5412</v>
      </c>
      <c r="C1216" s="2966" t="s">
        <v>5430</v>
      </c>
      <c r="D1216" s="69" t="s">
        <v>2032</v>
      </c>
      <c r="E1216" s="2968"/>
      <c r="F1216" s="2968">
        <v>3000</v>
      </c>
      <c r="G1216" s="2968" t="s">
        <v>510</v>
      </c>
      <c r="H1216" s="2968"/>
      <c r="I1216" s="2968"/>
      <c r="J1216" s="2968" t="str">
        <f t="shared" si="37"/>
        <v>KDAABC2x150</v>
      </c>
      <c r="K1216" s="2969" t="str">
        <f t="shared" si="36"/>
        <v>KDAABC2x150Kéo dây ABC 2x150mm2</v>
      </c>
    </row>
    <row r="1217" spans="1:11" hidden="1">
      <c r="A1217" s="2966" t="s">
        <v>5421</v>
      </c>
      <c r="B1217" s="2967" t="s">
        <v>5407</v>
      </c>
      <c r="C1217" s="2966" t="s">
        <v>5422</v>
      </c>
      <c r="D1217" s="69" t="s">
        <v>2032</v>
      </c>
      <c r="E1217" s="2968"/>
      <c r="F1217" s="2968">
        <v>3000</v>
      </c>
      <c r="G1217" s="2968" t="s">
        <v>510</v>
      </c>
      <c r="H1217" s="2968"/>
      <c r="I1217" s="2968"/>
      <c r="J1217" s="2968" t="str">
        <f t="shared" si="37"/>
        <v>KDAABC2x50</v>
      </c>
      <c r="K1217" s="2969" t="str">
        <f t="shared" si="36"/>
        <v>KDAABC2x50Kéo dây ABC 2x50mm2</v>
      </c>
    </row>
    <row r="1218" spans="1:11" hidden="1">
      <c r="A1218" s="2966" t="s">
        <v>5423</v>
      </c>
      <c r="B1218" s="2967" t="s">
        <v>5408</v>
      </c>
      <c r="C1218" s="2966" t="s">
        <v>5424</v>
      </c>
      <c r="D1218" s="69" t="s">
        <v>2032</v>
      </c>
      <c r="E1218" s="2968"/>
      <c r="F1218" s="2968">
        <v>3000</v>
      </c>
      <c r="G1218" s="2968" t="s">
        <v>510</v>
      </c>
      <c r="H1218" s="2968"/>
      <c r="I1218" s="2968"/>
      <c r="J1218" s="2968" t="str">
        <f t="shared" si="37"/>
        <v>KDAABC2x70</v>
      </c>
      <c r="K1218" s="2969" t="str">
        <f t="shared" si="36"/>
        <v>KDAABC2x70Kéo dây ABC 2x70mm2</v>
      </c>
    </row>
    <row r="1219" spans="1:11" hidden="1">
      <c r="A1219" s="2966" t="s">
        <v>5425</v>
      </c>
      <c r="B1219" s="2967" t="s">
        <v>5409</v>
      </c>
      <c r="C1219" s="2966" t="s">
        <v>5426</v>
      </c>
      <c r="D1219" s="69" t="s">
        <v>2032</v>
      </c>
      <c r="E1219" s="2968"/>
      <c r="F1219" s="2968">
        <v>3000</v>
      </c>
      <c r="G1219" s="2968" t="s">
        <v>510</v>
      </c>
      <c r="H1219" s="2968"/>
      <c r="I1219" s="2968"/>
      <c r="J1219" s="2968" t="str">
        <f t="shared" si="37"/>
        <v>KDAABC2x95</v>
      </c>
      <c r="K1219" s="2969" t="str">
        <f t="shared" ref="K1219:K1282" si="38">A1219&amp;C1219</f>
        <v>KDAABC2x95Kéo dây ABC 2x95mm2</v>
      </c>
    </row>
    <row r="1220" spans="1:11" hidden="1">
      <c r="A1220" s="2966" t="s">
        <v>5417</v>
      </c>
      <c r="B1220" s="2967" t="s">
        <v>5410</v>
      </c>
      <c r="C1220" s="2966" t="s">
        <v>5418</v>
      </c>
      <c r="D1220" s="69" t="s">
        <v>2032</v>
      </c>
      <c r="E1220" s="2968"/>
      <c r="F1220" s="2968">
        <v>3000</v>
      </c>
      <c r="G1220" s="2968" t="s">
        <v>510</v>
      </c>
      <c r="H1220" s="2968"/>
      <c r="I1220" s="2968"/>
      <c r="J1220" s="2968" t="str">
        <f t="shared" ref="J1220:J1283" si="39">A1220</f>
        <v>KDAABC3x120</v>
      </c>
      <c r="K1220" s="2969" t="str">
        <f t="shared" si="38"/>
        <v>KDAABC3x120Kéo dây ABC 3x120mm2</v>
      </c>
    </row>
    <row r="1221" spans="1:11" hidden="1">
      <c r="A1221" s="2969" t="s">
        <v>6944</v>
      </c>
      <c r="B1221" s="3004" t="s">
        <v>5410</v>
      </c>
      <c r="C1221" s="2969" t="s">
        <v>6945</v>
      </c>
      <c r="D1221" s="2968" t="s">
        <v>2032</v>
      </c>
      <c r="E1221" s="2968"/>
      <c r="F1221" s="2968">
        <v>3000</v>
      </c>
      <c r="G1221" s="2968" t="s">
        <v>510</v>
      </c>
      <c r="H1221" s="2968"/>
      <c r="I1221" s="2968"/>
      <c r="J1221" s="2968" t="str">
        <f t="shared" si="39"/>
        <v>KDAABC1203</v>
      </c>
      <c r="K1221" s="2969" t="str">
        <f t="shared" si="38"/>
        <v>KDAABC1203Kéo dây ABC 3x120mm2 (&lt;10m)</v>
      </c>
    </row>
    <row r="1222" spans="1:11" hidden="1">
      <c r="A1222" s="2966" t="s">
        <v>5419</v>
      </c>
      <c r="B1222" s="2967" t="s">
        <v>5412</v>
      </c>
      <c r="C1222" s="2966" t="s">
        <v>5420</v>
      </c>
      <c r="D1222" s="69" t="s">
        <v>2032</v>
      </c>
      <c r="E1222" s="2968"/>
      <c r="F1222" s="2968">
        <v>3000</v>
      </c>
      <c r="G1222" s="2968" t="s">
        <v>510</v>
      </c>
      <c r="H1222" s="2968"/>
      <c r="I1222" s="2968"/>
      <c r="J1222" s="2968" t="str">
        <f t="shared" si="39"/>
        <v>KDAABC3x150</v>
      </c>
      <c r="K1222" s="2969" t="str">
        <f t="shared" si="38"/>
        <v>KDAABC3x150Kéo dây ABC 3x150mm2</v>
      </c>
    </row>
    <row r="1223" spans="1:11" hidden="1">
      <c r="A1223" s="2966" t="s">
        <v>6946</v>
      </c>
      <c r="B1223" s="2967" t="s">
        <v>5412</v>
      </c>
      <c r="C1223" s="2966" t="s">
        <v>6947</v>
      </c>
      <c r="D1223" s="69" t="s">
        <v>2032</v>
      </c>
      <c r="E1223" s="2968"/>
      <c r="F1223" s="2968">
        <v>3000</v>
      </c>
      <c r="G1223" s="2968" t="s">
        <v>510</v>
      </c>
      <c r="H1223" s="2968"/>
      <c r="I1223" s="2968"/>
      <c r="J1223" s="2968" t="str">
        <f t="shared" si="39"/>
        <v>KDAABC1503</v>
      </c>
      <c r="K1223" s="2969" t="str">
        <f t="shared" si="38"/>
        <v>KDAABC1503Kéo dây ABC 3x150mm2 (&lt;10m)</v>
      </c>
    </row>
    <row r="1224" spans="1:11" hidden="1">
      <c r="A1224" s="2966" t="s">
        <v>5413</v>
      </c>
      <c r="B1224" s="2967" t="s">
        <v>5407</v>
      </c>
      <c r="C1224" s="2966" t="s">
        <v>2555</v>
      </c>
      <c r="D1224" s="69" t="s">
        <v>2032</v>
      </c>
      <c r="E1224" s="2968"/>
      <c r="F1224" s="2968">
        <v>3000</v>
      </c>
      <c r="G1224" s="2968" t="s">
        <v>510</v>
      </c>
      <c r="H1224" s="2968"/>
      <c r="I1224" s="2968"/>
      <c r="J1224" s="2968" t="str">
        <f t="shared" si="39"/>
        <v>KDAABC3x50</v>
      </c>
      <c r="K1224" s="2969" t="str">
        <f t="shared" si="38"/>
        <v>KDAABC3x50Kéo dây ABC 3x50mm2</v>
      </c>
    </row>
    <row r="1225" spans="1:11" hidden="1">
      <c r="A1225" s="2966" t="s">
        <v>5414</v>
      </c>
      <c r="B1225" s="2967" t="s">
        <v>5408</v>
      </c>
      <c r="C1225" s="2966" t="s">
        <v>5415</v>
      </c>
      <c r="D1225" s="69" t="s">
        <v>2032</v>
      </c>
      <c r="E1225" s="2968"/>
      <c r="F1225" s="2968">
        <v>3000</v>
      </c>
      <c r="G1225" s="2968" t="s">
        <v>510</v>
      </c>
      <c r="H1225" s="2968"/>
      <c r="I1225" s="2968"/>
      <c r="J1225" s="2968" t="str">
        <f t="shared" si="39"/>
        <v>KDAABC3x70</v>
      </c>
      <c r="K1225" s="2969" t="str">
        <f t="shared" si="38"/>
        <v>KDAABC3x70Kéo dây ABC 3x70mm2</v>
      </c>
    </row>
    <row r="1226" spans="1:11" ht="32.25" hidden="1" customHeight="1">
      <c r="A1226" s="2966" t="s">
        <v>6948</v>
      </c>
      <c r="B1226" s="2967" t="s">
        <v>5408</v>
      </c>
      <c r="C1226" s="2966" t="s">
        <v>6949</v>
      </c>
      <c r="D1226" s="69" t="s">
        <v>2032</v>
      </c>
      <c r="E1226" s="2968"/>
      <c r="F1226" s="2968">
        <v>3000</v>
      </c>
      <c r="G1226" s="2968" t="s">
        <v>510</v>
      </c>
      <c r="H1226" s="2968"/>
      <c r="I1226" s="2968"/>
      <c r="J1226" s="2968" t="str">
        <f t="shared" si="39"/>
        <v>KDAABC703</v>
      </c>
      <c r="K1226" s="2969" t="str">
        <f t="shared" si="38"/>
        <v>KDAABC703Kéo dây ABC 3x70mm2 (&lt;10m)</v>
      </c>
    </row>
    <row r="1227" spans="1:11" ht="32.25" hidden="1" customHeight="1">
      <c r="A1227" s="2966" t="s">
        <v>5416</v>
      </c>
      <c r="B1227" s="2967" t="s">
        <v>5409</v>
      </c>
      <c r="C1227" s="2966" t="s">
        <v>4258</v>
      </c>
      <c r="D1227" s="69" t="s">
        <v>2032</v>
      </c>
      <c r="E1227" s="2968"/>
      <c r="F1227" s="2968">
        <v>3000</v>
      </c>
      <c r="G1227" s="2968" t="s">
        <v>510</v>
      </c>
      <c r="H1227" s="2968"/>
      <c r="I1227" s="2968"/>
      <c r="J1227" s="2968" t="str">
        <f t="shared" si="39"/>
        <v>KDAABC3x95</v>
      </c>
      <c r="K1227" s="2969" t="str">
        <f t="shared" si="38"/>
        <v>KDAABC3x95Kéo dây ABC 3x95mm2</v>
      </c>
    </row>
    <row r="1228" spans="1:11" ht="32.25" hidden="1" customHeight="1">
      <c r="A1228" s="1633" t="s">
        <v>861</v>
      </c>
      <c r="B1228" s="2973" t="s">
        <v>781</v>
      </c>
      <c r="C1228" s="2971" t="s">
        <v>4258</v>
      </c>
      <c r="D1228" s="69" t="s">
        <v>2526</v>
      </c>
      <c r="E1228" s="2968"/>
      <c r="F1228" s="2968">
        <v>3000</v>
      </c>
      <c r="G1228" s="2968" t="s">
        <v>510</v>
      </c>
      <c r="H1228" s="2968"/>
      <c r="I1228" s="2968"/>
      <c r="J1228" s="2968" t="str">
        <f t="shared" si="39"/>
        <v>KDAABC95</v>
      </c>
      <c r="K1228" s="2969" t="str">
        <f t="shared" si="38"/>
        <v>KDAABC95Kéo dây ABC 3x95mm2</v>
      </c>
    </row>
    <row r="1229" spans="1:11" ht="30.75" hidden="1" customHeight="1">
      <c r="A1229" s="2966" t="s">
        <v>6950</v>
      </c>
      <c r="B1229" s="2967" t="s">
        <v>5409</v>
      </c>
      <c r="C1229" s="2966" t="s">
        <v>6951</v>
      </c>
      <c r="D1229" s="69" t="s">
        <v>2032</v>
      </c>
      <c r="E1229" s="2968"/>
      <c r="F1229" s="2968">
        <v>3000</v>
      </c>
      <c r="G1229" s="2968" t="s">
        <v>510</v>
      </c>
      <c r="H1229" s="2968"/>
      <c r="I1229" s="2968"/>
      <c r="J1229" s="2968" t="str">
        <f t="shared" si="39"/>
        <v>KDAABC953</v>
      </c>
      <c r="K1229" s="2969" t="str">
        <f t="shared" si="38"/>
        <v>KDAABC953Kéo dây ABC 3x95mm2 (&lt;10m)</v>
      </c>
    </row>
    <row r="1230" spans="1:11" ht="32.25" hidden="1" customHeight="1">
      <c r="A1230" s="1633" t="s">
        <v>860</v>
      </c>
      <c r="B1230" s="2973" t="s">
        <v>780</v>
      </c>
      <c r="C1230" s="2971" t="s">
        <v>3201</v>
      </c>
      <c r="D1230" s="69" t="s">
        <v>2526</v>
      </c>
      <c r="E1230" s="2968"/>
      <c r="F1230" s="2968">
        <v>3000</v>
      </c>
      <c r="G1230" s="2968" t="s">
        <v>510</v>
      </c>
      <c r="H1230" s="2968"/>
      <c r="I1230" s="2968"/>
      <c r="J1230" s="2968" t="str">
        <f t="shared" si="39"/>
        <v>KDAABC120</v>
      </c>
      <c r="K1230" s="2969" t="str">
        <f t="shared" si="38"/>
        <v>KDAABC120Kéo dây ABC 4x120mm2</v>
      </c>
    </row>
    <row r="1231" spans="1:11" hidden="1">
      <c r="A1231" s="1633" t="s">
        <v>2217</v>
      </c>
      <c r="B1231" s="2973" t="s">
        <v>780</v>
      </c>
      <c r="C1231" s="2971" t="s">
        <v>3200</v>
      </c>
      <c r="D1231" s="69" t="s">
        <v>2526</v>
      </c>
      <c r="E1231" s="2968"/>
      <c r="F1231" s="2968">
        <v>3000</v>
      </c>
      <c r="G1231" s="2968" t="s">
        <v>510</v>
      </c>
      <c r="H1231" s="2968"/>
      <c r="I1231" s="2968"/>
      <c r="J1231" s="2968" t="str">
        <f t="shared" si="39"/>
        <v>KDAABC150</v>
      </c>
      <c r="K1231" s="2969" t="str">
        <f t="shared" si="38"/>
        <v>KDAABC150Kéo dây ABC 4x150mm2</v>
      </c>
    </row>
    <row r="1232" spans="1:11" hidden="1">
      <c r="A1232" s="2966" t="s">
        <v>5411</v>
      </c>
      <c r="B1232" s="2967" t="s">
        <v>5412</v>
      </c>
      <c r="C1232" s="2966" t="s">
        <v>3200</v>
      </c>
      <c r="D1232" s="69" t="s">
        <v>2032</v>
      </c>
      <c r="E1232" s="2968"/>
      <c r="F1232" s="2968">
        <v>3000</v>
      </c>
      <c r="G1232" s="2968" t="s">
        <v>510</v>
      </c>
      <c r="H1232" s="2968"/>
      <c r="I1232" s="2968"/>
      <c r="J1232" s="2968" t="str">
        <f t="shared" si="39"/>
        <v xml:space="preserve">KDAABC150 </v>
      </c>
      <c r="K1232" s="2969" t="str">
        <f t="shared" si="38"/>
        <v>KDAABC150 Kéo dây ABC 4x150mm2</v>
      </c>
    </row>
    <row r="1233" spans="1:11" hidden="1">
      <c r="A1233" s="1633" t="s">
        <v>863</v>
      </c>
      <c r="B1233" s="2973" t="s">
        <v>1764</v>
      </c>
      <c r="C1233" s="2971" t="s">
        <v>3203</v>
      </c>
      <c r="D1233" s="69" t="s">
        <v>2526</v>
      </c>
      <c r="E1233" s="2968"/>
      <c r="F1233" s="2968">
        <v>3000</v>
      </c>
      <c r="G1233" s="2968" t="s">
        <v>510</v>
      </c>
      <c r="H1233" s="2968"/>
      <c r="I1233" s="2968"/>
      <c r="J1233" s="2968" t="str">
        <f t="shared" si="39"/>
        <v>KDAABC50</v>
      </c>
      <c r="K1233" s="2969" t="str">
        <f t="shared" si="38"/>
        <v>KDAABC50Kéo dây ABC 4x50mm2</v>
      </c>
    </row>
    <row r="1234" spans="1:11" hidden="1">
      <c r="A1234" s="1633" t="s">
        <v>862</v>
      </c>
      <c r="B1234" s="2997" t="s">
        <v>2092</v>
      </c>
      <c r="C1234" s="2971" t="s">
        <v>3202</v>
      </c>
      <c r="D1234" s="69" t="s">
        <v>2526</v>
      </c>
      <c r="E1234" s="2968"/>
      <c r="F1234" s="2968">
        <v>3000</v>
      </c>
      <c r="G1234" s="2968" t="s">
        <v>510</v>
      </c>
      <c r="H1234" s="2968"/>
      <c r="I1234" s="2968"/>
      <c r="J1234" s="2968" t="str">
        <f t="shared" si="39"/>
        <v>KDAABC70</v>
      </c>
      <c r="K1234" s="2969" t="str">
        <f t="shared" si="38"/>
        <v>KDAABC70Kéo dây ABC 4x70mm2</v>
      </c>
    </row>
    <row r="1235" spans="1:11" hidden="1">
      <c r="A1235" s="2966" t="s">
        <v>96</v>
      </c>
      <c r="B1235" s="2973" t="s">
        <v>390</v>
      </c>
      <c r="C1235" s="2971" t="s">
        <v>3220</v>
      </c>
      <c r="D1235" s="69" t="s">
        <v>2526</v>
      </c>
      <c r="E1235" s="2968"/>
      <c r="F1235" s="2968">
        <v>3000</v>
      </c>
      <c r="G1235" s="2968" t="s">
        <v>510</v>
      </c>
      <c r="H1235" s="2968"/>
      <c r="I1235" s="2968"/>
      <c r="J1235" s="2968" t="str">
        <f t="shared" si="39"/>
        <v>KDM25B</v>
      </c>
      <c r="K1235" s="2969" t="str">
        <f t="shared" si="38"/>
        <v>KDM25BKéo dây đồng bọc 25mm2</v>
      </c>
    </row>
    <row r="1236" spans="1:11" hidden="1">
      <c r="A1236" s="3005" t="s">
        <v>252</v>
      </c>
      <c r="B1236" s="3006" t="s">
        <v>412</v>
      </c>
      <c r="C1236" s="3007" t="s">
        <v>3221</v>
      </c>
      <c r="D1236" s="3008" t="s">
        <v>2526</v>
      </c>
      <c r="E1236" s="2968"/>
      <c r="F1236" s="2968">
        <v>3000</v>
      </c>
      <c r="G1236" s="2968" t="s">
        <v>510</v>
      </c>
      <c r="H1236" s="2968"/>
      <c r="I1236" s="2968"/>
      <c r="J1236" s="2968" t="str">
        <f t="shared" si="39"/>
        <v>KDM50B</v>
      </c>
      <c r="K1236" s="2969" t="str">
        <f t="shared" si="38"/>
        <v>KDM50BKéo dây đồng bọc 50mm3</v>
      </c>
    </row>
    <row r="1237" spans="1:11" hidden="1">
      <c r="A1237" s="3009" t="s">
        <v>5461</v>
      </c>
      <c r="B1237" s="3010" t="s">
        <v>476</v>
      </c>
      <c r="C1237" s="3009" t="s">
        <v>5462</v>
      </c>
      <c r="D1237" s="3011" t="s">
        <v>2032</v>
      </c>
      <c r="E1237" s="2968"/>
      <c r="F1237" s="2968">
        <v>3000</v>
      </c>
      <c r="G1237" s="2968" t="s">
        <v>510</v>
      </c>
      <c r="H1237" s="2968"/>
      <c r="I1237" s="2968"/>
      <c r="J1237" s="2968" t="str">
        <f t="shared" si="39"/>
        <v>KDM70B</v>
      </c>
      <c r="K1237" s="2969" t="str">
        <f t="shared" si="38"/>
        <v>KDM70BKéo dây đồng bọc 70mm2</v>
      </c>
    </row>
    <row r="1238" spans="1:11" hidden="1">
      <c r="A1238" s="2966" t="s">
        <v>2088</v>
      </c>
      <c r="B1238" s="2973" t="s">
        <v>476</v>
      </c>
      <c r="C1238" s="2971" t="s">
        <v>3222</v>
      </c>
      <c r="D1238" s="69" t="s">
        <v>2526</v>
      </c>
      <c r="E1238" s="2968"/>
      <c r="F1238" s="2968">
        <v>3000</v>
      </c>
      <c r="G1238" s="2968" t="s">
        <v>510</v>
      </c>
      <c r="H1238" s="2968"/>
      <c r="I1238" s="2968"/>
      <c r="J1238" s="2968" t="str">
        <f t="shared" si="39"/>
        <v>KDM95B</v>
      </c>
      <c r="K1238" s="2969" t="str">
        <f t="shared" si="38"/>
        <v>KDM95BKéo dây đồng bọc 95mm2</v>
      </c>
    </row>
    <row r="1239" spans="1:11" hidden="1">
      <c r="A1239" s="2966" t="s">
        <v>6952</v>
      </c>
      <c r="B1239" s="2967" t="s">
        <v>6597</v>
      </c>
      <c r="C1239" s="2966" t="s">
        <v>6953</v>
      </c>
      <c r="D1239" s="69" t="s">
        <v>2032</v>
      </c>
      <c r="E1239" s="2968"/>
      <c r="F1239" s="2968">
        <v>3000</v>
      </c>
      <c r="G1239" s="2968" t="s">
        <v>510</v>
      </c>
      <c r="H1239" s="2968"/>
      <c r="I1239" s="2968"/>
      <c r="J1239" s="2968" t="str">
        <f t="shared" si="39"/>
        <v>KDCXV50B</v>
      </c>
      <c r="K1239" s="2969" t="str">
        <f t="shared" si="38"/>
        <v>KDCXV50BKéo dây đồng bọc XLPE cỡ dây 50mm2 (&lt;10m)</v>
      </c>
    </row>
    <row r="1240" spans="1:11" hidden="1">
      <c r="A1240" s="2966" t="s">
        <v>389</v>
      </c>
      <c r="B1240" s="2973" t="s">
        <v>390</v>
      </c>
      <c r="C1240" s="2971" t="s">
        <v>3213</v>
      </c>
      <c r="D1240" s="69" t="s">
        <v>2526</v>
      </c>
      <c r="E1240" s="2968"/>
      <c r="F1240" s="2968">
        <v>3000</v>
      </c>
      <c r="G1240" s="2968" t="s">
        <v>510</v>
      </c>
      <c r="H1240" s="2968"/>
      <c r="I1240" s="2968"/>
      <c r="J1240" s="2968" t="str">
        <f t="shared" si="39"/>
        <v>KDM22</v>
      </c>
      <c r="K1240" s="2969" t="str">
        <f t="shared" si="38"/>
        <v>KDM22Kéo dây đồng trần 22mm2</v>
      </c>
    </row>
    <row r="1241" spans="1:11" hidden="1">
      <c r="A1241" s="2966" t="s">
        <v>676</v>
      </c>
      <c r="B1241" s="2973" t="s">
        <v>390</v>
      </c>
      <c r="C1241" s="2971" t="s">
        <v>3214</v>
      </c>
      <c r="D1241" s="69" t="s">
        <v>2526</v>
      </c>
      <c r="E1241" s="2968"/>
      <c r="F1241" s="2968">
        <v>3000</v>
      </c>
      <c r="G1241" s="2968" t="s">
        <v>510</v>
      </c>
      <c r="H1241" s="2968"/>
      <c r="I1241" s="2968"/>
      <c r="J1241" s="2968" t="str">
        <f t="shared" si="39"/>
        <v>KDM25</v>
      </c>
      <c r="K1241" s="2969" t="str">
        <f t="shared" si="38"/>
        <v>KDM25Kéo dây đồng trần 25mm2</v>
      </c>
    </row>
    <row r="1242" spans="1:11" hidden="1">
      <c r="A1242" s="2966" t="s">
        <v>297</v>
      </c>
      <c r="B1242" s="2973" t="s">
        <v>298</v>
      </c>
      <c r="C1242" s="2971" t="s">
        <v>3215</v>
      </c>
      <c r="D1242" s="69" t="s">
        <v>2526</v>
      </c>
      <c r="E1242" s="2968"/>
      <c r="F1242" s="2968">
        <v>3000</v>
      </c>
      <c r="G1242" s="2968" t="s">
        <v>510</v>
      </c>
      <c r="H1242" s="2968"/>
      <c r="I1242" s="2968"/>
      <c r="J1242" s="2968" t="str">
        <f t="shared" si="39"/>
        <v>KDM35</v>
      </c>
      <c r="K1242" s="2969" t="str">
        <f t="shared" si="38"/>
        <v>KDM35Kéo dây đồng trần 35mm2</v>
      </c>
    </row>
    <row r="1243" spans="1:11" hidden="1">
      <c r="A1243" s="2966" t="s">
        <v>411</v>
      </c>
      <c r="B1243" s="2973" t="s">
        <v>412</v>
      </c>
      <c r="C1243" s="2971" t="s">
        <v>3216</v>
      </c>
      <c r="D1243" s="69" t="s">
        <v>2526</v>
      </c>
      <c r="E1243" s="2968"/>
      <c r="F1243" s="2968">
        <v>3000</v>
      </c>
      <c r="G1243" s="2968" t="s">
        <v>510</v>
      </c>
      <c r="H1243" s="2968"/>
      <c r="I1243" s="2968"/>
      <c r="J1243" s="2968" t="str">
        <f t="shared" si="39"/>
        <v>KDM48</v>
      </c>
      <c r="K1243" s="2969" t="str">
        <f t="shared" si="38"/>
        <v>KDM48Kéo dây đồng trần 48mm2</v>
      </c>
    </row>
    <row r="1244" spans="1:11" hidden="1">
      <c r="A1244" s="2966" t="s">
        <v>478</v>
      </c>
      <c r="B1244" s="2973" t="s">
        <v>412</v>
      </c>
      <c r="C1244" s="2971" t="s">
        <v>3217</v>
      </c>
      <c r="D1244" s="69" t="s">
        <v>2526</v>
      </c>
      <c r="E1244" s="2968"/>
      <c r="F1244" s="2968">
        <v>3000</v>
      </c>
      <c r="G1244" s="2968" t="s">
        <v>510</v>
      </c>
      <c r="H1244" s="2968"/>
      <c r="I1244" s="2968"/>
      <c r="J1244" s="2968" t="str">
        <f t="shared" si="39"/>
        <v>KDM50</v>
      </c>
      <c r="K1244" s="2969" t="str">
        <f t="shared" si="38"/>
        <v>KDM50Kéo dây đồng trần 50mm2</v>
      </c>
    </row>
    <row r="1245" spans="1:11" hidden="1">
      <c r="A1245" s="2966" t="s">
        <v>479</v>
      </c>
      <c r="B1245" s="2973" t="s">
        <v>480</v>
      </c>
      <c r="C1245" s="2971" t="s">
        <v>3218</v>
      </c>
      <c r="D1245" s="69" t="s">
        <v>2526</v>
      </c>
      <c r="E1245" s="2968"/>
      <c r="F1245" s="2968">
        <v>3000</v>
      </c>
      <c r="G1245" s="2968" t="s">
        <v>510</v>
      </c>
      <c r="H1245" s="2968"/>
      <c r="I1245" s="2968"/>
      <c r="J1245" s="2968" t="str">
        <f t="shared" si="39"/>
        <v>KDM70</v>
      </c>
      <c r="K1245" s="2969" t="str">
        <f t="shared" si="38"/>
        <v>KDM70Kéo dây đồng trần 70mm2</v>
      </c>
    </row>
    <row r="1246" spans="1:11" hidden="1">
      <c r="A1246" s="2966" t="s">
        <v>475</v>
      </c>
      <c r="B1246" s="2973" t="s">
        <v>476</v>
      </c>
      <c r="C1246" s="2971" t="s">
        <v>3219</v>
      </c>
      <c r="D1246" s="69" t="s">
        <v>2526</v>
      </c>
      <c r="E1246" s="2968"/>
      <c r="F1246" s="2968">
        <v>3000</v>
      </c>
      <c r="G1246" s="2968" t="s">
        <v>510</v>
      </c>
      <c r="H1246" s="2968"/>
      <c r="I1246" s="2968"/>
      <c r="J1246" s="2968" t="str">
        <f t="shared" si="39"/>
        <v>KDM95</v>
      </c>
      <c r="K1246" s="2969" t="str">
        <f t="shared" si="38"/>
        <v>KDM95Kéo dây đồng trần 95mm2</v>
      </c>
    </row>
    <row r="1247" spans="1:11" hidden="1">
      <c r="A1247" s="1633" t="s">
        <v>774</v>
      </c>
      <c r="B1247" s="2973" t="s">
        <v>772</v>
      </c>
      <c r="C1247" s="2966" t="s">
        <v>3611</v>
      </c>
      <c r="D1247" s="69" t="s">
        <v>2032</v>
      </c>
      <c r="E1247" s="2968"/>
      <c r="F1247" s="2968">
        <v>3000</v>
      </c>
      <c r="G1247" s="2968" t="s">
        <v>510</v>
      </c>
      <c r="H1247" s="2968"/>
      <c r="I1247" s="2968"/>
      <c r="J1247" s="2968" t="str">
        <f t="shared" si="39"/>
        <v>KDUPLEX11</v>
      </c>
      <c r="K1247" s="2969" t="str">
        <f t="shared" si="38"/>
        <v>KDUPLEX11Kéo dây duplex CV-2x11-0.6/1kV</v>
      </c>
    </row>
    <row r="1248" spans="1:11" hidden="1">
      <c r="A1248" s="2966" t="s">
        <v>5802</v>
      </c>
      <c r="B1248" s="2967" t="s">
        <v>772</v>
      </c>
      <c r="C1248" s="2966" t="s">
        <v>3611</v>
      </c>
      <c r="D1248" s="69" t="s">
        <v>2032</v>
      </c>
      <c r="E1248" s="2968"/>
      <c r="F1248" s="2968">
        <v>3000</v>
      </c>
      <c r="G1248" s="2968" t="s">
        <v>510</v>
      </c>
      <c r="H1248" s="2968"/>
      <c r="I1248" s="2968"/>
      <c r="J1248" s="2968" t="str">
        <f t="shared" si="39"/>
        <v xml:space="preserve"> KDUPLEX11 </v>
      </c>
      <c r="K1248" s="2969" t="str">
        <f t="shared" si="38"/>
        <v xml:space="preserve"> KDUPLEX11 Kéo dây duplex CV-2x11-0.6/1kV</v>
      </c>
    </row>
    <row r="1249" spans="1:11" hidden="1">
      <c r="A1249" s="2966" t="s">
        <v>1170</v>
      </c>
      <c r="B1249" s="2973" t="s">
        <v>1159</v>
      </c>
      <c r="C1249" s="2971" t="s">
        <v>3196</v>
      </c>
      <c r="D1249" s="69" t="s">
        <v>2526</v>
      </c>
      <c r="E1249" s="2968"/>
      <c r="F1249" s="2968">
        <v>3000</v>
      </c>
      <c r="G1249" s="2968" t="s">
        <v>510</v>
      </c>
      <c r="H1249" s="2968"/>
      <c r="I1249" s="2968"/>
      <c r="J1249" s="2968" t="str">
        <f t="shared" si="39"/>
        <v>KDA120B</v>
      </c>
      <c r="K1249" s="2969" t="str">
        <f t="shared" si="38"/>
        <v>KDA120BKéo dây nhôm bọc 120mm2</v>
      </c>
    </row>
    <row r="1250" spans="1:11" hidden="1">
      <c r="A1250" s="2966" t="s">
        <v>920</v>
      </c>
      <c r="B1250" s="2973" t="s">
        <v>789</v>
      </c>
      <c r="C1250" s="2971" t="s">
        <v>3197</v>
      </c>
      <c r="D1250" s="69" t="s">
        <v>2526</v>
      </c>
      <c r="E1250" s="2968"/>
      <c r="F1250" s="2968">
        <v>3000</v>
      </c>
      <c r="G1250" s="2968" t="s">
        <v>510</v>
      </c>
      <c r="H1250" s="2968"/>
      <c r="I1250" s="2968"/>
      <c r="J1250" s="2968" t="str">
        <f t="shared" si="39"/>
        <v>KDA150B</v>
      </c>
      <c r="K1250" s="2969" t="str">
        <f t="shared" si="38"/>
        <v>KDA150BKéo dây nhôm bọc 150mm2</v>
      </c>
    </row>
    <row r="1251" spans="1:11" hidden="1">
      <c r="A1251" s="2966" t="s">
        <v>921</v>
      </c>
      <c r="B1251" s="2973" t="s">
        <v>1160</v>
      </c>
      <c r="C1251" s="2971" t="s">
        <v>3198</v>
      </c>
      <c r="D1251" s="69" t="s">
        <v>2526</v>
      </c>
      <c r="E1251" s="2968"/>
      <c r="F1251" s="2968">
        <v>3000</v>
      </c>
      <c r="G1251" s="2968" t="s">
        <v>510</v>
      </c>
      <c r="H1251" s="2968"/>
      <c r="I1251" s="2968"/>
      <c r="J1251" s="2968" t="str">
        <f t="shared" si="39"/>
        <v>KDA185B</v>
      </c>
      <c r="K1251" s="2969" t="str">
        <f t="shared" si="38"/>
        <v>KDA185BKéo dây nhôm bọc 185mm2</v>
      </c>
    </row>
    <row r="1252" spans="1:11" hidden="1">
      <c r="A1252" s="2966" t="s">
        <v>1437</v>
      </c>
      <c r="B1252" s="2973" t="s">
        <v>1161</v>
      </c>
      <c r="C1252" s="2971" t="s">
        <v>3199</v>
      </c>
      <c r="D1252" s="69" t="s">
        <v>2526</v>
      </c>
      <c r="E1252" s="2968"/>
      <c r="F1252" s="2968">
        <v>3000</v>
      </c>
      <c r="G1252" s="2968" t="s">
        <v>510</v>
      </c>
      <c r="H1252" s="2968"/>
      <c r="I1252" s="2968"/>
      <c r="J1252" s="2968" t="str">
        <f t="shared" si="39"/>
        <v>KDA240B</v>
      </c>
      <c r="K1252" s="2969" t="str">
        <f t="shared" si="38"/>
        <v>KDA240BKéo dây nhôm bọc 240mm2</v>
      </c>
    </row>
    <row r="1253" spans="1:11" hidden="1">
      <c r="A1253" s="2966" t="s">
        <v>1162</v>
      </c>
      <c r="B1253" s="2973" t="s">
        <v>1518</v>
      </c>
      <c r="C1253" s="2971" t="s">
        <v>3192</v>
      </c>
      <c r="D1253" s="69" t="s">
        <v>2526</v>
      </c>
      <c r="E1253" s="2968"/>
      <c r="F1253" s="2968">
        <v>3000</v>
      </c>
      <c r="G1253" s="2968" t="s">
        <v>510</v>
      </c>
      <c r="H1253" s="2968"/>
      <c r="I1253" s="2968"/>
      <c r="J1253" s="2968" t="str">
        <f t="shared" si="39"/>
        <v>KDA35B</v>
      </c>
      <c r="K1253" s="2969" t="str">
        <f t="shared" si="38"/>
        <v>KDA35BKéo dây nhôm bọc 35mm2</v>
      </c>
    </row>
    <row r="1254" spans="1:11" hidden="1">
      <c r="A1254" s="2966" t="s">
        <v>449</v>
      </c>
      <c r="B1254" s="2973" t="s">
        <v>1621</v>
      </c>
      <c r="C1254" s="2971" t="s">
        <v>3193</v>
      </c>
      <c r="D1254" s="69" t="s">
        <v>2526</v>
      </c>
      <c r="E1254" s="2968"/>
      <c r="F1254" s="2968">
        <v>3000</v>
      </c>
      <c r="G1254" s="2968" t="s">
        <v>510</v>
      </c>
      <c r="H1254" s="2968"/>
      <c r="I1254" s="2968"/>
      <c r="J1254" s="2968" t="str">
        <f t="shared" si="39"/>
        <v>KDA50B</v>
      </c>
      <c r="K1254" s="2969" t="str">
        <f t="shared" si="38"/>
        <v>KDA50BKéo dây nhôm bọc 50mm2</v>
      </c>
    </row>
    <row r="1255" spans="1:11" hidden="1">
      <c r="A1255" s="2966" t="s">
        <v>79</v>
      </c>
      <c r="B1255" s="2973" t="s">
        <v>1519</v>
      </c>
      <c r="C1255" s="2971" t="s">
        <v>3194</v>
      </c>
      <c r="D1255" s="69" t="s">
        <v>2526</v>
      </c>
      <c r="E1255" s="2968"/>
      <c r="F1255" s="2968">
        <v>3000</v>
      </c>
      <c r="G1255" s="2968" t="s">
        <v>510</v>
      </c>
      <c r="H1255" s="2968"/>
      <c r="I1255" s="2968"/>
      <c r="J1255" s="2968" t="str">
        <f t="shared" si="39"/>
        <v>KDA70B</v>
      </c>
      <c r="K1255" s="2969" t="str">
        <f t="shared" si="38"/>
        <v>KDA70BKéo dây nhôm bọc 70mm2</v>
      </c>
    </row>
    <row r="1256" spans="1:11" hidden="1">
      <c r="A1256" s="2966" t="s">
        <v>1505</v>
      </c>
      <c r="B1256" s="2973" t="s">
        <v>2030</v>
      </c>
      <c r="C1256" s="2971" t="s">
        <v>3195</v>
      </c>
      <c r="D1256" s="69" t="s">
        <v>2526</v>
      </c>
      <c r="E1256" s="2968"/>
      <c r="F1256" s="2968">
        <v>3000</v>
      </c>
      <c r="G1256" s="2968" t="s">
        <v>510</v>
      </c>
      <c r="H1256" s="2968"/>
      <c r="I1256" s="2968"/>
      <c r="J1256" s="2968" t="str">
        <f t="shared" si="39"/>
        <v>KDA95B</v>
      </c>
      <c r="K1256" s="2969" t="str">
        <f t="shared" si="38"/>
        <v>KDA95BKéo dây nhôm bọc 95mm2</v>
      </c>
    </row>
    <row r="1257" spans="1:11" hidden="1">
      <c r="A1257" s="2966" t="s">
        <v>6479</v>
      </c>
      <c r="B1257" s="2973" t="s">
        <v>1762</v>
      </c>
      <c r="C1257" s="2971" t="s">
        <v>4270</v>
      </c>
      <c r="D1257" s="69" t="s">
        <v>2526</v>
      </c>
      <c r="E1257" s="2968"/>
      <c r="F1257" s="2968">
        <v>3000</v>
      </c>
      <c r="G1257" s="2968" t="s">
        <v>510</v>
      </c>
      <c r="H1257" s="2968"/>
      <c r="I1257" s="2968"/>
      <c r="J1257" s="2968" t="str">
        <f t="shared" si="39"/>
        <v>KDACXH50</v>
      </c>
      <c r="K1257" s="2969" t="str">
        <f t="shared" si="38"/>
        <v>KDACXH50Kéo dây nhôm bọc cỡ dây 50mm2</v>
      </c>
    </row>
    <row r="1258" spans="1:11" hidden="1">
      <c r="A1258" s="2966" t="s">
        <v>365</v>
      </c>
      <c r="B1258" s="2973" t="s">
        <v>1762</v>
      </c>
      <c r="C1258" s="2971" t="s">
        <v>4270</v>
      </c>
      <c r="D1258" s="69" t="s">
        <v>2526</v>
      </c>
      <c r="E1258" s="2968"/>
      <c r="F1258" s="2968">
        <v>3000</v>
      </c>
      <c r="G1258" s="2968" t="s">
        <v>510</v>
      </c>
      <c r="H1258" s="2968"/>
      <c r="I1258" s="2968"/>
      <c r="J1258" s="2968" t="str">
        <f t="shared" si="39"/>
        <v>KDACXV50</v>
      </c>
      <c r="K1258" s="2969" t="str">
        <f t="shared" si="38"/>
        <v>KDACXV50Kéo dây nhôm bọc cỡ dây 50mm2</v>
      </c>
    </row>
    <row r="1259" spans="1:11" hidden="1">
      <c r="A1259" s="2966" t="s">
        <v>1957</v>
      </c>
      <c r="B1259" s="2973" t="s">
        <v>1398</v>
      </c>
      <c r="C1259" s="2971" t="s">
        <v>3188</v>
      </c>
      <c r="D1259" s="69" t="s">
        <v>2526</v>
      </c>
      <c r="E1259" s="2968"/>
      <c r="F1259" s="2968">
        <v>3000</v>
      </c>
      <c r="G1259" s="2968" t="s">
        <v>510</v>
      </c>
      <c r="H1259" s="2968"/>
      <c r="I1259" s="2968"/>
      <c r="J1259" s="2968" t="str">
        <f t="shared" si="39"/>
        <v>KDA35</v>
      </c>
      <c r="K1259" s="2969" t="str">
        <f t="shared" si="38"/>
        <v>KDA35Kéo dây nhôm cỡ dây 35mm2</v>
      </c>
    </row>
    <row r="1260" spans="1:11" hidden="1">
      <c r="A1260" s="2966" t="s">
        <v>1399</v>
      </c>
      <c r="B1260" s="2973" t="s">
        <v>1621</v>
      </c>
      <c r="C1260" s="2971" t="s">
        <v>3189</v>
      </c>
      <c r="D1260" s="69" t="s">
        <v>2526</v>
      </c>
      <c r="E1260" s="2968"/>
      <c r="F1260" s="2968">
        <v>3000</v>
      </c>
      <c r="G1260" s="2968" t="s">
        <v>510</v>
      </c>
      <c r="H1260" s="2968"/>
      <c r="I1260" s="2968"/>
      <c r="J1260" s="2968" t="str">
        <f t="shared" si="39"/>
        <v>KDA50</v>
      </c>
      <c r="K1260" s="2969" t="str">
        <f t="shared" si="38"/>
        <v>KDA50Kéo dây nhôm cỡ dây 50mm2</v>
      </c>
    </row>
    <row r="1261" spans="1:11" hidden="1">
      <c r="A1261" s="2966" t="s">
        <v>616</v>
      </c>
      <c r="B1261" s="2973" t="s">
        <v>617</v>
      </c>
      <c r="C1261" s="2971" t="s">
        <v>3190</v>
      </c>
      <c r="D1261" s="69" t="s">
        <v>2526</v>
      </c>
      <c r="E1261" s="2968"/>
      <c r="F1261" s="2968">
        <v>3000</v>
      </c>
      <c r="G1261" s="2968" t="s">
        <v>510</v>
      </c>
      <c r="H1261" s="2968"/>
      <c r="I1261" s="2968"/>
      <c r="J1261" s="2968" t="str">
        <f t="shared" si="39"/>
        <v>KDA70</v>
      </c>
      <c r="K1261" s="2969" t="str">
        <f t="shared" si="38"/>
        <v>KDA70Kéo dây nhôm cỡ dây 70mm2</v>
      </c>
    </row>
    <row r="1262" spans="1:11" hidden="1">
      <c r="A1262" s="2966" t="s">
        <v>2238</v>
      </c>
      <c r="B1262" s="2973" t="s">
        <v>1158</v>
      </c>
      <c r="C1262" s="2971" t="s">
        <v>3191</v>
      </c>
      <c r="D1262" s="69" t="s">
        <v>2526</v>
      </c>
      <c r="E1262" s="2968"/>
      <c r="F1262" s="2968">
        <v>3000</v>
      </c>
      <c r="G1262" s="2968" t="s">
        <v>510</v>
      </c>
      <c r="H1262" s="2968"/>
      <c r="I1262" s="2968"/>
      <c r="J1262" s="2968" t="str">
        <f t="shared" si="39"/>
        <v>KDA95</v>
      </c>
      <c r="K1262" s="2969" t="str">
        <f t="shared" si="38"/>
        <v>KDA95Kéo dây nhôm cỡ dây 95mm2</v>
      </c>
    </row>
    <row r="1263" spans="1:11" hidden="1">
      <c r="A1263" s="2966" t="s">
        <v>5440</v>
      </c>
      <c r="B1263" s="2967" t="s">
        <v>5433</v>
      </c>
      <c r="C1263" s="2966" t="s">
        <v>5441</v>
      </c>
      <c r="D1263" s="69" t="s">
        <v>2032</v>
      </c>
      <c r="E1263" s="2968"/>
      <c r="F1263" s="2968">
        <v>3000</v>
      </c>
      <c r="G1263" s="2968" t="s">
        <v>510</v>
      </c>
      <c r="H1263" s="2968"/>
      <c r="I1263" s="2968"/>
      <c r="J1263" s="2968" t="str">
        <f t="shared" si="39"/>
        <v>KDACXV120</v>
      </c>
      <c r="K1263" s="2969" t="str">
        <f t="shared" si="38"/>
        <v>KDACXV120Kéo dây nhôm lõi thép bọc cỡ dây 120mm2</v>
      </c>
    </row>
    <row r="1264" spans="1:11" hidden="1">
      <c r="A1264" s="2966" t="s">
        <v>5442</v>
      </c>
      <c r="B1264" s="2967" t="s">
        <v>5434</v>
      </c>
      <c r="C1264" s="2966" t="s">
        <v>5443</v>
      </c>
      <c r="D1264" s="69" t="s">
        <v>2032</v>
      </c>
      <c r="E1264" s="2968"/>
      <c r="F1264" s="2968">
        <v>3000</v>
      </c>
      <c r="G1264" s="2968" t="s">
        <v>510</v>
      </c>
      <c r="H1264" s="2968"/>
      <c r="I1264" s="2968"/>
      <c r="J1264" s="2968" t="str">
        <f t="shared" si="39"/>
        <v>KDACXV185</v>
      </c>
      <c r="K1264" s="2969" t="str">
        <f t="shared" si="38"/>
        <v>KDACXV185Kéo dây nhôm lõi thép bọc cỡ dây 185mm2</v>
      </c>
    </row>
    <row r="1265" spans="1:11" hidden="1">
      <c r="A1265" s="2966" t="s">
        <v>5444</v>
      </c>
      <c r="B1265" s="2967" t="s">
        <v>5435</v>
      </c>
      <c r="C1265" s="2966" t="s">
        <v>5445</v>
      </c>
      <c r="D1265" s="69" t="s">
        <v>2032</v>
      </c>
      <c r="E1265" s="2968"/>
      <c r="F1265" s="2968">
        <v>3000</v>
      </c>
      <c r="G1265" s="2968" t="s">
        <v>510</v>
      </c>
      <c r="H1265" s="2968"/>
      <c r="I1265" s="2968"/>
      <c r="J1265" s="2968" t="str">
        <f t="shared" si="39"/>
        <v>KDACXV240</v>
      </c>
      <c r="K1265" s="2969" t="str">
        <f t="shared" si="38"/>
        <v>KDACXV240Kéo dây nhôm lõi thép bọc cỡ dây 240mm2</v>
      </c>
    </row>
    <row r="1266" spans="1:11" hidden="1">
      <c r="A1266" s="2966" t="s">
        <v>5436</v>
      </c>
      <c r="B1266" s="2967" t="s">
        <v>5431</v>
      </c>
      <c r="C1266" s="2966" t="s">
        <v>5437</v>
      </c>
      <c r="D1266" s="69" t="s">
        <v>2032</v>
      </c>
      <c r="E1266" s="2968"/>
      <c r="F1266" s="2968">
        <v>3000</v>
      </c>
      <c r="G1266" s="2968" t="s">
        <v>510</v>
      </c>
      <c r="H1266" s="2968"/>
      <c r="I1266" s="2968"/>
      <c r="J1266" s="2968" t="str">
        <f t="shared" si="39"/>
        <v>KDACXV70</v>
      </c>
      <c r="K1266" s="2969" t="str">
        <f t="shared" si="38"/>
        <v>KDACXV70Kéo dây nhôm lõi thép bọc cỡ dây 70mm2 (TC + MK)</v>
      </c>
    </row>
    <row r="1267" spans="1:11" hidden="1">
      <c r="A1267" s="2966" t="s">
        <v>5438</v>
      </c>
      <c r="B1267" s="2967" t="s">
        <v>5432</v>
      </c>
      <c r="C1267" s="2966" t="s">
        <v>5439</v>
      </c>
      <c r="D1267" s="69" t="s">
        <v>2032</v>
      </c>
      <c r="E1267" s="2968"/>
      <c r="F1267" s="2968">
        <v>3000</v>
      </c>
      <c r="G1267" s="2968" t="s">
        <v>510</v>
      </c>
      <c r="H1267" s="2968"/>
      <c r="I1267" s="2968"/>
      <c r="J1267" s="2968" t="str">
        <f t="shared" si="39"/>
        <v>KDACXV95</v>
      </c>
      <c r="K1267" s="2969" t="str">
        <f t="shared" si="38"/>
        <v>KDACXV95Kéo dây nhôm lõi thép bọc cỡ dây 95mm2 (TC + MK)</v>
      </c>
    </row>
    <row r="1268" spans="1:11" hidden="1">
      <c r="A1268" s="2966" t="s">
        <v>6954</v>
      </c>
      <c r="B1268" s="2967" t="s">
        <v>5435</v>
      </c>
      <c r="C1268" s="2966" t="s">
        <v>6955</v>
      </c>
      <c r="D1268" s="69" t="s">
        <v>2032</v>
      </c>
      <c r="E1268" s="2968"/>
      <c r="F1268" s="2968">
        <v>3000</v>
      </c>
      <c r="G1268" s="2968" t="s">
        <v>510</v>
      </c>
      <c r="H1268" s="2968"/>
      <c r="I1268" s="2968"/>
      <c r="J1268" s="2968" t="str">
        <f t="shared" si="39"/>
        <v>KDAC120B</v>
      </c>
      <c r="K1268" s="2969" t="str">
        <f t="shared" si="38"/>
        <v>KDAC120BKéo dây nhôm lõi thép bọc XLPE cỡ dây 120mm2</v>
      </c>
    </row>
    <row r="1269" spans="1:11" hidden="1">
      <c r="A1269" s="2966" t="s">
        <v>6956</v>
      </c>
      <c r="B1269" s="2967" t="s">
        <v>6594</v>
      </c>
      <c r="C1269" s="2966" t="s">
        <v>3210</v>
      </c>
      <c r="D1269" s="69" t="s">
        <v>2032</v>
      </c>
      <c r="E1269" s="2968"/>
      <c r="F1269" s="2968">
        <v>3000</v>
      </c>
      <c r="G1269" s="2968" t="s">
        <v>510</v>
      </c>
      <c r="H1269" s="2968"/>
      <c r="I1269" s="2968"/>
      <c r="J1269" s="2968" t="str">
        <f t="shared" si="39"/>
        <v>KDAC150B</v>
      </c>
      <c r="K1269" s="2969" t="str">
        <f t="shared" si="38"/>
        <v>KDAC150BKéo dây nhôm lõi thép bọc XLPE cỡ dây 150mm2</v>
      </c>
    </row>
    <row r="1270" spans="1:11" hidden="1">
      <c r="A1270" s="2966" t="s">
        <v>1368</v>
      </c>
      <c r="B1270" s="2973" t="s">
        <v>789</v>
      </c>
      <c r="C1270" s="2971" t="s">
        <v>3210</v>
      </c>
      <c r="D1270" s="69" t="s">
        <v>2526</v>
      </c>
      <c r="E1270" s="2968"/>
      <c r="F1270" s="2968">
        <v>3000</v>
      </c>
      <c r="G1270" s="2968" t="s">
        <v>510</v>
      </c>
      <c r="H1270" s="2968"/>
      <c r="I1270" s="2968"/>
      <c r="J1270" s="2968" t="str">
        <f t="shared" si="39"/>
        <v>KDACXV150</v>
      </c>
      <c r="K1270" s="2969" t="str">
        <f t="shared" si="38"/>
        <v>KDACXV150Kéo dây nhôm lõi thép bọc XLPE cỡ dây 150mm2</v>
      </c>
    </row>
    <row r="1271" spans="1:11" hidden="1">
      <c r="A1271" s="2966" t="s">
        <v>6957</v>
      </c>
      <c r="B1271" s="2967" t="s">
        <v>5431</v>
      </c>
      <c r="C1271" s="2966" t="s">
        <v>6958</v>
      </c>
      <c r="D1271" s="69" t="s">
        <v>2032</v>
      </c>
      <c r="E1271" s="2968"/>
      <c r="F1271" s="2968">
        <v>3000</v>
      </c>
      <c r="G1271" s="2968" t="s">
        <v>510</v>
      </c>
      <c r="H1271" s="2968"/>
      <c r="I1271" s="2968"/>
      <c r="J1271" s="2968" t="str">
        <f t="shared" si="39"/>
        <v>KDAC50B</v>
      </c>
      <c r="K1271" s="2969" t="str">
        <f t="shared" si="38"/>
        <v>KDAC50BKéo dây nhôm lõi thép bọc XLPE cỡ dây 50mm2 (≥10m)</v>
      </c>
    </row>
    <row r="1272" spans="1:11" hidden="1">
      <c r="A1272" s="2966" t="s">
        <v>6959</v>
      </c>
      <c r="B1272" s="2967" t="s">
        <v>6600</v>
      </c>
      <c r="C1272" s="2966" t="s">
        <v>6960</v>
      </c>
      <c r="D1272" s="69" t="s">
        <v>2032</v>
      </c>
      <c r="E1272" s="2968"/>
      <c r="F1272" s="2968">
        <v>3000</v>
      </c>
      <c r="G1272" s="2968" t="s">
        <v>510</v>
      </c>
      <c r="H1272" s="2968"/>
      <c r="I1272" s="2968"/>
      <c r="J1272" s="2968" t="str">
        <f t="shared" si="39"/>
        <v>KDAC50BT</v>
      </c>
      <c r="K1272" s="2969" t="str">
        <f t="shared" si="38"/>
        <v>KDAC50BTKéo dây nhôm lõi thép bọc XLPE cỡ dây 50mm2 (TC)</v>
      </c>
    </row>
    <row r="1273" spans="1:11" hidden="1">
      <c r="A1273" s="2966" t="s">
        <v>6961</v>
      </c>
      <c r="B1273" s="2967" t="s">
        <v>5431</v>
      </c>
      <c r="C1273" s="2966" t="s">
        <v>6962</v>
      </c>
      <c r="D1273" s="69" t="s">
        <v>2032</v>
      </c>
      <c r="E1273" s="2968"/>
      <c r="F1273" s="2968">
        <v>3000</v>
      </c>
      <c r="G1273" s="2968" t="s">
        <v>510</v>
      </c>
      <c r="H1273" s="2968"/>
      <c r="I1273" s="2968"/>
      <c r="J1273" s="2968" t="str">
        <f t="shared" si="39"/>
        <v>KDAC70B</v>
      </c>
      <c r="K1273" s="2969" t="str">
        <f t="shared" si="38"/>
        <v>KDAC70BKéo dây nhôm lõi thép bọc XLPE cỡ dây 70mm2 (≥10m)</v>
      </c>
    </row>
    <row r="1274" spans="1:11" hidden="1">
      <c r="A1274" s="2966" t="s">
        <v>6963</v>
      </c>
      <c r="B1274" s="2967" t="s">
        <v>6603</v>
      </c>
      <c r="C1274" s="2966" t="s">
        <v>6964</v>
      </c>
      <c r="D1274" s="69" t="s">
        <v>2032</v>
      </c>
      <c r="E1274" s="2968"/>
      <c r="F1274" s="2968">
        <v>3000</v>
      </c>
      <c r="G1274" s="2968" t="s">
        <v>510</v>
      </c>
      <c r="H1274" s="2968"/>
      <c r="I1274" s="2968"/>
      <c r="J1274" s="2968" t="str">
        <f t="shared" si="39"/>
        <v>KDAC70BT</v>
      </c>
      <c r="K1274" s="2969" t="str">
        <f t="shared" si="38"/>
        <v>KDAC70BTKéo dây nhôm lõi thép bọc XLPE cỡ dây 70mm2 (TC)</v>
      </c>
    </row>
    <row r="1275" spans="1:11" hidden="1">
      <c r="A1275" s="2966" t="s">
        <v>6965</v>
      </c>
      <c r="B1275" s="2967" t="s">
        <v>5432</v>
      </c>
      <c r="C1275" s="2966" t="s">
        <v>6966</v>
      </c>
      <c r="D1275" s="69" t="s">
        <v>2032</v>
      </c>
      <c r="E1275" s="2968"/>
      <c r="F1275" s="2968">
        <v>3000</v>
      </c>
      <c r="G1275" s="2968" t="s">
        <v>510</v>
      </c>
      <c r="H1275" s="2968"/>
      <c r="I1275" s="2968"/>
      <c r="J1275" s="2968" t="str">
        <f t="shared" si="39"/>
        <v>KDAC95B</v>
      </c>
      <c r="K1275" s="2969" t="str">
        <f t="shared" si="38"/>
        <v>KDAC95BKéo dây nhôm lõi thép bọc XLPE cỡ dây 95mm2</v>
      </c>
    </row>
    <row r="1276" spans="1:11" hidden="1">
      <c r="A1276" s="2966" t="s">
        <v>6967</v>
      </c>
      <c r="B1276" s="2967" t="s">
        <v>6606</v>
      </c>
      <c r="C1276" s="2966" t="s">
        <v>6968</v>
      </c>
      <c r="D1276" s="69" t="s">
        <v>2032</v>
      </c>
      <c r="E1276" s="2968"/>
      <c r="F1276" s="2968">
        <v>3000</v>
      </c>
      <c r="G1276" s="2968" t="s">
        <v>510</v>
      </c>
      <c r="H1276" s="2968"/>
      <c r="I1276" s="2968"/>
      <c r="J1276" s="2968" t="str">
        <f t="shared" si="39"/>
        <v>KDAC95BT</v>
      </c>
      <c r="K1276" s="2969" t="str">
        <f t="shared" si="38"/>
        <v>KDAC95BTKéo dây nhôm lõi thép bọc XLPE cỡ dây 95mm2 (TC)</v>
      </c>
    </row>
    <row r="1277" spans="1:11" hidden="1">
      <c r="A1277" s="2966" t="s">
        <v>139</v>
      </c>
      <c r="B1277" s="2973" t="s">
        <v>1159</v>
      </c>
      <c r="C1277" s="2971" t="s">
        <v>3208</v>
      </c>
      <c r="D1277" s="69" t="s">
        <v>2526</v>
      </c>
      <c r="E1277" s="2968"/>
      <c r="F1277" s="2968">
        <v>3000</v>
      </c>
      <c r="G1277" s="2968" t="s">
        <v>510</v>
      </c>
      <c r="H1277" s="2968"/>
      <c r="I1277" s="2968"/>
      <c r="J1277" s="2968" t="str">
        <f t="shared" si="39"/>
        <v>KDAC120</v>
      </c>
      <c r="K1277" s="2969" t="str">
        <f t="shared" si="38"/>
        <v>KDAC120Kéo dây nhôm lõi thép cỡ dây 120mm2</v>
      </c>
    </row>
    <row r="1278" spans="1:11" hidden="1">
      <c r="A1278" s="2966" t="s">
        <v>788</v>
      </c>
      <c r="B1278" s="2973" t="s">
        <v>789</v>
      </c>
      <c r="C1278" s="2971" t="s">
        <v>3209</v>
      </c>
      <c r="D1278" s="69" t="s">
        <v>2526</v>
      </c>
      <c r="E1278" s="2968"/>
      <c r="F1278" s="2968">
        <v>3000</v>
      </c>
      <c r="G1278" s="2968" t="s">
        <v>510</v>
      </c>
      <c r="H1278" s="2968"/>
      <c r="I1278" s="2968"/>
      <c r="J1278" s="2968" t="str">
        <f t="shared" si="39"/>
        <v>KDAC150</v>
      </c>
      <c r="K1278" s="2969" t="str">
        <f t="shared" si="38"/>
        <v>KDAC150Kéo dây nhôm lõi thép cỡ dây 150mm2</v>
      </c>
    </row>
    <row r="1279" spans="1:11" hidden="1">
      <c r="A1279" s="2966" t="s">
        <v>140</v>
      </c>
      <c r="B1279" s="2973" t="s">
        <v>1160</v>
      </c>
      <c r="C1279" s="2971" t="s">
        <v>3211</v>
      </c>
      <c r="D1279" s="69" t="s">
        <v>2526</v>
      </c>
      <c r="E1279" s="2968"/>
      <c r="F1279" s="2968">
        <v>3000</v>
      </c>
      <c r="G1279" s="2968" t="s">
        <v>510</v>
      </c>
      <c r="H1279" s="2968"/>
      <c r="I1279" s="2968"/>
      <c r="J1279" s="2968" t="str">
        <f t="shared" si="39"/>
        <v>KDAC185</v>
      </c>
      <c r="K1279" s="2969" t="str">
        <f t="shared" si="38"/>
        <v>KDAC185Kéo dây nhôm lõi thép cỡ dây 185mm2</v>
      </c>
    </row>
    <row r="1280" spans="1:11" hidden="1">
      <c r="A1280" s="2966" t="s">
        <v>708</v>
      </c>
      <c r="B1280" s="2973" t="s">
        <v>1161</v>
      </c>
      <c r="C1280" s="2971" t="s">
        <v>3212</v>
      </c>
      <c r="D1280" s="69" t="s">
        <v>2526</v>
      </c>
      <c r="E1280" s="2968"/>
      <c r="F1280" s="2968">
        <v>3000</v>
      </c>
      <c r="G1280" s="2968" t="s">
        <v>510</v>
      </c>
      <c r="H1280" s="2968"/>
      <c r="I1280" s="2968"/>
      <c r="J1280" s="2968" t="str">
        <f t="shared" si="39"/>
        <v>KDAC240</v>
      </c>
      <c r="K1280" s="2969" t="str">
        <f t="shared" si="38"/>
        <v>KDAC240Kéo dây nhôm lõi thép cỡ dây 240mm2</v>
      </c>
    </row>
    <row r="1281" spans="1:11" hidden="1">
      <c r="A1281" s="2966" t="s">
        <v>1517</v>
      </c>
      <c r="B1281" s="2973" t="s">
        <v>1518</v>
      </c>
      <c r="C1281" s="2971" t="s">
        <v>3204</v>
      </c>
      <c r="D1281" s="69" t="s">
        <v>2526</v>
      </c>
      <c r="E1281" s="2968"/>
      <c r="F1281" s="2968">
        <v>3000</v>
      </c>
      <c r="G1281" s="2968" t="s">
        <v>510</v>
      </c>
      <c r="H1281" s="2968"/>
      <c r="I1281" s="2968"/>
      <c r="J1281" s="2968" t="str">
        <f t="shared" si="39"/>
        <v>KDAC35</v>
      </c>
      <c r="K1281" s="2969" t="str">
        <f t="shared" si="38"/>
        <v>KDAC35Kéo dây nhôm lõi thép cỡ dây 35mm2</v>
      </c>
    </row>
    <row r="1282" spans="1:11" hidden="1">
      <c r="A1282" s="2966" t="s">
        <v>1265</v>
      </c>
      <c r="B1282" s="2973" t="s">
        <v>1762</v>
      </c>
      <c r="C1282" s="2971" t="s">
        <v>3205</v>
      </c>
      <c r="D1282" s="69" t="s">
        <v>2526</v>
      </c>
      <c r="E1282" s="2968"/>
      <c r="F1282" s="2968">
        <v>3000</v>
      </c>
      <c r="G1282" s="2968" t="s">
        <v>510</v>
      </c>
      <c r="H1282" s="2968"/>
      <c r="I1282" s="2968"/>
      <c r="J1282" s="2968" t="str">
        <f t="shared" si="39"/>
        <v>KDAC50</v>
      </c>
      <c r="K1282" s="2969" t="str">
        <f t="shared" si="38"/>
        <v>KDAC50Kéo dây nhôm lõi thép cỡ dây 50mm2</v>
      </c>
    </row>
    <row r="1283" spans="1:11" hidden="1">
      <c r="A1283" s="2969" t="s">
        <v>6969</v>
      </c>
      <c r="B1283" s="3004" t="s">
        <v>1762</v>
      </c>
      <c r="C1283" s="2969" t="s">
        <v>6970</v>
      </c>
      <c r="D1283" s="2968" t="s">
        <v>2032</v>
      </c>
      <c r="E1283" s="2968"/>
      <c r="F1283" s="2968">
        <v>3000</v>
      </c>
      <c r="G1283" s="2968" t="s">
        <v>510</v>
      </c>
      <c r="H1283" s="2968"/>
      <c r="I1283" s="2968"/>
      <c r="J1283" s="2968" t="str">
        <f t="shared" si="39"/>
        <v>KDAC50T</v>
      </c>
      <c r="K1283" s="2969" t="str">
        <f t="shared" ref="K1283:K1346" si="40">A1283&amp;C1283</f>
        <v>KDAC50TKéo dây nhôm lõi thép cỡ dây 50mm2 (TC)</v>
      </c>
    </row>
    <row r="1284" spans="1:11" hidden="1">
      <c r="A1284" s="2969" t="s">
        <v>1410</v>
      </c>
      <c r="B1284" s="2986" t="s">
        <v>1519</v>
      </c>
      <c r="C1284" s="3012" t="s">
        <v>3206</v>
      </c>
      <c r="D1284" s="2968" t="s">
        <v>2526</v>
      </c>
      <c r="E1284" s="2968"/>
      <c r="F1284" s="2968">
        <v>3000</v>
      </c>
      <c r="G1284" s="2968" t="s">
        <v>510</v>
      </c>
      <c r="H1284" s="2968"/>
      <c r="I1284" s="2968"/>
      <c r="J1284" s="2968" t="str">
        <f t="shared" ref="J1284:J1347" si="41">A1284</f>
        <v>KDAC70</v>
      </c>
      <c r="K1284" s="2969" t="str">
        <f t="shared" si="40"/>
        <v>KDAC70Kéo dây nhôm lõi thép cỡ dây 70mm2</v>
      </c>
    </row>
    <row r="1285" spans="1:11" hidden="1">
      <c r="A1285" s="2969" t="s">
        <v>6971</v>
      </c>
      <c r="B1285" s="3004" t="s">
        <v>6553</v>
      </c>
      <c r="C1285" s="2969" t="s">
        <v>6972</v>
      </c>
      <c r="D1285" s="2968" t="s">
        <v>2032</v>
      </c>
      <c r="E1285" s="2968"/>
      <c r="F1285" s="2968">
        <v>3000</v>
      </c>
      <c r="G1285" s="2968" t="s">
        <v>510</v>
      </c>
      <c r="H1285" s="2968"/>
      <c r="I1285" s="2968"/>
      <c r="J1285" s="2968" t="str">
        <f t="shared" si="41"/>
        <v>KDAC70T</v>
      </c>
      <c r="K1285" s="2969" t="str">
        <f t="shared" si="40"/>
        <v>KDAC70TKéo dây nhôm lõi thép cỡ dây 70mm2 (TC)</v>
      </c>
    </row>
    <row r="1286" spans="1:11" hidden="1">
      <c r="A1286" s="2969" t="s">
        <v>1520</v>
      </c>
      <c r="B1286" s="2986" t="s">
        <v>2030</v>
      </c>
      <c r="C1286" s="3012" t="s">
        <v>3207</v>
      </c>
      <c r="D1286" s="2968" t="s">
        <v>2526</v>
      </c>
      <c r="E1286" s="2968"/>
      <c r="F1286" s="2968">
        <v>3000</v>
      </c>
      <c r="G1286" s="2968" t="s">
        <v>510</v>
      </c>
      <c r="H1286" s="2968"/>
      <c r="I1286" s="2968"/>
      <c r="J1286" s="2968" t="str">
        <f t="shared" si="41"/>
        <v>KDAC95</v>
      </c>
      <c r="K1286" s="2969" t="str">
        <f t="shared" si="40"/>
        <v>KDAC95Kéo dây nhôm lõi thép cỡ dây 95mm2</v>
      </c>
    </row>
    <row r="1287" spans="1:11" hidden="1">
      <c r="A1287" s="2969" t="s">
        <v>6973</v>
      </c>
      <c r="B1287" s="3004" t="s">
        <v>6551</v>
      </c>
      <c r="C1287" s="2969" t="s">
        <v>6974</v>
      </c>
      <c r="D1287" s="2968" t="s">
        <v>2032</v>
      </c>
      <c r="E1287" s="2968"/>
      <c r="F1287" s="2968">
        <v>3000</v>
      </c>
      <c r="G1287" s="2968" t="s">
        <v>510</v>
      </c>
      <c r="H1287" s="2968"/>
      <c r="I1287" s="2968"/>
      <c r="J1287" s="2968" t="str">
        <f t="shared" si="41"/>
        <v>KDAC95T</v>
      </c>
      <c r="K1287" s="2969" t="str">
        <f t="shared" si="40"/>
        <v>KDAC95TKéo dây nhôm lõi thép cỡ dây 95mm2 (TC)</v>
      </c>
    </row>
    <row r="1288" spans="1:11" hidden="1">
      <c r="A1288" s="2969" t="s">
        <v>62</v>
      </c>
      <c r="B1288" s="2986" t="s">
        <v>332</v>
      </c>
      <c r="C1288" s="3012" t="s">
        <v>3227</v>
      </c>
      <c r="D1288" s="2968" t="s">
        <v>3224</v>
      </c>
      <c r="E1288" s="2968"/>
      <c r="F1288" s="2968">
        <v>3000</v>
      </c>
      <c r="G1288" s="2968" t="s">
        <v>510</v>
      </c>
      <c r="H1288" s="2968"/>
      <c r="I1288" s="2968"/>
      <c r="J1288" s="2968" t="str">
        <f t="shared" si="41"/>
        <v>KDQMR</v>
      </c>
      <c r="K1288" s="2969" t="str">
        <f t="shared" si="40"/>
        <v>KDQMRKéo dây qua mương rạch</v>
      </c>
    </row>
    <row r="1289" spans="1:11" hidden="1">
      <c r="A1289" s="2969" t="s">
        <v>353</v>
      </c>
      <c r="B1289" s="2986" t="s">
        <v>332</v>
      </c>
      <c r="C1289" s="3012" t="s">
        <v>3226</v>
      </c>
      <c r="D1289" s="2968" t="s">
        <v>3224</v>
      </c>
      <c r="E1289" s="2968"/>
      <c r="F1289" s="2968">
        <v>3000</v>
      </c>
      <c r="G1289" s="2968" t="s">
        <v>510</v>
      </c>
      <c r="H1289" s="2968"/>
      <c r="I1289" s="2968"/>
      <c r="J1289" s="2968" t="str">
        <f t="shared" si="41"/>
        <v>KDQS</v>
      </c>
      <c r="K1289" s="2969" t="str">
        <f t="shared" si="40"/>
        <v>KDQSKéo dây qua sông ( S&lt;=300)</v>
      </c>
    </row>
    <row r="1290" spans="1:11" hidden="1">
      <c r="A1290" s="2969" t="s">
        <v>352</v>
      </c>
      <c r="B1290" s="2986" t="s">
        <v>331</v>
      </c>
      <c r="C1290" s="3012" t="s">
        <v>3225</v>
      </c>
      <c r="D1290" s="2968" t="s">
        <v>3224</v>
      </c>
      <c r="E1290" s="2968"/>
      <c r="F1290" s="2968">
        <v>3000</v>
      </c>
      <c r="G1290" s="2968" t="s">
        <v>510</v>
      </c>
      <c r="H1290" s="2968"/>
      <c r="I1290" s="2968"/>
      <c r="J1290" s="2968" t="str">
        <f t="shared" si="41"/>
        <v>KDQG2</v>
      </c>
      <c r="K1290" s="2969" t="str">
        <f t="shared" si="40"/>
        <v xml:space="preserve">KDQG2Kéo dây qua vị trí bẻ góc dây </v>
      </c>
    </row>
    <row r="1291" spans="1:11" hidden="1">
      <c r="A1291" s="2969" t="s">
        <v>1396</v>
      </c>
      <c r="B1291" s="2986" t="s">
        <v>1397</v>
      </c>
      <c r="C1291" s="3012" t="s">
        <v>3223</v>
      </c>
      <c r="D1291" s="2968" t="s">
        <v>3224</v>
      </c>
      <c r="E1291" s="2968"/>
      <c r="F1291" s="2968">
        <v>3000</v>
      </c>
      <c r="G1291" s="2968" t="s">
        <v>510</v>
      </c>
      <c r="H1291" s="2968"/>
      <c r="I1291" s="2968"/>
      <c r="J1291" s="2968" t="str">
        <f t="shared" si="41"/>
        <v>KDQG1</v>
      </c>
      <c r="K1291" s="2969" t="str">
        <f t="shared" si="40"/>
        <v>KDQG1Kéo dây qua vị trí bẻ góc dây &lt;=50mm2</v>
      </c>
    </row>
    <row r="1292" spans="1:11" hidden="1">
      <c r="A1292" s="1636" t="s">
        <v>773</v>
      </c>
      <c r="B1292" s="2986" t="s">
        <v>772</v>
      </c>
      <c r="C1292" s="2969" t="s">
        <v>3609</v>
      </c>
      <c r="D1292" s="2968" t="s">
        <v>2032</v>
      </c>
      <c r="E1292" s="2968"/>
      <c r="F1292" s="2968">
        <v>3000</v>
      </c>
      <c r="G1292" s="2968" t="s">
        <v>510</v>
      </c>
      <c r="H1292" s="2968"/>
      <c r="I1292" s="2968"/>
      <c r="J1292" s="2968" t="str">
        <f t="shared" si="41"/>
        <v>KQDUPLEX11</v>
      </c>
      <c r="K1292" s="2969" t="str">
        <f t="shared" si="40"/>
        <v>KQDUPLEX11Kéo dây quadruplex CV-4x11-0.6/1kV</v>
      </c>
    </row>
    <row r="1293" spans="1:11" hidden="1">
      <c r="A1293" s="2969" t="s">
        <v>5800</v>
      </c>
      <c r="B1293" s="3004" t="s">
        <v>772</v>
      </c>
      <c r="C1293" s="2969" t="s">
        <v>3609</v>
      </c>
      <c r="D1293" s="2968" t="s">
        <v>2032</v>
      </c>
      <c r="E1293" s="2968"/>
      <c r="F1293" s="2968">
        <v>3000</v>
      </c>
      <c r="G1293" s="2968" t="s">
        <v>510</v>
      </c>
      <c r="H1293" s="2968"/>
      <c r="I1293" s="2968"/>
      <c r="J1293" s="2968" t="str">
        <f t="shared" si="41"/>
        <v xml:space="preserve"> KQDUPLEX11 </v>
      </c>
      <c r="K1293" s="2969" t="str">
        <f t="shared" si="40"/>
        <v xml:space="preserve"> KQDUPLEX11 Kéo dây quadruplex CV-4x11-0.6/1kV</v>
      </c>
    </row>
    <row r="1294" spans="1:11" hidden="1">
      <c r="A1294" s="1636" t="s">
        <v>771</v>
      </c>
      <c r="B1294" s="2986" t="s">
        <v>772</v>
      </c>
      <c r="C1294" s="2969" t="s">
        <v>3608</v>
      </c>
      <c r="D1294" s="2968" t="s">
        <v>2032</v>
      </c>
      <c r="E1294" s="2968"/>
      <c r="F1294" s="2968">
        <v>3000</v>
      </c>
      <c r="G1294" s="2968" t="s">
        <v>510</v>
      </c>
      <c r="H1294" s="2968"/>
      <c r="I1294" s="2968"/>
      <c r="J1294" s="2968" t="str">
        <f t="shared" si="41"/>
        <v>KQDUPLEX14</v>
      </c>
      <c r="K1294" s="2969" t="str">
        <f t="shared" si="40"/>
        <v>KQDUPLEX14Kéo dây quadruplex CV-4x14-0.6/1kV</v>
      </c>
    </row>
    <row r="1295" spans="1:11" hidden="1">
      <c r="A1295" s="2969" t="s">
        <v>5799</v>
      </c>
      <c r="B1295" s="3004" t="s">
        <v>772</v>
      </c>
      <c r="C1295" s="2969" t="s">
        <v>3608</v>
      </c>
      <c r="D1295" s="2968" t="s">
        <v>2032</v>
      </c>
      <c r="E1295" s="2968"/>
      <c r="F1295" s="2968">
        <v>3000</v>
      </c>
      <c r="G1295" s="2968" t="s">
        <v>510</v>
      </c>
      <c r="H1295" s="2968"/>
      <c r="I1295" s="2968"/>
      <c r="J1295" s="2968" t="str">
        <f t="shared" si="41"/>
        <v xml:space="preserve"> KQDUPLEX14 </v>
      </c>
      <c r="K1295" s="2969" t="str">
        <f t="shared" si="40"/>
        <v xml:space="preserve"> KQDUPLEX14 Kéo dây quadruplex CV-4x14-0.6/1kV</v>
      </c>
    </row>
    <row r="1296" spans="1:11" hidden="1">
      <c r="A1296" s="1636" t="s">
        <v>2057</v>
      </c>
      <c r="B1296" s="2986" t="s">
        <v>772</v>
      </c>
      <c r="C1296" s="2969" t="s">
        <v>3607</v>
      </c>
      <c r="D1296" s="2968" t="s">
        <v>2032</v>
      </c>
      <c r="E1296" s="2968"/>
      <c r="F1296" s="2968">
        <v>3000</v>
      </c>
      <c r="G1296" s="2968" t="s">
        <v>510</v>
      </c>
      <c r="H1296" s="2968"/>
      <c r="I1296" s="2968"/>
      <c r="J1296" s="2968" t="str">
        <f t="shared" si="41"/>
        <v>KQDUPLEX16</v>
      </c>
      <c r="K1296" s="2969" t="str">
        <f t="shared" si="40"/>
        <v>KQDUPLEX16Kéo dây quadruplex CV-4x16-0.6/1kV</v>
      </c>
    </row>
    <row r="1297" spans="1:11" hidden="1">
      <c r="A1297" s="2969" t="s">
        <v>5798</v>
      </c>
      <c r="B1297" s="3004" t="s">
        <v>772</v>
      </c>
      <c r="C1297" s="2969" t="s">
        <v>3607</v>
      </c>
      <c r="D1297" s="2968" t="s">
        <v>2032</v>
      </c>
      <c r="E1297" s="2968"/>
      <c r="F1297" s="2968">
        <v>3000</v>
      </c>
      <c r="G1297" s="2968" t="s">
        <v>510</v>
      </c>
      <c r="H1297" s="2968"/>
      <c r="I1297" s="2968"/>
      <c r="J1297" s="2968" t="str">
        <f t="shared" si="41"/>
        <v xml:space="preserve"> KQDUPLEX16 </v>
      </c>
      <c r="K1297" s="2969" t="str">
        <f t="shared" si="40"/>
        <v xml:space="preserve"> KQDUPLEX16 Kéo dây quadruplex CV-4x16-0.6/1kV</v>
      </c>
    </row>
    <row r="1298" spans="1:11" hidden="1">
      <c r="A1298" s="1636" t="s">
        <v>1109</v>
      </c>
      <c r="B1298" s="2986" t="s">
        <v>770</v>
      </c>
      <c r="C1298" s="2969" t="s">
        <v>3606</v>
      </c>
      <c r="D1298" s="2968" t="s">
        <v>2032</v>
      </c>
      <c r="E1298" s="2968"/>
      <c r="F1298" s="2968">
        <v>3000</v>
      </c>
      <c r="G1298" s="2968" t="s">
        <v>510</v>
      </c>
      <c r="H1298" s="2968"/>
      <c r="I1298" s="2968"/>
      <c r="J1298" s="2968" t="str">
        <f t="shared" si="41"/>
        <v>KQDUPLEX22</v>
      </c>
      <c r="K1298" s="2969" t="str">
        <f t="shared" si="40"/>
        <v>KQDUPLEX22Kéo dây quadruplex CV-4x22-0.6/1kV</v>
      </c>
    </row>
    <row r="1299" spans="1:11" hidden="1">
      <c r="A1299" s="2969" t="s">
        <v>5797</v>
      </c>
      <c r="B1299" s="3004" t="s">
        <v>770</v>
      </c>
      <c r="C1299" s="2969" t="s">
        <v>3606</v>
      </c>
      <c r="D1299" s="2968" t="s">
        <v>2032</v>
      </c>
      <c r="E1299" s="2968"/>
      <c r="F1299" s="2968">
        <v>3000</v>
      </c>
      <c r="G1299" s="2968" t="s">
        <v>510</v>
      </c>
      <c r="H1299" s="2968"/>
      <c r="I1299" s="2968"/>
      <c r="J1299" s="2968" t="str">
        <f t="shared" si="41"/>
        <v xml:space="preserve"> KQDUPLEX22 </v>
      </c>
      <c r="K1299" s="2969" t="str">
        <f t="shared" si="40"/>
        <v xml:space="preserve"> KQDUPLEX22 Kéo dây quadruplex CV-4x22-0.6/1kV</v>
      </c>
    </row>
    <row r="1300" spans="1:11" hidden="1">
      <c r="A1300" s="1636" t="s">
        <v>919</v>
      </c>
      <c r="B1300" s="2986" t="s">
        <v>579</v>
      </c>
      <c r="C1300" s="2969" t="s">
        <v>3605</v>
      </c>
      <c r="D1300" s="2968" t="s">
        <v>2032</v>
      </c>
      <c r="E1300" s="2968"/>
      <c r="F1300" s="2968">
        <v>3000</v>
      </c>
      <c r="G1300" s="2968" t="s">
        <v>510</v>
      </c>
      <c r="H1300" s="2968"/>
      <c r="I1300" s="2968"/>
      <c r="J1300" s="2968" t="str">
        <f t="shared" si="41"/>
        <v>KQDUPLEX35</v>
      </c>
      <c r="K1300" s="2969" t="str">
        <f t="shared" si="40"/>
        <v>KQDUPLEX35Kéo dây quadruplex CV-4x35-0.6/1kV</v>
      </c>
    </row>
    <row r="1301" spans="1:11" hidden="1">
      <c r="A1301" s="2969" t="s">
        <v>5796</v>
      </c>
      <c r="B1301" s="3004" t="s">
        <v>579</v>
      </c>
      <c r="C1301" s="2969" t="s">
        <v>3605</v>
      </c>
      <c r="D1301" s="2968" t="s">
        <v>2032</v>
      </c>
      <c r="E1301" s="2968"/>
      <c r="F1301" s="2968">
        <v>3000</v>
      </c>
      <c r="G1301" s="2968" t="s">
        <v>510</v>
      </c>
      <c r="H1301" s="2968"/>
      <c r="I1301" s="2968"/>
      <c r="J1301" s="2968" t="str">
        <f t="shared" si="41"/>
        <v xml:space="preserve"> KQDUPLEX35 </v>
      </c>
      <c r="K1301" s="2969" t="str">
        <f t="shared" si="40"/>
        <v xml:space="preserve"> KQDUPLEX35 Kéo dây quadruplex CV-4x35-0.6/1kV</v>
      </c>
    </row>
    <row r="1302" spans="1:11" hidden="1">
      <c r="A1302" s="2969" t="s">
        <v>1513</v>
      </c>
      <c r="B1302" s="2986" t="s">
        <v>265</v>
      </c>
      <c r="C1302" s="2969" t="s">
        <v>3136</v>
      </c>
      <c r="D1302" s="2968" t="s">
        <v>2526</v>
      </c>
      <c r="E1302" s="2968"/>
      <c r="F1302" s="2968">
        <v>3000</v>
      </c>
      <c r="G1302" s="2968" t="s">
        <v>510</v>
      </c>
      <c r="H1302" s="2968"/>
      <c r="I1302" s="2968"/>
      <c r="J1302" s="2968" t="str">
        <f t="shared" si="41"/>
        <v>KTD</v>
      </c>
      <c r="K1302" s="2969" t="str">
        <f t="shared" si="40"/>
        <v xml:space="preserve">KTDKéo dây tiếp địa </v>
      </c>
    </row>
    <row r="1303" spans="1:11" hidden="1">
      <c r="A1303" s="2969" t="s">
        <v>388</v>
      </c>
      <c r="B1303" s="2986" t="s">
        <v>1490</v>
      </c>
      <c r="C1303" s="2969" t="s">
        <v>3137</v>
      </c>
      <c r="D1303" s="2968" t="s">
        <v>2243</v>
      </c>
      <c r="E1303" s="2968"/>
      <c r="F1303" s="2968">
        <v>3000</v>
      </c>
      <c r="G1303" s="2968" t="s">
        <v>510</v>
      </c>
      <c r="H1303" s="2968"/>
      <c r="I1303" s="2968"/>
      <c r="J1303" s="2968" t="str">
        <f t="shared" si="41"/>
        <v>KTDTBA</v>
      </c>
      <c r="K1303" s="2969" t="str">
        <f t="shared" si="40"/>
        <v>KTDTBAKéo dây tiếp địa trong TBA</v>
      </c>
    </row>
    <row r="1304" spans="1:11" hidden="1">
      <c r="A1304" s="1636" t="s">
        <v>732</v>
      </c>
      <c r="B1304" s="2986" t="s">
        <v>772</v>
      </c>
      <c r="C1304" s="2969" t="s">
        <v>3610</v>
      </c>
      <c r="D1304" s="2968" t="s">
        <v>2032</v>
      </c>
      <c r="E1304" s="2968"/>
      <c r="F1304" s="2968">
        <v>3000</v>
      </c>
      <c r="G1304" s="2968" t="s">
        <v>510</v>
      </c>
      <c r="H1304" s="2968"/>
      <c r="I1304" s="2968"/>
      <c r="J1304" s="2968" t="str">
        <f t="shared" si="41"/>
        <v>KTriplex16</v>
      </c>
      <c r="K1304" s="2969" t="str">
        <f t="shared" si="40"/>
        <v>KTriplex16Kéo dây triplex CV-3x16-0.6/1kV</v>
      </c>
    </row>
    <row r="1305" spans="1:11" hidden="1">
      <c r="A1305" s="2969" t="s">
        <v>5801</v>
      </c>
      <c r="B1305" s="3004" t="s">
        <v>772</v>
      </c>
      <c r="C1305" s="2969" t="s">
        <v>3610</v>
      </c>
      <c r="D1305" s="2968" t="s">
        <v>2032</v>
      </c>
      <c r="E1305" s="2968"/>
      <c r="F1305" s="2968">
        <v>3000</v>
      </c>
      <c r="G1305" s="2968" t="s">
        <v>510</v>
      </c>
      <c r="H1305" s="2968"/>
      <c r="I1305" s="2968"/>
      <c r="J1305" s="2968" t="str">
        <f t="shared" si="41"/>
        <v xml:space="preserve"> KTriplex16 </v>
      </c>
      <c r="K1305" s="2969" t="str">
        <f t="shared" si="40"/>
        <v xml:space="preserve"> KTriplex16 Kéo dây triplex CV-3x16-0.6/1kV</v>
      </c>
    </row>
    <row r="1306" spans="1:11" hidden="1">
      <c r="A1306" s="2969" t="s">
        <v>2034</v>
      </c>
      <c r="B1306" s="2986" t="s">
        <v>2035</v>
      </c>
      <c r="C1306" s="3012" t="s">
        <v>3228</v>
      </c>
      <c r="D1306" s="2968" t="s">
        <v>3224</v>
      </c>
      <c r="E1306" s="2968"/>
      <c r="F1306" s="2968">
        <v>3000</v>
      </c>
      <c r="G1306" s="2968" t="s">
        <v>510</v>
      </c>
      <c r="H1306" s="2968"/>
      <c r="I1306" s="2968"/>
      <c r="J1306" s="2968" t="str">
        <f t="shared" si="41"/>
        <v>KDQD</v>
      </c>
      <c r="K1306" s="2969" t="str">
        <f t="shared" si="40"/>
        <v>KDQDKéo dây vượt đường ( dây &lt;=50mm2)</v>
      </c>
    </row>
    <row r="1307" spans="1:11" hidden="1">
      <c r="A1307" s="2969" t="s">
        <v>2036</v>
      </c>
      <c r="B1307" s="2986" t="s">
        <v>1156</v>
      </c>
      <c r="C1307" s="3012" t="s">
        <v>3229</v>
      </c>
      <c r="D1307" s="2968" t="s">
        <v>3224</v>
      </c>
      <c r="E1307" s="2968"/>
      <c r="F1307" s="2968">
        <v>3000</v>
      </c>
      <c r="G1307" s="2968" t="s">
        <v>510</v>
      </c>
      <c r="H1307" s="2968"/>
      <c r="I1307" s="2968"/>
      <c r="J1307" s="2968" t="str">
        <f t="shared" si="41"/>
        <v>KDQD1</v>
      </c>
      <c r="K1307" s="2969" t="str">
        <f t="shared" si="40"/>
        <v>KDQD1Kéo dây vượt đường (dây &lt;=95mm2)</v>
      </c>
    </row>
    <row r="1308" spans="1:11" hidden="1">
      <c r="A1308" s="2969" t="s">
        <v>4623</v>
      </c>
      <c r="B1308" s="3004"/>
      <c r="C1308" s="2969" t="s">
        <v>6975</v>
      </c>
      <c r="D1308" s="2968" t="s">
        <v>2547</v>
      </c>
      <c r="E1308" s="2968"/>
      <c r="F1308" s="2968">
        <v>50</v>
      </c>
      <c r="G1308" s="2968" t="s">
        <v>510</v>
      </c>
      <c r="H1308" s="2968"/>
      <c r="I1308" s="2968"/>
      <c r="J1308" s="2968" t="str">
        <f t="shared" si="41"/>
        <v>Kep3U</v>
      </c>
      <c r="K1308" s="2969" t="str">
        <f t="shared" si="40"/>
        <v>Kep3UKẹp dừng 3 U</v>
      </c>
    </row>
    <row r="1309" spans="1:11" hidden="1">
      <c r="A1309" s="2969" t="s">
        <v>4827</v>
      </c>
      <c r="B1309" s="3004"/>
      <c r="C1309" s="2969" t="s">
        <v>6976</v>
      </c>
      <c r="D1309" s="2968" t="s">
        <v>2547</v>
      </c>
      <c r="E1309" s="2968"/>
      <c r="F1309" s="2968">
        <v>50</v>
      </c>
      <c r="G1309" s="2968" t="s">
        <v>510</v>
      </c>
      <c r="H1309" s="2968"/>
      <c r="I1309" s="2968"/>
      <c r="J1309" s="2968" t="str">
        <f t="shared" si="41"/>
        <v>Kep5U</v>
      </c>
      <c r="K1309" s="2969" t="str">
        <f t="shared" si="40"/>
        <v>Kep5UKẹp dừng 5 U</v>
      </c>
    </row>
    <row r="1310" spans="1:11" hidden="1">
      <c r="A1310" s="2969" t="s">
        <v>589</v>
      </c>
      <c r="B1310" s="3004" t="s">
        <v>590</v>
      </c>
      <c r="C1310" s="3012" t="s">
        <v>3636</v>
      </c>
      <c r="D1310" s="2968" t="s">
        <v>2526</v>
      </c>
      <c r="E1310" s="2968"/>
      <c r="F1310" s="2968">
        <v>3000</v>
      </c>
      <c r="G1310" s="2968" t="s">
        <v>510</v>
      </c>
      <c r="H1310" s="2968"/>
      <c r="I1310" s="2968"/>
      <c r="J1310" s="2968" t="str">
        <f t="shared" si="41"/>
        <v>KCAPDEN</v>
      </c>
      <c r="K1310" s="2969" t="str">
        <f t="shared" si="40"/>
        <v>KCAPDENKéo rải cáp chiếu sáng D&lt;25</v>
      </c>
    </row>
    <row r="1311" spans="1:11" hidden="1">
      <c r="A1311" s="2969" t="s">
        <v>591</v>
      </c>
      <c r="B1311" s="3004" t="s">
        <v>592</v>
      </c>
      <c r="C1311" s="3012" t="s">
        <v>3637</v>
      </c>
      <c r="D1311" s="2968" t="s">
        <v>2526</v>
      </c>
      <c r="E1311" s="2968"/>
      <c r="F1311" s="2968">
        <v>3000</v>
      </c>
      <c r="G1311" s="2968" t="s">
        <v>510</v>
      </c>
      <c r="H1311" s="2968"/>
      <c r="I1311" s="2968"/>
      <c r="J1311" s="2968" t="str">
        <f t="shared" si="41"/>
        <v>KCAPDEN25</v>
      </c>
      <c r="K1311" s="2969" t="str">
        <f t="shared" si="40"/>
        <v>KCAPDEN25Kéo rải cáp chiếu sáng D&gt;25</v>
      </c>
    </row>
    <row r="1312" spans="1:11" hidden="1">
      <c r="A1312" s="2969" t="s">
        <v>6977</v>
      </c>
      <c r="B1312" s="3004" t="s">
        <v>6637</v>
      </c>
      <c r="C1312" s="2969" t="s">
        <v>6978</v>
      </c>
      <c r="D1312" s="2968" t="s">
        <v>2526</v>
      </c>
      <c r="E1312" s="2968"/>
      <c r="F1312" s="2968">
        <v>3000</v>
      </c>
      <c r="G1312" s="2968" t="s">
        <v>510</v>
      </c>
      <c r="H1312" s="2968"/>
      <c r="I1312" s="2968"/>
      <c r="J1312" s="2968" t="str">
        <f t="shared" si="41"/>
        <v>KCNTT50-150</v>
      </c>
      <c r="K1312" s="2969" t="str">
        <f t="shared" si="40"/>
        <v>KCNTT50-150Kéo rải cáp ngầm trung thế 1 pha 50mm2 (&lt;150m)</v>
      </c>
    </row>
    <row r="1313" spans="1:11" hidden="1">
      <c r="A1313" s="2969" t="s">
        <v>6979</v>
      </c>
      <c r="B1313" s="3004" t="s">
        <v>6637</v>
      </c>
      <c r="C1313" s="2969" t="s">
        <v>6980</v>
      </c>
      <c r="D1313" s="2968" t="s">
        <v>2526</v>
      </c>
      <c r="E1313" s="2968"/>
      <c r="F1313" s="2968">
        <v>3000</v>
      </c>
      <c r="G1313" s="2968" t="s">
        <v>510</v>
      </c>
      <c r="H1313" s="2968"/>
      <c r="I1313" s="2968"/>
      <c r="J1313" s="2968" t="str">
        <f t="shared" si="41"/>
        <v>KCNTT50</v>
      </c>
      <c r="K1313" s="2969" t="str">
        <f t="shared" si="40"/>
        <v>KCNTT50Kéo rải cáp ngầm trung thế 1 pha 50mm2 (&gt;351m)</v>
      </c>
    </row>
    <row r="1314" spans="1:11" hidden="1">
      <c r="A1314" s="2969" t="s">
        <v>6981</v>
      </c>
      <c r="B1314" s="3004" t="s">
        <v>6637</v>
      </c>
      <c r="C1314" s="2969" t="s">
        <v>6982</v>
      </c>
      <c r="D1314" s="2968" t="s">
        <v>2526</v>
      </c>
      <c r="E1314" s="2968"/>
      <c r="F1314" s="2968">
        <v>3000</v>
      </c>
      <c r="G1314" s="2968" t="s">
        <v>510</v>
      </c>
      <c r="H1314" s="2968"/>
      <c r="I1314" s="2968"/>
      <c r="J1314" s="2968" t="str">
        <f t="shared" si="41"/>
        <v>KCNTT50-250</v>
      </c>
      <c r="K1314" s="2969" t="str">
        <f t="shared" si="40"/>
        <v>KCNTT50-250Kéo rải cáp ngầm trung thế 1 pha 50mm2 (151-250m)</v>
      </c>
    </row>
    <row r="1315" spans="1:11" hidden="1">
      <c r="A1315" s="2969" t="s">
        <v>6983</v>
      </c>
      <c r="B1315" s="3004" t="s">
        <v>6637</v>
      </c>
      <c r="C1315" s="2969" t="s">
        <v>6984</v>
      </c>
      <c r="D1315" s="2968" t="s">
        <v>2526</v>
      </c>
      <c r="E1315" s="2968"/>
      <c r="F1315" s="2968">
        <v>3000</v>
      </c>
      <c r="G1315" s="2968" t="s">
        <v>510</v>
      </c>
      <c r="H1315" s="2968"/>
      <c r="I1315" s="2968"/>
      <c r="J1315" s="2968" t="str">
        <f t="shared" si="41"/>
        <v>KCNTT50-350</v>
      </c>
      <c r="K1315" s="2969" t="str">
        <f t="shared" si="40"/>
        <v>KCNTT50-350Kéo rải cáp ngầm trung thế 1 pha 50mm2 (251-350m)</v>
      </c>
    </row>
    <row r="1316" spans="1:11" hidden="1">
      <c r="A1316" s="2969" t="s">
        <v>6985</v>
      </c>
      <c r="B1316" s="3004" t="s">
        <v>6632</v>
      </c>
      <c r="C1316" s="2969" t="s">
        <v>6986</v>
      </c>
      <c r="D1316" s="2968" t="s">
        <v>2526</v>
      </c>
      <c r="E1316" s="2968"/>
      <c r="F1316" s="2968">
        <v>3000</v>
      </c>
      <c r="G1316" s="2968" t="s">
        <v>510</v>
      </c>
      <c r="H1316" s="2968"/>
      <c r="I1316" s="2968"/>
      <c r="J1316" s="2968" t="str">
        <f t="shared" si="41"/>
        <v>KCNTT3P50-150</v>
      </c>
      <c r="K1316" s="2969" t="str">
        <f t="shared" si="40"/>
        <v>KCNTT3P50-150Kéo rải cáp ngầm trung thế 3 pha 3x50mm2 (&lt;150m)</v>
      </c>
    </row>
    <row r="1317" spans="1:11" hidden="1">
      <c r="A1317" s="2969" t="s">
        <v>6987</v>
      </c>
      <c r="B1317" s="3004" t="s">
        <v>6632</v>
      </c>
      <c r="C1317" s="2969" t="s">
        <v>6988</v>
      </c>
      <c r="D1317" s="2968" t="s">
        <v>2526</v>
      </c>
      <c r="E1317" s="2968"/>
      <c r="F1317" s="2968">
        <v>3000</v>
      </c>
      <c r="G1317" s="2968" t="s">
        <v>510</v>
      </c>
      <c r="H1317" s="2968"/>
      <c r="I1317" s="2968"/>
      <c r="J1317" s="2968" t="str">
        <f t="shared" si="41"/>
        <v>KCNTT3P50</v>
      </c>
      <c r="K1317" s="2969" t="str">
        <f t="shared" si="40"/>
        <v>KCNTT3P50Kéo rải cáp ngầm trung thế 3 pha 3x50mm2 (&gt;351m)</v>
      </c>
    </row>
    <row r="1318" spans="1:11" hidden="1">
      <c r="A1318" s="2969" t="s">
        <v>6989</v>
      </c>
      <c r="B1318" s="3004" t="s">
        <v>6632</v>
      </c>
      <c r="C1318" s="2969" t="s">
        <v>6990</v>
      </c>
      <c r="D1318" s="2968" t="s">
        <v>2526</v>
      </c>
      <c r="E1318" s="2968"/>
      <c r="F1318" s="2968">
        <v>3000</v>
      </c>
      <c r="G1318" s="2968" t="s">
        <v>510</v>
      </c>
      <c r="H1318" s="2968"/>
      <c r="I1318" s="2968"/>
      <c r="J1318" s="2968" t="str">
        <f t="shared" si="41"/>
        <v>KCNTT3P50-250</v>
      </c>
      <c r="K1318" s="2969" t="str">
        <f t="shared" si="40"/>
        <v>KCNTT3P50-250Kéo rải cáp ngầm trung thế 3 pha 3x50mm2 (151-250m)</v>
      </c>
    </row>
    <row r="1319" spans="1:11" hidden="1">
      <c r="A1319" s="2969" t="s">
        <v>6991</v>
      </c>
      <c r="B1319" s="3004" t="s">
        <v>6632</v>
      </c>
      <c r="C1319" s="2969" t="s">
        <v>6992</v>
      </c>
      <c r="D1319" s="2968" t="s">
        <v>2526</v>
      </c>
      <c r="E1319" s="2968"/>
      <c r="F1319" s="2968">
        <v>3000</v>
      </c>
      <c r="G1319" s="2968" t="s">
        <v>510</v>
      </c>
      <c r="H1319" s="2968"/>
      <c r="I1319" s="2968"/>
      <c r="J1319" s="2968" t="str">
        <f t="shared" si="41"/>
        <v>KCNTT3P50-350</v>
      </c>
      <c r="K1319" s="2969" t="str">
        <f t="shared" si="40"/>
        <v>KCNTT3P50-350Kéo rải cáp ngầm trung thế 3 pha 3x50mm2 (251-350m)</v>
      </c>
    </row>
    <row r="1320" spans="1:11" hidden="1">
      <c r="A1320" s="2969" t="s">
        <v>6993</v>
      </c>
      <c r="B1320" s="3004" t="s">
        <v>6627</v>
      </c>
      <c r="C1320" s="2969" t="s">
        <v>6994</v>
      </c>
      <c r="D1320" s="2968" t="s">
        <v>2526</v>
      </c>
      <c r="E1320" s="2968"/>
      <c r="F1320" s="2968">
        <v>3000</v>
      </c>
      <c r="G1320" s="2968" t="s">
        <v>510</v>
      </c>
      <c r="H1320" s="2968"/>
      <c r="I1320" s="2968"/>
      <c r="J1320" s="2968" t="str">
        <f t="shared" si="41"/>
        <v>KCNCXV50-150</v>
      </c>
      <c r="K1320" s="2969" t="str">
        <f t="shared" si="40"/>
        <v>KCNCXV50-150Kéo rải cáp nguội trung thế ngầm 50mm2 (&lt;150m)</v>
      </c>
    </row>
    <row r="1321" spans="1:11" hidden="1">
      <c r="A1321" s="2969" t="s">
        <v>6995</v>
      </c>
      <c r="B1321" s="3004" t="s">
        <v>6627</v>
      </c>
      <c r="C1321" s="2969" t="s">
        <v>6996</v>
      </c>
      <c r="D1321" s="2968" t="s">
        <v>2526</v>
      </c>
      <c r="E1321" s="2968"/>
      <c r="F1321" s="2968">
        <v>3000</v>
      </c>
      <c r="G1321" s="2968" t="s">
        <v>510</v>
      </c>
      <c r="H1321" s="2968"/>
      <c r="I1321" s="2968"/>
      <c r="J1321" s="2968" t="str">
        <f t="shared" si="41"/>
        <v>KCNCXV50-250</v>
      </c>
      <c r="K1321" s="2969" t="str">
        <f t="shared" si="40"/>
        <v>KCNCXV50-250Kéo rải cáp nguội trung thế ngầm 50mm2 (151-250m)</v>
      </c>
    </row>
    <row r="1322" spans="1:11" hidden="1">
      <c r="A1322" s="2969" t="s">
        <v>1175</v>
      </c>
      <c r="B1322" s="3004"/>
      <c r="C1322" s="2969" t="s">
        <v>3552</v>
      </c>
      <c r="D1322" s="2968" t="s">
        <v>3553</v>
      </c>
      <c r="E1322" s="2968"/>
      <c r="F1322" s="2968">
        <v>50</v>
      </c>
      <c r="G1322" s="2968" t="s">
        <v>510</v>
      </c>
      <c r="H1322" s="2968"/>
      <c r="I1322" s="2968"/>
      <c r="J1322" s="2968" t="str">
        <f t="shared" si="41"/>
        <v>KEOBIT</v>
      </c>
      <c r="K1322" s="2969" t="str">
        <f t="shared" si="40"/>
        <v>KEOBITKeo silicon bít miệng ống</v>
      </c>
    </row>
    <row r="1323" spans="1:11" hidden="1">
      <c r="A1323" s="3013" t="s">
        <v>2068</v>
      </c>
      <c r="B1323" s="2986"/>
      <c r="C1323" s="2969" t="s">
        <v>4045</v>
      </c>
      <c r="D1323" s="2968" t="s">
        <v>2547</v>
      </c>
      <c r="E1323" s="2968"/>
      <c r="F1323" s="2968">
        <v>50</v>
      </c>
      <c r="G1323" s="2968" t="s">
        <v>510</v>
      </c>
      <c r="H1323" s="2968"/>
      <c r="I1323" s="2968"/>
      <c r="J1323" s="2968" t="str">
        <f t="shared" si="41"/>
        <v>K120</v>
      </c>
      <c r="K1323" s="2969" t="str">
        <f t="shared" si="40"/>
        <v>K120Kẹp 2 rãnh cỡ dây 120mm2</v>
      </c>
    </row>
    <row r="1324" spans="1:11" hidden="1">
      <c r="A1324" s="3013" t="s">
        <v>1173</v>
      </c>
      <c r="B1324" s="2986"/>
      <c r="C1324" s="2969" t="s">
        <v>4046</v>
      </c>
      <c r="D1324" s="2968" t="s">
        <v>2547</v>
      </c>
      <c r="E1324" s="2968"/>
      <c r="F1324" s="2968">
        <v>50</v>
      </c>
      <c r="G1324" s="2968" t="s">
        <v>510</v>
      </c>
      <c r="H1324" s="2968"/>
      <c r="I1324" s="2968"/>
      <c r="J1324" s="2968" t="str">
        <f t="shared" si="41"/>
        <v>K150</v>
      </c>
      <c r="K1324" s="2969" t="str">
        <f t="shared" si="40"/>
        <v>K150Kẹp 2 rãnh cỡ dây 150mm2</v>
      </c>
    </row>
    <row r="1325" spans="1:11" hidden="1">
      <c r="A1325" s="3013" t="s">
        <v>2067</v>
      </c>
      <c r="B1325" s="2986"/>
      <c r="C1325" s="2969" t="s">
        <v>6326</v>
      </c>
      <c r="D1325" s="2968" t="s">
        <v>2547</v>
      </c>
      <c r="E1325" s="2968"/>
      <c r="F1325" s="2968">
        <v>50</v>
      </c>
      <c r="G1325" s="2968" t="s">
        <v>510</v>
      </c>
      <c r="H1325" s="2968"/>
      <c r="I1325" s="2968"/>
      <c r="J1325" s="2968" t="str">
        <f t="shared" si="41"/>
        <v>K185</v>
      </c>
      <c r="K1325" s="2969" t="str">
        <f t="shared" si="40"/>
        <v>K185Kẹp 2 rãnh cỡ dây 185mm2</v>
      </c>
    </row>
    <row r="1326" spans="1:11" hidden="1">
      <c r="A1326" s="3013" t="s">
        <v>2066</v>
      </c>
      <c r="B1326" s="2986"/>
      <c r="C1326" s="2969" t="s">
        <v>6327</v>
      </c>
      <c r="D1326" s="2968" t="s">
        <v>2547</v>
      </c>
      <c r="E1326" s="2968"/>
      <c r="F1326" s="2968">
        <v>50</v>
      </c>
      <c r="G1326" s="2968" t="s">
        <v>510</v>
      </c>
      <c r="H1326" s="2968"/>
      <c r="I1326" s="2968"/>
      <c r="J1326" s="2968" t="str">
        <f t="shared" si="41"/>
        <v>K240</v>
      </c>
      <c r="K1326" s="2969" t="str">
        <f t="shared" si="40"/>
        <v>K240Kẹp 2 rãnh cỡ dây 240 mm2</v>
      </c>
    </row>
    <row r="1327" spans="1:11" hidden="1">
      <c r="A1327" s="3013" t="s">
        <v>1379</v>
      </c>
      <c r="B1327" s="2986"/>
      <c r="C1327" s="2969" t="s">
        <v>6325</v>
      </c>
      <c r="D1327" s="2968" t="s">
        <v>2547</v>
      </c>
      <c r="E1327" s="2968"/>
      <c r="F1327" s="2968">
        <v>50</v>
      </c>
      <c r="G1327" s="2968" t="s">
        <v>510</v>
      </c>
      <c r="H1327" s="2968"/>
      <c r="I1327" s="2968"/>
      <c r="J1327" s="2968" t="str">
        <f t="shared" si="41"/>
        <v>K35</v>
      </c>
      <c r="K1327" s="2969" t="str">
        <f t="shared" si="40"/>
        <v>K35Kẹp 2 rãnh cỡ dây 35mm2</v>
      </c>
    </row>
    <row r="1328" spans="1:11" hidden="1">
      <c r="A1328" s="3013" t="s">
        <v>1846</v>
      </c>
      <c r="B1328" s="2986"/>
      <c r="C1328" s="2969" t="s">
        <v>4042</v>
      </c>
      <c r="D1328" s="2968" t="s">
        <v>2547</v>
      </c>
      <c r="E1328" s="2968"/>
      <c r="F1328" s="2968">
        <v>50</v>
      </c>
      <c r="G1328" s="2968" t="s">
        <v>510</v>
      </c>
      <c r="H1328" s="2968"/>
      <c r="I1328" s="2968"/>
      <c r="J1328" s="2968" t="str">
        <f t="shared" si="41"/>
        <v>K50</v>
      </c>
      <c r="K1328" s="2969" t="str">
        <f t="shared" si="40"/>
        <v>K50Kẹp 2 rãnh cỡ dây 50mm2</v>
      </c>
    </row>
    <row r="1329" spans="1:11" hidden="1">
      <c r="A1329" s="2969" t="s">
        <v>1380</v>
      </c>
      <c r="B1329" s="3004"/>
      <c r="C1329" s="2969" t="s">
        <v>4043</v>
      </c>
      <c r="D1329" s="2968" t="s">
        <v>2547</v>
      </c>
      <c r="E1329" s="2968"/>
      <c r="F1329" s="2968">
        <v>50</v>
      </c>
      <c r="G1329" s="2968" t="s">
        <v>510</v>
      </c>
      <c r="H1329" s="2968"/>
      <c r="I1329" s="2968"/>
      <c r="J1329" s="2968" t="str">
        <f t="shared" si="41"/>
        <v>K70</v>
      </c>
      <c r="K1329" s="2969" t="str">
        <f t="shared" si="40"/>
        <v>K70Kẹp 2 rãnh cỡ dây 70mm2</v>
      </c>
    </row>
    <row r="1330" spans="1:11" hidden="1">
      <c r="A1330" s="2969" t="s">
        <v>1381</v>
      </c>
      <c r="B1330" s="2986"/>
      <c r="C1330" s="2969" t="s">
        <v>4044</v>
      </c>
      <c r="D1330" s="2968" t="s">
        <v>2547</v>
      </c>
      <c r="E1330" s="2968"/>
      <c r="F1330" s="2968">
        <v>50</v>
      </c>
      <c r="G1330" s="2968" t="s">
        <v>510</v>
      </c>
      <c r="H1330" s="2968"/>
      <c r="I1330" s="2968"/>
      <c r="J1330" s="2968" t="str">
        <f t="shared" si="41"/>
        <v>K95</v>
      </c>
      <c r="K1330" s="2969" t="str">
        <f t="shared" si="40"/>
        <v>K95Kẹp 2 rãnh cỡ dây 95mm2</v>
      </c>
    </row>
    <row r="1331" spans="1:11" hidden="1">
      <c r="A1331" s="2969" t="s">
        <v>1574</v>
      </c>
      <c r="B1331" s="3004"/>
      <c r="C1331" s="2969" t="s">
        <v>2824</v>
      </c>
      <c r="D1331" s="2968" t="s">
        <v>2547</v>
      </c>
      <c r="E1331" s="2968"/>
      <c r="F1331" s="2968">
        <v>50</v>
      </c>
      <c r="G1331" s="2968" t="s">
        <v>510</v>
      </c>
      <c r="H1331" s="2968"/>
      <c r="I1331" s="2968"/>
      <c r="J1331" s="2968" t="str">
        <f t="shared" si="41"/>
        <v>K3B</v>
      </c>
      <c r="K1331" s="2969" t="str">
        <f t="shared" si="40"/>
        <v>K3BKẹp cáp 3 boulon</v>
      </c>
    </row>
    <row r="1332" spans="1:11" hidden="1">
      <c r="A1332" s="2969" t="s">
        <v>6997</v>
      </c>
      <c r="B1332" s="3004"/>
      <c r="C1332" s="2969" t="s">
        <v>6998</v>
      </c>
      <c r="D1332" s="2968" t="s">
        <v>2547</v>
      </c>
      <c r="E1332" s="2968"/>
      <c r="F1332" s="2968">
        <v>50</v>
      </c>
      <c r="G1332" s="2968" t="s">
        <v>510</v>
      </c>
      <c r="H1332" s="2968"/>
      <c r="I1332" s="2968"/>
      <c r="J1332" s="2968" t="str">
        <f t="shared" si="41"/>
        <v>K3B42</v>
      </c>
      <c r="K1332" s="2969" t="str">
        <f t="shared" si="40"/>
        <v>K3B42Kẹp cáp 3 boulon B42x130</v>
      </c>
    </row>
    <row r="1333" spans="1:11" hidden="1">
      <c r="A1333" s="2969" t="s">
        <v>551</v>
      </c>
      <c r="B1333" s="2986"/>
      <c r="C1333" s="2969" t="s">
        <v>2825</v>
      </c>
      <c r="D1333" s="2968" t="s">
        <v>2547</v>
      </c>
      <c r="E1333" s="2968"/>
      <c r="F1333" s="2968">
        <v>50</v>
      </c>
      <c r="G1333" s="2968" t="s">
        <v>510</v>
      </c>
      <c r="H1333" s="2968"/>
      <c r="I1333" s="2968"/>
      <c r="J1333" s="2968" t="str">
        <f t="shared" si="41"/>
        <v>K-Cu</v>
      </c>
      <c r="K1333" s="2969" t="str">
        <f t="shared" si="40"/>
        <v>K-CuKẹp cọc tiếp đất Cu</v>
      </c>
    </row>
    <row r="1334" spans="1:11" hidden="1">
      <c r="A1334" s="2969" t="s">
        <v>1784</v>
      </c>
      <c r="B1334" s="2986"/>
      <c r="C1334" s="2969" t="s">
        <v>2826</v>
      </c>
      <c r="D1334" s="2968" t="s">
        <v>2547</v>
      </c>
      <c r="E1334" s="2968"/>
      <c r="F1334" s="2968">
        <v>50</v>
      </c>
      <c r="G1334" s="2968" t="s">
        <v>510</v>
      </c>
      <c r="H1334" s="2968"/>
      <c r="I1334" s="2968"/>
      <c r="J1334" s="2968" t="str">
        <f t="shared" si="41"/>
        <v>K-Fe</v>
      </c>
      <c r="K1334" s="2969" t="str">
        <f t="shared" si="40"/>
        <v>K-FeKẹp cọc tiếp đất Fe</v>
      </c>
    </row>
    <row r="1335" spans="1:11" hidden="1">
      <c r="A1335" s="2969" t="s">
        <v>6999</v>
      </c>
      <c r="B1335" s="3004"/>
      <c r="C1335" s="2969" t="s">
        <v>7000</v>
      </c>
      <c r="D1335" s="2968" t="s">
        <v>2433</v>
      </c>
      <c r="E1335" s="2968"/>
      <c r="F1335" s="2968">
        <v>50</v>
      </c>
      <c r="G1335" s="2968" t="s">
        <v>510</v>
      </c>
      <c r="H1335" s="2968"/>
      <c r="I1335" s="2968"/>
      <c r="J1335" s="2968" t="str">
        <f t="shared" si="41"/>
        <v>KC</v>
      </c>
      <c r="K1335" s="2969" t="str">
        <f t="shared" si="40"/>
        <v>KCKẹp cọc tiếp địa</v>
      </c>
    </row>
    <row r="1336" spans="1:11" hidden="1">
      <c r="A1336" s="2969" t="s">
        <v>1111</v>
      </c>
      <c r="B1336" s="2986"/>
      <c r="C1336" s="2969" t="s">
        <v>2863</v>
      </c>
      <c r="D1336" s="2968" t="s">
        <v>2547</v>
      </c>
      <c r="E1336" s="2968"/>
      <c r="F1336" s="2968">
        <v>50</v>
      </c>
      <c r="G1336" s="2968" t="s">
        <v>510</v>
      </c>
      <c r="H1336" s="2968"/>
      <c r="I1336" s="2968"/>
      <c r="J1336" s="2968" t="str">
        <f t="shared" si="41"/>
        <v>KE25</v>
      </c>
      <c r="K1336" s="2969" t="str">
        <f t="shared" si="40"/>
        <v>KE25Kẹp ép cỡ dây 25mm2</v>
      </c>
    </row>
    <row r="1337" spans="1:11" hidden="1">
      <c r="A1337" s="2969" t="s">
        <v>4909</v>
      </c>
      <c r="B1337" s="3004"/>
      <c r="C1337" s="2969" t="s">
        <v>4902</v>
      </c>
      <c r="D1337" s="2968" t="s">
        <v>2547</v>
      </c>
      <c r="E1337" s="2968"/>
      <c r="F1337" s="2968">
        <v>50</v>
      </c>
      <c r="G1337" s="2968" t="s">
        <v>602</v>
      </c>
      <c r="H1337" s="2968"/>
      <c r="I1337" s="2968"/>
      <c r="J1337" s="2968" t="str">
        <f t="shared" si="41"/>
        <v>ke189</v>
      </c>
      <c r="K1337" s="2969" t="str">
        <f t="shared" si="40"/>
        <v>ke189Kẹp ép WR 189</v>
      </c>
    </row>
    <row r="1338" spans="1:11" hidden="1">
      <c r="A1338" s="2969" t="s">
        <v>4596</v>
      </c>
      <c r="B1338" s="3004"/>
      <c r="C1338" s="2969" t="s">
        <v>4597</v>
      </c>
      <c r="D1338" s="2968" t="s">
        <v>2547</v>
      </c>
      <c r="E1338" s="2968"/>
      <c r="F1338" s="2968">
        <v>50</v>
      </c>
      <c r="G1338" s="2968" t="s">
        <v>602</v>
      </c>
      <c r="H1338" s="2968"/>
      <c r="I1338" s="2968"/>
      <c r="J1338" s="2968" t="str">
        <f t="shared" si="41"/>
        <v>ke279</v>
      </c>
      <c r="K1338" s="2969" t="str">
        <f t="shared" si="40"/>
        <v>ke279Kẹp ép WR 279</v>
      </c>
    </row>
    <row r="1339" spans="1:11" hidden="1">
      <c r="A1339" s="2969" t="s">
        <v>4257</v>
      </c>
      <c r="B1339" s="2986"/>
      <c r="C1339" s="2969" t="s">
        <v>4256</v>
      </c>
      <c r="D1339" s="2968" t="s">
        <v>2547</v>
      </c>
      <c r="E1339" s="2968"/>
      <c r="F1339" s="2968">
        <v>50</v>
      </c>
      <c r="G1339" s="2968" t="s">
        <v>602</v>
      </c>
      <c r="H1339" s="2968"/>
      <c r="I1339" s="2968"/>
      <c r="J1339" s="2968" t="str">
        <f t="shared" si="41"/>
        <v>KE399</v>
      </c>
      <c r="K1339" s="2969" t="str">
        <f t="shared" si="40"/>
        <v>KE399Kẹp ép WR 399</v>
      </c>
    </row>
    <row r="1340" spans="1:11" hidden="1">
      <c r="A1340" s="2969" t="s">
        <v>4598</v>
      </c>
      <c r="B1340" s="3004"/>
      <c r="C1340" s="2969" t="s">
        <v>4599</v>
      </c>
      <c r="D1340" s="2968" t="s">
        <v>2547</v>
      </c>
      <c r="E1340" s="2968"/>
      <c r="F1340" s="2968">
        <v>50</v>
      </c>
      <c r="G1340" s="2968" t="s">
        <v>602</v>
      </c>
      <c r="H1340" s="2968"/>
      <c r="I1340" s="2968"/>
      <c r="J1340" s="2968" t="str">
        <f t="shared" si="41"/>
        <v>ke419</v>
      </c>
      <c r="K1340" s="2969" t="str">
        <f t="shared" si="40"/>
        <v>ke419Kẹp ép WR 419</v>
      </c>
    </row>
    <row r="1341" spans="1:11" hidden="1">
      <c r="A1341" s="2969" t="s">
        <v>4600</v>
      </c>
      <c r="B1341" s="3004"/>
      <c r="C1341" s="2969" t="s">
        <v>4601</v>
      </c>
      <c r="D1341" s="2968" t="s">
        <v>2547</v>
      </c>
      <c r="E1341" s="2968"/>
      <c r="F1341" s="2968">
        <v>50</v>
      </c>
      <c r="G1341" s="2968" t="s">
        <v>602</v>
      </c>
      <c r="H1341" s="2968"/>
      <c r="I1341" s="2968"/>
      <c r="J1341" s="2968" t="str">
        <f t="shared" si="41"/>
        <v>ke929</v>
      </c>
      <c r="K1341" s="2969" t="str">
        <f t="shared" si="40"/>
        <v>ke929Kẹp ép WR 929</v>
      </c>
    </row>
    <row r="1342" spans="1:11" hidden="1">
      <c r="A1342" s="2969" t="s">
        <v>240</v>
      </c>
      <c r="B1342" s="2986"/>
      <c r="C1342" s="2969" t="s">
        <v>2868</v>
      </c>
      <c r="D1342" s="2968" t="s">
        <v>2547</v>
      </c>
      <c r="E1342" s="2968"/>
      <c r="F1342" s="2968">
        <v>50</v>
      </c>
      <c r="G1342" s="2968" t="s">
        <v>602</v>
      </c>
      <c r="H1342" s="2968"/>
      <c r="I1342" s="2968"/>
      <c r="J1342" s="2968" t="str">
        <f t="shared" si="41"/>
        <v>KE120</v>
      </c>
      <c r="K1342" s="2969" t="str">
        <f t="shared" si="40"/>
        <v>KE120Kẹp ép WR cỡ dây 120mm2</v>
      </c>
    </row>
    <row r="1343" spans="1:11" hidden="1">
      <c r="A1343" s="2969" t="s">
        <v>16</v>
      </c>
      <c r="B1343" s="2986"/>
      <c r="C1343" s="2969" t="s">
        <v>2869</v>
      </c>
      <c r="D1343" s="2968" t="s">
        <v>2547</v>
      </c>
      <c r="E1343" s="2968"/>
      <c r="F1343" s="2968">
        <v>50</v>
      </c>
      <c r="G1343" s="2968" t="s">
        <v>602</v>
      </c>
      <c r="H1343" s="2968"/>
      <c r="I1343" s="2968"/>
      <c r="J1343" s="2968" t="str">
        <f t="shared" si="41"/>
        <v>KE150</v>
      </c>
      <c r="K1343" s="2969" t="str">
        <f t="shared" si="40"/>
        <v>KE150Kẹp ép WR cỡ dây 150mm2</v>
      </c>
    </row>
    <row r="1344" spans="1:11" hidden="1">
      <c r="A1344" s="2969" t="s">
        <v>705</v>
      </c>
      <c r="B1344" s="2986"/>
      <c r="C1344" s="2969" t="s">
        <v>2870</v>
      </c>
      <c r="D1344" s="2968" t="s">
        <v>2547</v>
      </c>
      <c r="E1344" s="2968"/>
      <c r="F1344" s="2968">
        <v>50</v>
      </c>
      <c r="G1344" s="2968" t="s">
        <v>602</v>
      </c>
      <c r="H1344" s="2968"/>
      <c r="I1344" s="2968"/>
      <c r="J1344" s="2968" t="str">
        <f t="shared" si="41"/>
        <v>KE185</v>
      </c>
      <c r="K1344" s="2969" t="str">
        <f t="shared" si="40"/>
        <v>KE185Kẹp ép WR cỡ dây 185mm2</v>
      </c>
    </row>
    <row r="1345" spans="1:11" hidden="1">
      <c r="A1345" s="2969" t="s">
        <v>706</v>
      </c>
      <c r="B1345" s="2986"/>
      <c r="C1345" s="2969" t="s">
        <v>2871</v>
      </c>
      <c r="D1345" s="2968" t="s">
        <v>2547</v>
      </c>
      <c r="E1345" s="2968"/>
      <c r="F1345" s="2968">
        <v>50</v>
      </c>
      <c r="G1345" s="2968" t="s">
        <v>602</v>
      </c>
      <c r="H1345" s="2968"/>
      <c r="I1345" s="2968"/>
      <c r="J1345" s="2968" t="str">
        <f t="shared" si="41"/>
        <v>KE240</v>
      </c>
      <c r="K1345" s="2969" t="str">
        <f t="shared" si="40"/>
        <v>KE240Kẹp ép WR cỡ dây 240mm2</v>
      </c>
    </row>
    <row r="1346" spans="1:11" hidden="1">
      <c r="A1346" s="2969" t="s">
        <v>238</v>
      </c>
      <c r="B1346" s="2986"/>
      <c r="C1346" s="2969" t="s">
        <v>2864</v>
      </c>
      <c r="D1346" s="2968" t="s">
        <v>2547</v>
      </c>
      <c r="E1346" s="2968"/>
      <c r="F1346" s="2968">
        <v>50</v>
      </c>
      <c r="G1346" s="2968" t="s">
        <v>602</v>
      </c>
      <c r="H1346" s="2968"/>
      <c r="I1346" s="2968"/>
      <c r="J1346" s="2968" t="str">
        <f t="shared" si="41"/>
        <v>KE35</v>
      </c>
      <c r="K1346" s="2969" t="str">
        <f t="shared" si="40"/>
        <v>KE35Kẹp ép WR cỡ dây 35mm2</v>
      </c>
    </row>
    <row r="1347" spans="1:11" hidden="1">
      <c r="A1347" s="2969" t="s">
        <v>1575</v>
      </c>
      <c r="B1347" s="2986"/>
      <c r="C1347" s="2969" t="s">
        <v>2865</v>
      </c>
      <c r="D1347" s="2968" t="s">
        <v>2547</v>
      </c>
      <c r="E1347" s="2968"/>
      <c r="F1347" s="2968">
        <v>50</v>
      </c>
      <c r="G1347" s="2968" t="s">
        <v>602</v>
      </c>
      <c r="H1347" s="2968"/>
      <c r="I1347" s="2968"/>
      <c r="J1347" s="2968" t="str">
        <f t="shared" si="41"/>
        <v>KE50</v>
      </c>
      <c r="K1347" s="2969" t="str">
        <f t="shared" ref="K1347:K1410" si="42">A1347&amp;C1347</f>
        <v>KE50Kẹp ép WR cỡ dây 50mm2</v>
      </c>
    </row>
    <row r="1348" spans="1:11" hidden="1">
      <c r="A1348" s="2969" t="s">
        <v>1576</v>
      </c>
      <c r="B1348" s="2986"/>
      <c r="C1348" s="2969" t="s">
        <v>2866</v>
      </c>
      <c r="D1348" s="2968" t="s">
        <v>2547</v>
      </c>
      <c r="E1348" s="2968"/>
      <c r="F1348" s="2968">
        <v>50</v>
      </c>
      <c r="G1348" s="2968" t="s">
        <v>602</v>
      </c>
      <c r="H1348" s="2968"/>
      <c r="I1348" s="2968"/>
      <c r="J1348" s="2968" t="str">
        <f t="shared" ref="J1348:J1411" si="43">A1348</f>
        <v>KE70</v>
      </c>
      <c r="K1348" s="2969" t="str">
        <f t="shared" si="42"/>
        <v>KE70Kẹp ép WR cỡ dây 70mm2</v>
      </c>
    </row>
    <row r="1349" spans="1:11" hidden="1">
      <c r="A1349" s="2969" t="s">
        <v>239</v>
      </c>
      <c r="B1349" s="2986"/>
      <c r="C1349" s="2969" t="s">
        <v>2867</v>
      </c>
      <c r="D1349" s="2968" t="s">
        <v>2547</v>
      </c>
      <c r="E1349" s="2968"/>
      <c r="F1349" s="2968">
        <v>50</v>
      </c>
      <c r="G1349" s="2968" t="s">
        <v>602</v>
      </c>
      <c r="H1349" s="2968"/>
      <c r="I1349" s="2968"/>
      <c r="J1349" s="2968" t="str">
        <f t="shared" si="43"/>
        <v>KE95</v>
      </c>
      <c r="K1349" s="2969" t="str">
        <f t="shared" si="42"/>
        <v>KE95Kẹp ép WR cỡ dây 95mm2</v>
      </c>
    </row>
    <row r="1350" spans="1:11" hidden="1">
      <c r="A1350" s="2969" t="s">
        <v>7001</v>
      </c>
      <c r="B1350" s="3004" t="s">
        <v>7002</v>
      </c>
      <c r="C1350" s="2969" t="s">
        <v>4269</v>
      </c>
      <c r="D1350" s="2968" t="s">
        <v>2547</v>
      </c>
      <c r="E1350" s="2968"/>
      <c r="F1350" s="2968">
        <v>50</v>
      </c>
      <c r="G1350" s="2968" t="s">
        <v>602</v>
      </c>
      <c r="H1350" s="2968"/>
      <c r="I1350" s="2968"/>
      <c r="J1350" s="2968" t="str">
        <f t="shared" si="43"/>
        <v>HL2</v>
      </c>
      <c r="K1350" s="2969" t="str">
        <f t="shared" si="42"/>
        <v>HL2Kẹp hotline 2/0</v>
      </c>
    </row>
    <row r="1351" spans="1:11" hidden="1">
      <c r="A1351" s="2969" t="s">
        <v>1473</v>
      </c>
      <c r="B1351" s="2986" t="s">
        <v>1752</v>
      </c>
      <c r="C1351" s="2969" t="s">
        <v>4269</v>
      </c>
      <c r="D1351" s="2968" t="s">
        <v>2547</v>
      </c>
      <c r="E1351" s="2968"/>
      <c r="F1351" s="2968">
        <v>50</v>
      </c>
      <c r="G1351" s="2968" t="s">
        <v>602</v>
      </c>
      <c r="H1351" s="2968"/>
      <c r="I1351" s="2968"/>
      <c r="J1351" s="2968" t="str">
        <f t="shared" si="43"/>
        <v>KH2/0</v>
      </c>
      <c r="K1351" s="2969" t="str">
        <f t="shared" si="42"/>
        <v>KH2/0Kẹp hotline 2/0</v>
      </c>
    </row>
    <row r="1352" spans="1:11" hidden="1">
      <c r="A1352" s="2969" t="s">
        <v>1666</v>
      </c>
      <c r="B1352" s="2986" t="s">
        <v>1752</v>
      </c>
      <c r="C1352" s="2969" t="s">
        <v>2876</v>
      </c>
      <c r="D1352" s="2968" t="s">
        <v>2547</v>
      </c>
      <c r="E1352" s="2968"/>
      <c r="F1352" s="2968">
        <v>50</v>
      </c>
      <c r="G1352" s="2968" t="s">
        <v>602</v>
      </c>
      <c r="H1352" s="2968"/>
      <c r="I1352" s="2968"/>
      <c r="J1352" s="2968" t="str">
        <f t="shared" si="43"/>
        <v>KH350M</v>
      </c>
      <c r="K1352" s="2969" t="str">
        <f t="shared" si="42"/>
        <v>KH350MKẹp hotline 350MCM</v>
      </c>
    </row>
    <row r="1353" spans="1:11" hidden="1">
      <c r="A1353" s="2969" t="s">
        <v>7003</v>
      </c>
      <c r="B1353" s="3004" t="s">
        <v>7002</v>
      </c>
      <c r="C1353" s="2969" t="s">
        <v>2875</v>
      </c>
      <c r="D1353" s="2968" t="s">
        <v>2547</v>
      </c>
      <c r="E1353" s="2968"/>
      <c r="F1353" s="2968">
        <v>50</v>
      </c>
      <c r="G1353" s="2968" t="s">
        <v>602</v>
      </c>
      <c r="H1353" s="2968"/>
      <c r="I1353" s="2968"/>
      <c r="J1353" s="2968" t="str">
        <f t="shared" si="43"/>
        <v>HL4</v>
      </c>
      <c r="K1353" s="2969" t="str">
        <f t="shared" si="42"/>
        <v>HL4Kẹp hotline 4/0</v>
      </c>
    </row>
    <row r="1354" spans="1:11" hidden="1">
      <c r="A1354" s="2969" t="s">
        <v>1045</v>
      </c>
      <c r="B1354" s="2986" t="s">
        <v>1752</v>
      </c>
      <c r="C1354" s="2969" t="s">
        <v>2875</v>
      </c>
      <c r="D1354" s="2968" t="s">
        <v>2547</v>
      </c>
      <c r="E1354" s="2968"/>
      <c r="F1354" s="2968">
        <v>50</v>
      </c>
      <c r="G1354" s="2968" t="s">
        <v>602</v>
      </c>
      <c r="H1354" s="2968"/>
      <c r="I1354" s="2968"/>
      <c r="J1354" s="2968" t="str">
        <f t="shared" si="43"/>
        <v>KH4/0</v>
      </c>
      <c r="K1354" s="2969" t="str">
        <f t="shared" si="42"/>
        <v>KH4/0Kẹp hotline 4/0</v>
      </c>
    </row>
    <row r="1355" spans="1:11" hidden="1">
      <c r="A1355" s="1636" t="s">
        <v>2206</v>
      </c>
      <c r="B1355" s="2986"/>
      <c r="C1355" s="2969" t="s">
        <v>2838</v>
      </c>
      <c r="D1355" s="2968" t="s">
        <v>2547</v>
      </c>
      <c r="E1355" s="2968"/>
      <c r="F1355" s="2968">
        <v>50</v>
      </c>
      <c r="G1355" s="2968" t="s">
        <v>355</v>
      </c>
      <c r="H1355" s="2968"/>
      <c r="I1355" s="2968"/>
      <c r="J1355" s="2968" t="str">
        <f t="shared" si="43"/>
        <v>KNGUNG211</v>
      </c>
      <c r="K1355" s="2969" t="str">
        <f t="shared" si="42"/>
        <v>KNGUNG211Kẹp ngừng cáp ABC2x11mm2</v>
      </c>
    </row>
    <row r="1356" spans="1:11" hidden="1">
      <c r="A1356" s="2969" t="s">
        <v>5112</v>
      </c>
      <c r="B1356" s="3004"/>
      <c r="C1356" s="2969" t="s">
        <v>2838</v>
      </c>
      <c r="D1356" s="2968" t="s">
        <v>2547</v>
      </c>
      <c r="E1356" s="2968"/>
      <c r="F1356" s="2968">
        <v>50</v>
      </c>
      <c r="G1356" s="2968" t="s">
        <v>355</v>
      </c>
      <c r="H1356" s="2968"/>
      <c r="I1356" s="2968"/>
      <c r="J1356" s="2968" t="str">
        <f t="shared" si="43"/>
        <v xml:space="preserve">KNGUNG211 </v>
      </c>
      <c r="K1356" s="2969" t="str">
        <f t="shared" si="42"/>
        <v>KNGUNG211 Kẹp ngừng cáp ABC2x11mm2</v>
      </c>
    </row>
    <row r="1357" spans="1:11" hidden="1">
      <c r="A1357" s="1636" t="s">
        <v>2205</v>
      </c>
      <c r="B1357" s="2986"/>
      <c r="C1357" s="2969" t="s">
        <v>2839</v>
      </c>
      <c r="D1357" s="2968" t="s">
        <v>2547</v>
      </c>
      <c r="E1357" s="2968"/>
      <c r="F1357" s="2968">
        <v>50</v>
      </c>
      <c r="G1357" s="2968" t="s">
        <v>355</v>
      </c>
      <c r="H1357" s="2968"/>
      <c r="I1357" s="2968"/>
      <c r="J1357" s="2968" t="str">
        <f t="shared" si="43"/>
        <v>KNGUNG11</v>
      </c>
      <c r="K1357" s="2969" t="str">
        <f t="shared" si="42"/>
        <v>KNGUNG11Kẹp ngừng cáp ABC4x11mm2</v>
      </c>
    </row>
    <row r="1358" spans="1:11" hidden="1">
      <c r="A1358" s="2969" t="s">
        <v>5113</v>
      </c>
      <c r="B1358" s="3004"/>
      <c r="C1358" s="2969" t="s">
        <v>2839</v>
      </c>
      <c r="D1358" s="2968" t="s">
        <v>2547</v>
      </c>
      <c r="E1358" s="2968"/>
      <c r="F1358" s="2968">
        <v>50</v>
      </c>
      <c r="G1358" s="2968" t="s">
        <v>355</v>
      </c>
      <c r="H1358" s="2968"/>
      <c r="I1358" s="2968"/>
      <c r="J1358" s="2968" t="str">
        <f t="shared" si="43"/>
        <v xml:space="preserve">KNGUNG11 </v>
      </c>
      <c r="K1358" s="2969" t="str">
        <f t="shared" si="42"/>
        <v>KNGUNG11 Kẹp ngừng cáp ABC4x11mm2</v>
      </c>
    </row>
    <row r="1359" spans="1:11" hidden="1">
      <c r="A1359" s="1636" t="s">
        <v>1424</v>
      </c>
      <c r="B1359" s="2986"/>
      <c r="C1359" s="2969" t="s">
        <v>2844</v>
      </c>
      <c r="D1359" s="2968" t="s">
        <v>2547</v>
      </c>
      <c r="E1359" s="2968"/>
      <c r="F1359" s="2968">
        <v>50</v>
      </c>
      <c r="G1359" s="2968" t="s">
        <v>355</v>
      </c>
      <c r="H1359" s="2968"/>
      <c r="I1359" s="2968"/>
      <c r="J1359" s="2968" t="str">
        <f t="shared" si="43"/>
        <v>KNGUNG120</v>
      </c>
      <c r="K1359" s="2969" t="str">
        <f t="shared" si="42"/>
        <v>KNGUNG120Kẹp ngừng cáp ABC4x120mm2</v>
      </c>
    </row>
    <row r="1360" spans="1:11" hidden="1">
      <c r="A1360" s="2969" t="s">
        <v>5119</v>
      </c>
      <c r="B1360" s="3004"/>
      <c r="C1360" s="2969" t="s">
        <v>2844</v>
      </c>
      <c r="D1360" s="2968" t="s">
        <v>2547</v>
      </c>
      <c r="E1360" s="2968"/>
      <c r="F1360" s="2968">
        <v>50</v>
      </c>
      <c r="G1360" s="2968" t="s">
        <v>355</v>
      </c>
      <c r="H1360" s="2968"/>
      <c r="I1360" s="2968"/>
      <c r="J1360" s="2968" t="str">
        <f t="shared" si="43"/>
        <v xml:space="preserve">KNGUNG120 </v>
      </c>
      <c r="K1360" s="2969" t="str">
        <f t="shared" si="42"/>
        <v>KNGUNG120 Kẹp ngừng cáp ABC4x120mm2</v>
      </c>
    </row>
    <row r="1361" spans="1:11" hidden="1">
      <c r="A1361" s="1636" t="s">
        <v>2214</v>
      </c>
      <c r="B1361" s="2986"/>
      <c r="C1361" s="2969" t="s">
        <v>2845</v>
      </c>
      <c r="D1361" s="2968" t="s">
        <v>2547</v>
      </c>
      <c r="E1361" s="2968"/>
      <c r="F1361" s="2968">
        <v>50</v>
      </c>
      <c r="G1361" s="2968" t="s">
        <v>355</v>
      </c>
      <c r="H1361" s="2968"/>
      <c r="I1361" s="2968"/>
      <c r="J1361" s="2968" t="str">
        <f t="shared" si="43"/>
        <v>KNGUNG150</v>
      </c>
      <c r="K1361" s="2969" t="str">
        <f t="shared" si="42"/>
        <v>KNGUNG150Kẹp ngừng cáp ABC4x150mm2</v>
      </c>
    </row>
    <row r="1362" spans="1:11" hidden="1">
      <c r="A1362" s="2969" t="s">
        <v>5120</v>
      </c>
      <c r="B1362" s="3004"/>
      <c r="C1362" s="2969" t="s">
        <v>2845</v>
      </c>
      <c r="D1362" s="2968" t="s">
        <v>2547</v>
      </c>
      <c r="E1362" s="2968"/>
      <c r="F1362" s="2968">
        <v>50</v>
      </c>
      <c r="G1362" s="2968" t="s">
        <v>355</v>
      </c>
      <c r="H1362" s="2968"/>
      <c r="I1362" s="2968"/>
      <c r="J1362" s="2968" t="str">
        <f t="shared" si="43"/>
        <v xml:space="preserve">KNGUNG150 </v>
      </c>
      <c r="K1362" s="2969" t="str">
        <f t="shared" si="42"/>
        <v>KNGUNG150 Kẹp ngừng cáp ABC4x150mm2</v>
      </c>
    </row>
    <row r="1363" spans="1:11" hidden="1">
      <c r="A1363" s="1636" t="s">
        <v>2204</v>
      </c>
      <c r="B1363" s="2986"/>
      <c r="C1363" s="2969" t="s">
        <v>2840</v>
      </c>
      <c r="D1363" s="2968" t="s">
        <v>2547</v>
      </c>
      <c r="E1363" s="2968"/>
      <c r="F1363" s="2968">
        <v>50</v>
      </c>
      <c r="G1363" s="2968" t="s">
        <v>355</v>
      </c>
      <c r="H1363" s="2968"/>
      <c r="I1363" s="2968"/>
      <c r="J1363" s="2968" t="str">
        <f t="shared" si="43"/>
        <v>KNGUNG22</v>
      </c>
      <c r="K1363" s="2969" t="str">
        <f t="shared" si="42"/>
        <v>KNGUNG22Kẹp ngừng cáp ABC4x22mm2</v>
      </c>
    </row>
    <row r="1364" spans="1:11" hidden="1">
      <c r="A1364" s="2969" t="s">
        <v>5114</v>
      </c>
      <c r="B1364" s="3004"/>
      <c r="C1364" s="2969" t="s">
        <v>2840</v>
      </c>
      <c r="D1364" s="2968" t="s">
        <v>2547</v>
      </c>
      <c r="E1364" s="2968"/>
      <c r="F1364" s="2968">
        <v>50</v>
      </c>
      <c r="G1364" s="2968" t="s">
        <v>355</v>
      </c>
      <c r="H1364" s="2968"/>
      <c r="I1364" s="2968"/>
      <c r="J1364" s="2968" t="str">
        <f t="shared" si="43"/>
        <v xml:space="preserve">KNGUNG22 </v>
      </c>
      <c r="K1364" s="2969" t="str">
        <f t="shared" si="42"/>
        <v>KNGUNG22 Kẹp ngừng cáp ABC4x22mm2</v>
      </c>
    </row>
    <row r="1365" spans="1:11" hidden="1">
      <c r="A1365" s="1636" t="s">
        <v>2056</v>
      </c>
      <c r="B1365" s="2986"/>
      <c r="C1365" s="2969" t="s">
        <v>2841</v>
      </c>
      <c r="D1365" s="2968" t="s">
        <v>2547</v>
      </c>
      <c r="E1365" s="2968"/>
      <c r="F1365" s="2968">
        <v>50</v>
      </c>
      <c r="G1365" s="2968" t="s">
        <v>355</v>
      </c>
      <c r="H1365" s="2968"/>
      <c r="I1365" s="2968"/>
      <c r="J1365" s="2968" t="str">
        <f t="shared" si="43"/>
        <v>KNGUNG35</v>
      </c>
      <c r="K1365" s="2969" t="str">
        <f t="shared" si="42"/>
        <v>KNGUNG35Kẹp ngừng cáp ABC4x35mm2</v>
      </c>
    </row>
    <row r="1366" spans="1:11" hidden="1">
      <c r="A1366" s="2969" t="s">
        <v>5115</v>
      </c>
      <c r="B1366" s="3004"/>
      <c r="C1366" s="2969" t="s">
        <v>2841</v>
      </c>
      <c r="D1366" s="2968" t="s">
        <v>2547</v>
      </c>
      <c r="E1366" s="2968"/>
      <c r="F1366" s="2968">
        <v>50</v>
      </c>
      <c r="G1366" s="2968" t="s">
        <v>355</v>
      </c>
      <c r="H1366" s="2968"/>
      <c r="I1366" s="2968"/>
      <c r="J1366" s="2968" t="str">
        <f t="shared" si="43"/>
        <v xml:space="preserve">KNGUNG35 </v>
      </c>
      <c r="K1366" s="2969" t="str">
        <f t="shared" si="42"/>
        <v>KNGUNG35 Kẹp ngừng cáp ABC4x35mm2</v>
      </c>
    </row>
    <row r="1367" spans="1:11" hidden="1">
      <c r="A1367" s="1636" t="s">
        <v>312</v>
      </c>
      <c r="B1367" s="2986"/>
      <c r="C1367" s="2969" t="s">
        <v>2842</v>
      </c>
      <c r="D1367" s="2968" t="s">
        <v>2547</v>
      </c>
      <c r="E1367" s="2968"/>
      <c r="F1367" s="2968">
        <v>50</v>
      </c>
      <c r="G1367" s="2968" t="s">
        <v>355</v>
      </c>
      <c r="H1367" s="2968"/>
      <c r="I1367" s="2968"/>
      <c r="J1367" s="2968" t="str">
        <f t="shared" si="43"/>
        <v>KNGUNG50</v>
      </c>
      <c r="K1367" s="2969" t="str">
        <f t="shared" si="42"/>
        <v>KNGUNG50Kẹp ngừng cáp ABC4x50mm2</v>
      </c>
    </row>
    <row r="1368" spans="1:11" hidden="1">
      <c r="A1368" s="2969" t="s">
        <v>5116</v>
      </c>
      <c r="B1368" s="3004"/>
      <c r="C1368" s="2969" t="s">
        <v>2842</v>
      </c>
      <c r="D1368" s="2968" t="s">
        <v>2547</v>
      </c>
      <c r="E1368" s="2968"/>
      <c r="F1368" s="2968">
        <v>50</v>
      </c>
      <c r="G1368" s="2968" t="s">
        <v>355</v>
      </c>
      <c r="H1368" s="2968"/>
      <c r="I1368" s="2968"/>
      <c r="J1368" s="2968" t="str">
        <f t="shared" si="43"/>
        <v xml:space="preserve">KNGUNG50 </v>
      </c>
      <c r="K1368" s="2969" t="str">
        <f t="shared" si="42"/>
        <v>KNGUNG50 Kẹp ngừng cáp ABC4x50mm2</v>
      </c>
    </row>
    <row r="1369" spans="1:11" hidden="1">
      <c r="A1369" s="1636" t="s">
        <v>2252</v>
      </c>
      <c r="B1369" s="3014" t="s">
        <v>1763</v>
      </c>
      <c r="C1369" s="2969" t="s">
        <v>2843</v>
      </c>
      <c r="D1369" s="2968" t="s">
        <v>2547</v>
      </c>
      <c r="E1369" s="2968"/>
      <c r="F1369" s="2968">
        <v>50</v>
      </c>
      <c r="G1369" s="2968" t="s">
        <v>355</v>
      </c>
      <c r="H1369" s="2968"/>
      <c r="I1369" s="2968"/>
      <c r="J1369" s="2968" t="str">
        <f t="shared" si="43"/>
        <v>KNGUNG70</v>
      </c>
      <c r="K1369" s="2969" t="str">
        <f t="shared" si="42"/>
        <v>KNGUNG70Kẹp ngừng cáp ABC4x70mm2</v>
      </c>
    </row>
    <row r="1370" spans="1:11" hidden="1">
      <c r="A1370" s="2969" t="s">
        <v>5117</v>
      </c>
      <c r="B1370" s="3004"/>
      <c r="C1370" s="2969" t="s">
        <v>2843</v>
      </c>
      <c r="D1370" s="2968" t="s">
        <v>2547</v>
      </c>
      <c r="E1370" s="2968"/>
      <c r="F1370" s="2968">
        <v>50</v>
      </c>
      <c r="G1370" s="2968" t="s">
        <v>355</v>
      </c>
      <c r="H1370" s="2968"/>
      <c r="I1370" s="2968"/>
      <c r="J1370" s="2968" t="str">
        <f t="shared" si="43"/>
        <v xml:space="preserve">KNGUNG70 </v>
      </c>
      <c r="K1370" s="2969" t="str">
        <f t="shared" si="42"/>
        <v>KNGUNG70 Kẹp ngừng cáp ABC4x70mm2</v>
      </c>
    </row>
    <row r="1371" spans="1:11" hidden="1">
      <c r="A1371" s="1636" t="s">
        <v>1425</v>
      </c>
      <c r="B1371" s="2986"/>
      <c r="C1371" s="2969" t="s">
        <v>4681</v>
      </c>
      <c r="D1371" s="2968" t="s">
        <v>2547</v>
      </c>
      <c r="E1371" s="2968"/>
      <c r="F1371" s="2968">
        <v>50</v>
      </c>
      <c r="G1371" s="2968" t="s">
        <v>355</v>
      </c>
      <c r="H1371" s="2968"/>
      <c r="I1371" s="2968"/>
      <c r="J1371" s="2968" t="str">
        <f t="shared" si="43"/>
        <v>KNGUNG95</v>
      </c>
      <c r="K1371" s="2969" t="str">
        <f t="shared" si="42"/>
        <v>KNGUNG95Kẹp ngừng cáp ABC4x95mm2</v>
      </c>
    </row>
    <row r="1372" spans="1:11" hidden="1">
      <c r="A1372" s="2969" t="s">
        <v>5118</v>
      </c>
      <c r="B1372" s="3004"/>
      <c r="C1372" s="2969" t="s">
        <v>4681</v>
      </c>
      <c r="D1372" s="2968" t="s">
        <v>2547</v>
      </c>
      <c r="E1372" s="2968"/>
      <c r="F1372" s="2968">
        <v>50</v>
      </c>
      <c r="G1372" s="2968" t="s">
        <v>355</v>
      </c>
      <c r="H1372" s="2968"/>
      <c r="I1372" s="2968"/>
      <c r="J1372" s="2968" t="str">
        <f t="shared" si="43"/>
        <v xml:space="preserve">KNGUNG95 </v>
      </c>
      <c r="K1372" s="2969" t="str">
        <f t="shared" si="42"/>
        <v>KNGUNG95 Kẹp ngừng cáp ABC4x95mm2</v>
      </c>
    </row>
    <row r="1373" spans="1:11" hidden="1">
      <c r="A1373" s="2969" t="s">
        <v>1474</v>
      </c>
      <c r="B1373" s="3004"/>
      <c r="C1373" s="2969" t="s">
        <v>2872</v>
      </c>
      <c r="D1373" s="2968" t="s">
        <v>2547</v>
      </c>
      <c r="E1373" s="2968"/>
      <c r="F1373" s="2968">
        <v>50</v>
      </c>
      <c r="G1373" s="2968" t="s">
        <v>510</v>
      </c>
      <c r="H1373" s="2968"/>
      <c r="I1373" s="2968"/>
      <c r="J1373" s="2968" t="str">
        <f t="shared" si="43"/>
        <v>KCUAL</v>
      </c>
      <c r="K1373" s="2969" t="str">
        <f t="shared" si="42"/>
        <v>KCUALKẹp nối đồng-nhôm</v>
      </c>
    </row>
    <row r="1374" spans="1:11" hidden="1">
      <c r="A1374" s="2969" t="s">
        <v>1868</v>
      </c>
      <c r="B1374" s="3004"/>
      <c r="C1374" s="2969" t="s">
        <v>2873</v>
      </c>
      <c r="D1374" s="2968" t="s">
        <v>2547</v>
      </c>
      <c r="E1374" s="2968"/>
      <c r="F1374" s="2968">
        <v>50</v>
      </c>
      <c r="G1374" s="2968" t="s">
        <v>510</v>
      </c>
      <c r="H1374" s="2968"/>
      <c r="I1374" s="2968"/>
      <c r="J1374" s="2968" t="str">
        <f t="shared" si="43"/>
        <v>KCUAL60</v>
      </c>
      <c r="K1374" s="2969" t="str">
        <f t="shared" si="42"/>
        <v>KCUAL60Kẹp nối đồng-nhôm 60mm2</v>
      </c>
    </row>
    <row r="1375" spans="1:11" hidden="1">
      <c r="A1375" s="2969" t="s">
        <v>5131</v>
      </c>
      <c r="B1375" s="3004"/>
      <c r="C1375" s="2969" t="s">
        <v>5132</v>
      </c>
      <c r="D1375" s="2968" t="s">
        <v>2433</v>
      </c>
      <c r="E1375" s="2968"/>
      <c r="F1375" s="2968">
        <v>50</v>
      </c>
      <c r="G1375" s="2968" t="s">
        <v>510</v>
      </c>
      <c r="H1375" s="2968"/>
      <c r="I1375" s="2968"/>
      <c r="J1375" s="2968" t="str">
        <f t="shared" si="43"/>
        <v>LKQ+H</v>
      </c>
      <c r="K1375" s="2969" t="str">
        <f t="shared" si="42"/>
        <v>LKQ+HKẹp quai + hotline</v>
      </c>
    </row>
    <row r="1376" spans="1:11" hidden="1">
      <c r="A1376" s="2969" t="s">
        <v>1475</v>
      </c>
      <c r="B1376" s="2986" t="s">
        <v>1752</v>
      </c>
      <c r="C1376" s="2969" t="s">
        <v>3775</v>
      </c>
      <c r="D1376" s="2968" t="s">
        <v>2547</v>
      </c>
      <c r="E1376" s="2968"/>
      <c r="F1376" s="2968">
        <v>50</v>
      </c>
      <c r="G1376" s="2968" t="s">
        <v>602</v>
      </c>
      <c r="H1376" s="2968"/>
      <c r="I1376" s="2968"/>
      <c r="J1376" s="2968" t="str">
        <f t="shared" si="43"/>
        <v>KQ2/0</v>
      </c>
      <c r="K1376" s="2969" t="str">
        <f t="shared" si="42"/>
        <v>KQ2/0Kẹp quai 2/0</v>
      </c>
    </row>
    <row r="1377" spans="1:11" hidden="1">
      <c r="A1377" s="2969" t="s">
        <v>7004</v>
      </c>
      <c r="B1377" s="3004" t="s">
        <v>7005</v>
      </c>
      <c r="C1377" s="2969" t="s">
        <v>7006</v>
      </c>
      <c r="D1377" s="2968" t="s">
        <v>2547</v>
      </c>
      <c r="E1377" s="2968"/>
      <c r="F1377" s="2968">
        <v>50</v>
      </c>
      <c r="G1377" s="2968" t="s">
        <v>602</v>
      </c>
      <c r="H1377" s="2968"/>
      <c r="I1377" s="2968"/>
      <c r="J1377" s="2968" t="str">
        <f t="shared" si="43"/>
        <v>KQ2</v>
      </c>
      <c r="K1377" s="2969" t="str">
        <f t="shared" si="42"/>
        <v>KQ2Kẹp quai 2/0 (quai đồng 8mm)</v>
      </c>
    </row>
    <row r="1378" spans="1:11" hidden="1">
      <c r="A1378" s="2969" t="s">
        <v>6400</v>
      </c>
      <c r="B1378" s="2986" t="s">
        <v>1752</v>
      </c>
      <c r="C1378" s="2969" t="s">
        <v>4279</v>
      </c>
      <c r="D1378" s="2968" t="s">
        <v>2433</v>
      </c>
      <c r="E1378" s="2968"/>
      <c r="F1378" s="2968">
        <v>50</v>
      </c>
      <c r="G1378" s="2968" t="s">
        <v>602</v>
      </c>
      <c r="H1378" s="2968"/>
      <c r="I1378" s="2968"/>
      <c r="J1378" s="2968" t="str">
        <f t="shared" si="43"/>
        <v>KQ2/0-C</v>
      </c>
      <c r="K1378" s="2969" t="str">
        <f t="shared" si="42"/>
        <v>KQ2/0-CKẹp quai 2/0 + chụp cách điện</v>
      </c>
    </row>
    <row r="1379" spans="1:11" hidden="1">
      <c r="A1379" s="2969" t="s">
        <v>235</v>
      </c>
      <c r="B1379" s="2986" t="s">
        <v>1752</v>
      </c>
      <c r="C1379" s="2969" t="s">
        <v>2874</v>
      </c>
      <c r="D1379" s="2968" t="s">
        <v>2547</v>
      </c>
      <c r="E1379" s="2968"/>
      <c r="F1379" s="2968">
        <v>50</v>
      </c>
      <c r="G1379" s="2968" t="s">
        <v>602</v>
      </c>
      <c r="H1379" s="2968"/>
      <c r="I1379" s="2968"/>
      <c r="J1379" s="2968" t="str">
        <f t="shared" si="43"/>
        <v>KQ4/0</v>
      </c>
      <c r="K1379" s="2969" t="str">
        <f t="shared" si="42"/>
        <v>KQ4/0Kẹp quai 4/0</v>
      </c>
    </row>
    <row r="1380" spans="1:11" hidden="1">
      <c r="A1380" s="2969" t="s">
        <v>7007</v>
      </c>
      <c r="B1380" s="3004" t="s">
        <v>7005</v>
      </c>
      <c r="C1380" s="2969" t="s">
        <v>7008</v>
      </c>
      <c r="D1380" s="2968" t="s">
        <v>2547</v>
      </c>
      <c r="E1380" s="2968"/>
      <c r="F1380" s="2968">
        <v>50</v>
      </c>
      <c r="G1380" s="2968" t="s">
        <v>602</v>
      </c>
      <c r="H1380" s="2968"/>
      <c r="I1380" s="2968"/>
      <c r="J1380" s="2968" t="str">
        <f t="shared" si="43"/>
        <v>KQ4</v>
      </c>
      <c r="K1380" s="2969" t="str">
        <f t="shared" si="42"/>
        <v>KQ4Kẹp quai 4/0 (quai đồng 8mm)</v>
      </c>
    </row>
    <row r="1381" spans="1:11" hidden="1">
      <c r="A1381" s="2969" t="s">
        <v>6399</v>
      </c>
      <c r="B1381" s="2986" t="s">
        <v>1752</v>
      </c>
      <c r="C1381" s="2969" t="s">
        <v>4428</v>
      </c>
      <c r="D1381" s="2968" t="s">
        <v>2547</v>
      </c>
      <c r="E1381" s="2968"/>
      <c r="F1381" s="2968">
        <v>50</v>
      </c>
      <c r="G1381" s="2968" t="s">
        <v>602</v>
      </c>
      <c r="H1381" s="2968"/>
      <c r="I1381" s="2968"/>
      <c r="J1381" s="2968" t="str">
        <f t="shared" si="43"/>
        <v>KQ4/0-C</v>
      </c>
      <c r="K1381" s="2969" t="str">
        <f t="shared" si="42"/>
        <v>KQ4/0-CKẹp quai 4/0 + chụp cách điện</v>
      </c>
    </row>
    <row r="1382" spans="1:11" hidden="1">
      <c r="A1382" s="1636" t="s">
        <v>578</v>
      </c>
      <c r="B1382" s="2986"/>
      <c r="C1382" s="2969" t="s">
        <v>2827</v>
      </c>
      <c r="D1382" s="2968" t="s">
        <v>2547</v>
      </c>
      <c r="E1382" s="2968"/>
      <c r="F1382" s="2968">
        <v>50</v>
      </c>
      <c r="G1382" s="2968" t="s">
        <v>355</v>
      </c>
      <c r="H1382" s="2968"/>
      <c r="I1382" s="2968"/>
      <c r="J1382" s="2968" t="str">
        <f t="shared" si="43"/>
        <v>KTREO211</v>
      </c>
      <c r="K1382" s="2969" t="str">
        <f t="shared" si="42"/>
        <v>KTREO211Kẹp treo cáp ABC2x11mm2</v>
      </c>
    </row>
    <row r="1383" spans="1:11" hidden="1">
      <c r="A1383" s="2969" t="s">
        <v>5103</v>
      </c>
      <c r="B1383" s="3004"/>
      <c r="C1383" s="2969" t="s">
        <v>2827</v>
      </c>
      <c r="D1383" s="2968" t="s">
        <v>2547</v>
      </c>
      <c r="E1383" s="2968"/>
      <c r="F1383" s="2968">
        <v>50</v>
      </c>
      <c r="G1383" s="2968" t="s">
        <v>355</v>
      </c>
      <c r="H1383" s="2968"/>
      <c r="I1383" s="2968"/>
      <c r="J1383" s="2968" t="str">
        <f t="shared" si="43"/>
        <v xml:space="preserve">KTREO211 </v>
      </c>
      <c r="K1383" s="2969" t="str">
        <f t="shared" si="42"/>
        <v>KTREO211 Kẹp treo cáp ABC2x11mm2</v>
      </c>
    </row>
    <row r="1384" spans="1:11" hidden="1">
      <c r="A1384" s="1636" t="s">
        <v>1870</v>
      </c>
      <c r="B1384" s="2986"/>
      <c r="C1384" s="2969" t="s">
        <v>2828</v>
      </c>
      <c r="D1384" s="2968" t="s">
        <v>2547</v>
      </c>
      <c r="E1384" s="2968"/>
      <c r="F1384" s="2968">
        <v>50</v>
      </c>
      <c r="G1384" s="2968" t="s">
        <v>355</v>
      </c>
      <c r="H1384" s="2968"/>
      <c r="I1384" s="2968"/>
      <c r="J1384" s="2968" t="str">
        <f t="shared" si="43"/>
        <v>KTREO11</v>
      </c>
      <c r="K1384" s="2969" t="str">
        <f t="shared" si="42"/>
        <v>KTREO11Kẹp treo cáp ABC4x11mm2</v>
      </c>
    </row>
    <row r="1385" spans="1:11" hidden="1">
      <c r="A1385" s="2969" t="s">
        <v>5104</v>
      </c>
      <c r="B1385" s="3004"/>
      <c r="C1385" s="2969" t="s">
        <v>2828</v>
      </c>
      <c r="D1385" s="2968" t="s">
        <v>2547</v>
      </c>
      <c r="E1385" s="2968"/>
      <c r="F1385" s="2968">
        <v>50</v>
      </c>
      <c r="G1385" s="2968" t="s">
        <v>355</v>
      </c>
      <c r="H1385" s="2968"/>
      <c r="I1385" s="2968"/>
      <c r="J1385" s="2968" t="str">
        <f t="shared" si="43"/>
        <v xml:space="preserve">KTREO11 </v>
      </c>
      <c r="K1385" s="2969" t="str">
        <f t="shared" si="42"/>
        <v>KTREO11 Kẹp treo cáp ABC4x11mm2</v>
      </c>
    </row>
    <row r="1386" spans="1:11" hidden="1">
      <c r="A1386" s="2969" t="s">
        <v>7009</v>
      </c>
      <c r="B1386" s="3004"/>
      <c r="C1386" s="2969" t="s">
        <v>2833</v>
      </c>
      <c r="D1386" s="2968" t="s">
        <v>2547</v>
      </c>
      <c r="E1386" s="2968"/>
      <c r="F1386" s="2968">
        <v>50</v>
      </c>
      <c r="G1386" s="2968" t="s">
        <v>355</v>
      </c>
      <c r="H1386" s="2968"/>
      <c r="I1386" s="2968"/>
      <c r="J1386" s="2968" t="str">
        <f t="shared" si="43"/>
        <v>KT120</v>
      </c>
      <c r="K1386" s="2969" t="str">
        <f t="shared" si="42"/>
        <v>KT120Kẹp treo cáp ABC4x120mm2</v>
      </c>
    </row>
    <row r="1387" spans="1:11" hidden="1">
      <c r="A1387" s="1636" t="s">
        <v>1154</v>
      </c>
      <c r="B1387" s="2986"/>
      <c r="C1387" s="2969" t="s">
        <v>2833</v>
      </c>
      <c r="D1387" s="2968" t="s">
        <v>2547</v>
      </c>
      <c r="E1387" s="2968"/>
      <c r="F1387" s="2968">
        <v>50</v>
      </c>
      <c r="G1387" s="2968" t="s">
        <v>355</v>
      </c>
      <c r="H1387" s="2968"/>
      <c r="I1387" s="2968"/>
      <c r="J1387" s="2968" t="str">
        <f t="shared" si="43"/>
        <v>KTREO120</v>
      </c>
      <c r="K1387" s="2969" t="str">
        <f t="shared" si="42"/>
        <v>KTREO120Kẹp treo cáp ABC4x120mm2</v>
      </c>
    </row>
    <row r="1388" spans="1:11" hidden="1">
      <c r="A1388" s="2969" t="s">
        <v>5110</v>
      </c>
      <c r="B1388" s="3004"/>
      <c r="C1388" s="2969" t="s">
        <v>2833</v>
      </c>
      <c r="D1388" s="2968" t="s">
        <v>2547</v>
      </c>
      <c r="E1388" s="2968"/>
      <c r="F1388" s="2968">
        <v>50</v>
      </c>
      <c r="G1388" s="2968" t="s">
        <v>355</v>
      </c>
      <c r="H1388" s="2968"/>
      <c r="I1388" s="2968"/>
      <c r="J1388" s="2968" t="str">
        <f t="shared" si="43"/>
        <v xml:space="preserve">KTREO120 </v>
      </c>
      <c r="K1388" s="2969" t="str">
        <f t="shared" si="42"/>
        <v>KTREO120 Kẹp treo cáp ABC4x120mm2</v>
      </c>
    </row>
    <row r="1389" spans="1:11" hidden="1">
      <c r="A1389" s="2969" t="s">
        <v>7010</v>
      </c>
      <c r="B1389" s="3004"/>
      <c r="C1389" s="2969" t="s">
        <v>2834</v>
      </c>
      <c r="D1389" s="2968" t="s">
        <v>2547</v>
      </c>
      <c r="E1389" s="2968"/>
      <c r="F1389" s="2968">
        <v>50</v>
      </c>
      <c r="G1389" s="2968" t="s">
        <v>355</v>
      </c>
      <c r="H1389" s="2968"/>
      <c r="I1389" s="2968"/>
      <c r="J1389" s="2968" t="str">
        <f t="shared" si="43"/>
        <v>KT150</v>
      </c>
      <c r="K1389" s="2969" t="str">
        <f t="shared" si="42"/>
        <v>KT150Kẹp treo cáp ABC4x150mm2</v>
      </c>
    </row>
    <row r="1390" spans="1:11" hidden="1">
      <c r="A1390" s="1636" t="s">
        <v>146</v>
      </c>
      <c r="B1390" s="2986"/>
      <c r="C1390" s="2969" t="s">
        <v>2834</v>
      </c>
      <c r="D1390" s="2968" t="s">
        <v>2547</v>
      </c>
      <c r="E1390" s="2968"/>
      <c r="F1390" s="2968">
        <v>50</v>
      </c>
      <c r="G1390" s="2968" t="s">
        <v>355</v>
      </c>
      <c r="H1390" s="2968"/>
      <c r="I1390" s="2968"/>
      <c r="J1390" s="2968" t="str">
        <f t="shared" si="43"/>
        <v>KTREO150</v>
      </c>
      <c r="K1390" s="2969" t="str">
        <f t="shared" si="42"/>
        <v>KTREO150Kẹp treo cáp ABC4x150mm2</v>
      </c>
    </row>
    <row r="1391" spans="1:11" hidden="1">
      <c r="A1391" s="2969" t="s">
        <v>5111</v>
      </c>
      <c r="B1391" s="3004"/>
      <c r="C1391" s="2969" t="s">
        <v>2834</v>
      </c>
      <c r="D1391" s="2968" t="s">
        <v>2547</v>
      </c>
      <c r="E1391" s="2968"/>
      <c r="F1391" s="2968">
        <v>50</v>
      </c>
      <c r="G1391" s="2968" t="s">
        <v>355</v>
      </c>
      <c r="H1391" s="2968"/>
      <c r="I1391" s="2968"/>
      <c r="J1391" s="2968" t="str">
        <f t="shared" si="43"/>
        <v xml:space="preserve">KTREO150 </v>
      </c>
      <c r="K1391" s="2969" t="str">
        <f t="shared" si="42"/>
        <v>KTREO150 Kẹp treo cáp ABC4x150mm2</v>
      </c>
    </row>
    <row r="1392" spans="1:11" hidden="1">
      <c r="A1392" s="1636" t="s">
        <v>823</v>
      </c>
      <c r="B1392" s="2986"/>
      <c r="C1392" s="2969" t="s">
        <v>2829</v>
      </c>
      <c r="D1392" s="2968" t="s">
        <v>2547</v>
      </c>
      <c r="E1392" s="2968"/>
      <c r="F1392" s="2968">
        <v>50</v>
      </c>
      <c r="G1392" s="2968" t="s">
        <v>355</v>
      </c>
      <c r="H1392" s="2968"/>
      <c r="I1392" s="2968"/>
      <c r="J1392" s="2968" t="str">
        <f t="shared" si="43"/>
        <v>KTREO22</v>
      </c>
      <c r="K1392" s="2969" t="str">
        <f t="shared" si="42"/>
        <v>KTREO22Kẹp treo cáp ABC4x22mm2</v>
      </c>
    </row>
    <row r="1393" spans="1:11" hidden="1">
      <c r="A1393" s="2969" t="s">
        <v>5105</v>
      </c>
      <c r="B1393" s="3004"/>
      <c r="C1393" s="2969" t="s">
        <v>2829</v>
      </c>
      <c r="D1393" s="2968" t="s">
        <v>2547</v>
      </c>
      <c r="E1393" s="2968"/>
      <c r="F1393" s="2968">
        <v>50</v>
      </c>
      <c r="G1393" s="2968" t="s">
        <v>355</v>
      </c>
      <c r="H1393" s="2968"/>
      <c r="I1393" s="2968"/>
      <c r="J1393" s="2968" t="str">
        <f t="shared" si="43"/>
        <v xml:space="preserve">KTREO22 </v>
      </c>
      <c r="K1393" s="2969" t="str">
        <f t="shared" si="42"/>
        <v>KTREO22 Kẹp treo cáp ABC4x22mm2</v>
      </c>
    </row>
    <row r="1394" spans="1:11" hidden="1">
      <c r="A1394" s="1636" t="s">
        <v>2055</v>
      </c>
      <c r="B1394" s="2986"/>
      <c r="C1394" s="2969" t="s">
        <v>2830</v>
      </c>
      <c r="D1394" s="2968" t="s">
        <v>2547</v>
      </c>
      <c r="E1394" s="2968"/>
      <c r="F1394" s="2968">
        <v>50</v>
      </c>
      <c r="G1394" s="2968" t="s">
        <v>355</v>
      </c>
      <c r="H1394" s="2968"/>
      <c r="I1394" s="2968"/>
      <c r="J1394" s="2968" t="str">
        <f t="shared" si="43"/>
        <v>KTREO35</v>
      </c>
      <c r="K1394" s="2969" t="str">
        <f t="shared" si="42"/>
        <v>KTREO35Kẹp treo cáp ABC4x35mm2</v>
      </c>
    </row>
    <row r="1395" spans="1:11" hidden="1">
      <c r="A1395" s="2969" t="s">
        <v>5106</v>
      </c>
      <c r="B1395" s="3004"/>
      <c r="C1395" s="2969" t="s">
        <v>2830</v>
      </c>
      <c r="D1395" s="2968" t="s">
        <v>2547</v>
      </c>
      <c r="E1395" s="2968"/>
      <c r="F1395" s="2968">
        <v>50</v>
      </c>
      <c r="G1395" s="2968" t="s">
        <v>355</v>
      </c>
      <c r="H1395" s="2968"/>
      <c r="I1395" s="2968"/>
      <c r="J1395" s="2968" t="str">
        <f t="shared" si="43"/>
        <v xml:space="preserve">KTREO35 </v>
      </c>
      <c r="K1395" s="2969" t="str">
        <f t="shared" si="42"/>
        <v>KTREO35 Kẹp treo cáp ABC4x35mm2</v>
      </c>
    </row>
    <row r="1396" spans="1:11" hidden="1">
      <c r="A1396" s="2969" t="s">
        <v>7011</v>
      </c>
      <c r="B1396" s="3004"/>
      <c r="C1396" s="2969" t="s">
        <v>2831</v>
      </c>
      <c r="D1396" s="2968" t="s">
        <v>2547</v>
      </c>
      <c r="E1396" s="2968"/>
      <c r="F1396" s="2968">
        <v>50</v>
      </c>
      <c r="G1396" s="2968" t="s">
        <v>355</v>
      </c>
      <c r="H1396" s="2968"/>
      <c r="I1396" s="2968"/>
      <c r="J1396" s="2968" t="str">
        <f t="shared" si="43"/>
        <v>KT50</v>
      </c>
      <c r="K1396" s="2969" t="str">
        <f t="shared" si="42"/>
        <v>KT50Kẹp treo cáp ABC4x50mm2</v>
      </c>
    </row>
    <row r="1397" spans="1:11" hidden="1">
      <c r="A1397" s="1636" t="s">
        <v>1689</v>
      </c>
      <c r="B1397" s="2986"/>
      <c r="C1397" s="2969" t="s">
        <v>2831</v>
      </c>
      <c r="D1397" s="2968" t="s">
        <v>2547</v>
      </c>
      <c r="E1397" s="2968"/>
      <c r="F1397" s="2968">
        <v>50</v>
      </c>
      <c r="G1397" s="2968" t="s">
        <v>355</v>
      </c>
      <c r="H1397" s="2968"/>
      <c r="I1397" s="2968"/>
      <c r="J1397" s="2968" t="str">
        <f t="shared" si="43"/>
        <v>KTREO50</v>
      </c>
      <c r="K1397" s="2969" t="str">
        <f t="shared" si="42"/>
        <v>KTREO50Kẹp treo cáp ABC4x50mm2</v>
      </c>
    </row>
    <row r="1398" spans="1:11" hidden="1">
      <c r="A1398" s="2969" t="s">
        <v>5107</v>
      </c>
      <c r="B1398" s="3004"/>
      <c r="C1398" s="2969" t="s">
        <v>2831</v>
      </c>
      <c r="D1398" s="2968" t="s">
        <v>2547</v>
      </c>
      <c r="E1398" s="2968"/>
      <c r="F1398" s="2968">
        <v>50</v>
      </c>
      <c r="G1398" s="2968" t="s">
        <v>355</v>
      </c>
      <c r="H1398" s="2968"/>
      <c r="I1398" s="2968"/>
      <c r="J1398" s="2968" t="str">
        <f t="shared" si="43"/>
        <v xml:space="preserve">KTREO50 </v>
      </c>
      <c r="K1398" s="2969" t="str">
        <f t="shared" si="42"/>
        <v>KTREO50 Kẹp treo cáp ABC4x50mm2</v>
      </c>
    </row>
    <row r="1399" spans="1:11" hidden="1">
      <c r="A1399" s="2969" t="s">
        <v>7012</v>
      </c>
      <c r="B1399" s="3004"/>
      <c r="C1399" s="2969" t="s">
        <v>2832</v>
      </c>
      <c r="D1399" s="2968" t="s">
        <v>2547</v>
      </c>
      <c r="E1399" s="2968"/>
      <c r="F1399" s="2968">
        <v>50</v>
      </c>
      <c r="G1399" s="2968" t="s">
        <v>355</v>
      </c>
      <c r="H1399" s="2968"/>
      <c r="I1399" s="2968"/>
      <c r="J1399" s="2968" t="str">
        <f t="shared" si="43"/>
        <v>KT70</v>
      </c>
      <c r="K1399" s="2969" t="str">
        <f t="shared" si="42"/>
        <v>KT70Kẹp treo cáp ABC4x70mm2</v>
      </c>
    </row>
    <row r="1400" spans="1:11" hidden="1">
      <c r="A1400" s="1636" t="s">
        <v>1688</v>
      </c>
      <c r="B1400" s="3014" t="s">
        <v>1763</v>
      </c>
      <c r="C1400" s="2969" t="s">
        <v>2832</v>
      </c>
      <c r="D1400" s="2968" t="s">
        <v>2547</v>
      </c>
      <c r="E1400" s="2968"/>
      <c r="F1400" s="2968">
        <v>50</v>
      </c>
      <c r="G1400" s="2968" t="s">
        <v>355</v>
      </c>
      <c r="H1400" s="2968"/>
      <c r="I1400" s="2968"/>
      <c r="J1400" s="2968" t="str">
        <f t="shared" si="43"/>
        <v>KTREO70</v>
      </c>
      <c r="K1400" s="2969" t="str">
        <f t="shared" si="42"/>
        <v>KTREO70Kẹp treo cáp ABC4x70mm2</v>
      </c>
    </row>
    <row r="1401" spans="1:11" hidden="1">
      <c r="A1401" s="2969" t="s">
        <v>5108</v>
      </c>
      <c r="B1401" s="3004"/>
      <c r="C1401" s="2969" t="s">
        <v>2832</v>
      </c>
      <c r="D1401" s="2968" t="s">
        <v>2547</v>
      </c>
      <c r="E1401" s="2968"/>
      <c r="F1401" s="2968">
        <v>50</v>
      </c>
      <c r="G1401" s="2968" t="s">
        <v>355</v>
      </c>
      <c r="H1401" s="2968"/>
      <c r="I1401" s="2968"/>
      <c r="J1401" s="2968" t="str">
        <f t="shared" si="43"/>
        <v xml:space="preserve">KTREO70 </v>
      </c>
      <c r="K1401" s="2969" t="str">
        <f t="shared" si="42"/>
        <v>KTREO70 Kẹp treo cáp ABC4x70mm2</v>
      </c>
    </row>
    <row r="1402" spans="1:11" hidden="1">
      <c r="A1402" s="2969" t="s">
        <v>7013</v>
      </c>
      <c r="B1402" s="3004"/>
      <c r="C1402" s="2969" t="s">
        <v>4794</v>
      </c>
      <c r="D1402" s="2968" t="s">
        <v>2547</v>
      </c>
      <c r="E1402" s="2968"/>
      <c r="F1402" s="2968">
        <v>50</v>
      </c>
      <c r="G1402" s="2968" t="s">
        <v>355</v>
      </c>
      <c r="H1402" s="2968"/>
      <c r="I1402" s="2968"/>
      <c r="J1402" s="2968" t="str">
        <f t="shared" si="43"/>
        <v>KT95</v>
      </c>
      <c r="K1402" s="2969" t="str">
        <f t="shared" si="42"/>
        <v>KT95Kẹp treo cáp ABC4x95mm2</v>
      </c>
    </row>
    <row r="1403" spans="1:11" hidden="1">
      <c r="A1403" s="1636" t="s">
        <v>1155</v>
      </c>
      <c r="B1403" s="2986"/>
      <c r="C1403" s="2969" t="s">
        <v>4794</v>
      </c>
      <c r="D1403" s="2968" t="s">
        <v>2547</v>
      </c>
      <c r="E1403" s="2968"/>
      <c r="F1403" s="2968">
        <v>50</v>
      </c>
      <c r="G1403" s="2968" t="s">
        <v>355</v>
      </c>
      <c r="H1403" s="2968"/>
      <c r="I1403" s="2968"/>
      <c r="J1403" s="2968" t="str">
        <f t="shared" si="43"/>
        <v>KTREO95</v>
      </c>
      <c r="K1403" s="2969" t="str">
        <f t="shared" si="42"/>
        <v>KTREO95Kẹp treo cáp ABC4x95mm2</v>
      </c>
    </row>
    <row r="1404" spans="1:11" hidden="1">
      <c r="A1404" s="2969" t="s">
        <v>5109</v>
      </c>
      <c r="B1404" s="3004"/>
      <c r="C1404" s="2969" t="s">
        <v>4794</v>
      </c>
      <c r="D1404" s="2968" t="s">
        <v>2547</v>
      </c>
      <c r="E1404" s="2968"/>
      <c r="F1404" s="2968">
        <v>50</v>
      </c>
      <c r="G1404" s="2968" t="s">
        <v>355</v>
      </c>
      <c r="H1404" s="2968"/>
      <c r="I1404" s="2968"/>
      <c r="J1404" s="2968" t="str">
        <f t="shared" si="43"/>
        <v xml:space="preserve">KTREO95 </v>
      </c>
      <c r="K1404" s="2969" t="str">
        <f t="shared" si="42"/>
        <v>KTREO95 Kẹp treo cáp ABC4x95mm2</v>
      </c>
    </row>
    <row r="1405" spans="1:11" hidden="1">
      <c r="A1405" s="2969" t="s">
        <v>5133</v>
      </c>
      <c r="B1405" s="3004"/>
      <c r="C1405" s="2969" t="s">
        <v>5134</v>
      </c>
      <c r="D1405" s="2968" t="s">
        <v>2547</v>
      </c>
      <c r="E1405" s="2968"/>
      <c r="F1405" s="2968">
        <v>50</v>
      </c>
      <c r="G1405" s="2968" t="s">
        <v>510</v>
      </c>
      <c r="H1405" s="2968"/>
      <c r="I1405" s="2968"/>
      <c r="J1405" s="2968" t="str">
        <f t="shared" si="43"/>
        <v>KEU120</v>
      </c>
      <c r="K1405" s="2969" t="str">
        <f t="shared" si="42"/>
        <v>KEU120Kẹp U bolt dây 120mm2</v>
      </c>
    </row>
    <row r="1406" spans="1:11" hidden="1">
      <c r="A1406" s="2969" t="s">
        <v>951</v>
      </c>
      <c r="B1406" s="3004"/>
      <c r="C1406" s="2969" t="s">
        <v>2877</v>
      </c>
      <c r="D1406" s="2968" t="s">
        <v>2547</v>
      </c>
      <c r="E1406" s="2968"/>
      <c r="F1406" s="2968">
        <v>50</v>
      </c>
      <c r="G1406" s="2968" t="s">
        <v>510</v>
      </c>
      <c r="H1406" s="2968"/>
      <c r="I1406" s="2968"/>
      <c r="J1406" s="2968" t="str">
        <f t="shared" si="43"/>
        <v>KEU35</v>
      </c>
      <c r="K1406" s="2969" t="str">
        <f t="shared" si="42"/>
        <v>KEU35Kẹp U bolt dây 35mm2</v>
      </c>
    </row>
    <row r="1407" spans="1:11" hidden="1">
      <c r="A1407" s="2969" t="s">
        <v>2156</v>
      </c>
      <c r="B1407" s="3004"/>
      <c r="C1407" s="2969" t="s">
        <v>2878</v>
      </c>
      <c r="D1407" s="2968" t="s">
        <v>2547</v>
      </c>
      <c r="E1407" s="2968"/>
      <c r="F1407" s="2968">
        <v>50</v>
      </c>
      <c r="G1407" s="2968" t="s">
        <v>510</v>
      </c>
      <c r="H1407" s="2968"/>
      <c r="I1407" s="2968"/>
      <c r="J1407" s="2968" t="str">
        <f t="shared" si="43"/>
        <v>KEU50</v>
      </c>
      <c r="K1407" s="2969" t="str">
        <f t="shared" si="42"/>
        <v>KEU50Kẹp U bolt dây 50mm2</v>
      </c>
    </row>
    <row r="1408" spans="1:11" hidden="1">
      <c r="A1408" s="2969" t="s">
        <v>2157</v>
      </c>
      <c r="B1408" s="3004"/>
      <c r="C1408" s="2969" t="s">
        <v>2879</v>
      </c>
      <c r="D1408" s="2968" t="s">
        <v>2547</v>
      </c>
      <c r="E1408" s="2968"/>
      <c r="F1408" s="2968">
        <v>50</v>
      </c>
      <c r="G1408" s="2968" t="s">
        <v>510</v>
      </c>
      <c r="H1408" s="2968"/>
      <c r="I1408" s="2968"/>
      <c r="J1408" s="2968" t="str">
        <f t="shared" si="43"/>
        <v>KEU70</v>
      </c>
      <c r="K1408" s="2969" t="str">
        <f t="shared" si="42"/>
        <v>KEU70Kẹp U bolt dây 70mm2</v>
      </c>
    </row>
    <row r="1409" spans="1:11" hidden="1">
      <c r="A1409" s="2969" t="s">
        <v>1594</v>
      </c>
      <c r="B1409" s="3004"/>
      <c r="C1409" s="2969" t="s">
        <v>2880</v>
      </c>
      <c r="D1409" s="2968" t="s">
        <v>2547</v>
      </c>
      <c r="E1409" s="2968"/>
      <c r="F1409" s="2968">
        <v>50</v>
      </c>
      <c r="G1409" s="2968" t="s">
        <v>510</v>
      </c>
      <c r="H1409" s="2968"/>
      <c r="I1409" s="2968"/>
      <c r="J1409" s="2968" t="str">
        <f t="shared" si="43"/>
        <v>KEU95</v>
      </c>
      <c r="K1409" s="2969" t="str">
        <f t="shared" si="42"/>
        <v>KEU95Kẹp U bolt dây 95mm2</v>
      </c>
    </row>
    <row r="1410" spans="1:11" hidden="1">
      <c r="A1410" s="2969" t="s">
        <v>7014</v>
      </c>
      <c r="B1410" s="3004"/>
      <c r="C1410" s="2969" t="s">
        <v>7015</v>
      </c>
      <c r="D1410" s="2968" t="s">
        <v>2547</v>
      </c>
      <c r="E1410" s="2968"/>
      <c r="F1410" s="2968">
        <v>50</v>
      </c>
      <c r="G1410" s="2968" t="s">
        <v>510</v>
      </c>
      <c r="H1410" s="2968"/>
      <c r="I1410" s="2968"/>
      <c r="J1410" s="2968" t="str">
        <f t="shared" si="43"/>
        <v>KU70</v>
      </c>
      <c r="K1410" s="2969" t="str">
        <f t="shared" si="42"/>
        <v>KU70Kẹp Ubolt cỡ dây 70</v>
      </c>
    </row>
    <row r="1411" spans="1:11" hidden="1">
      <c r="A1411" s="2969" t="s">
        <v>7016</v>
      </c>
      <c r="B1411" s="3004"/>
      <c r="C1411" s="2969" t="s">
        <v>7017</v>
      </c>
      <c r="D1411" s="2968" t="s">
        <v>2547</v>
      </c>
      <c r="E1411" s="2968"/>
      <c r="F1411" s="2968">
        <v>50</v>
      </c>
      <c r="G1411" s="2968" t="s">
        <v>510</v>
      </c>
      <c r="H1411" s="2968"/>
      <c r="I1411" s="2968"/>
      <c r="J1411" s="2968" t="str">
        <f t="shared" si="43"/>
        <v>KU95</v>
      </c>
      <c r="K1411" s="2969" t="str">
        <f t="shared" ref="K1411:K1474" si="44">A1411&amp;C1411</f>
        <v>KU95Kẹp Ubolt cỡ dây 95</v>
      </c>
    </row>
    <row r="1412" spans="1:11" hidden="1">
      <c r="A1412" s="2969" t="s">
        <v>4429</v>
      </c>
      <c r="B1412" s="2986"/>
      <c r="C1412" s="2969" t="s">
        <v>4653</v>
      </c>
      <c r="D1412" s="2968" t="s">
        <v>2547</v>
      </c>
      <c r="E1412" s="2968"/>
      <c r="F1412" s="2968">
        <v>50</v>
      </c>
      <c r="G1412" s="2968" t="s">
        <v>510</v>
      </c>
      <c r="H1412" s="2968"/>
      <c r="I1412" s="2968"/>
      <c r="J1412" s="2968" t="str">
        <f t="shared" ref="J1412:J1475" si="45">A1412</f>
        <v>KDPLY</v>
      </c>
      <c r="K1412" s="2969" t="str">
        <f t="shared" si="44"/>
        <v>KDPLYKhánh bắt sứ kép polymer</v>
      </c>
    </row>
    <row r="1413" spans="1:11" hidden="1">
      <c r="A1413" s="2969" t="s">
        <v>4638</v>
      </c>
      <c r="B1413" s="3004"/>
      <c r="C1413" s="2969" t="s">
        <v>4639</v>
      </c>
      <c r="D1413" s="2968" t="s">
        <v>2547</v>
      </c>
      <c r="E1413" s="2968"/>
      <c r="F1413" s="2968">
        <v>50</v>
      </c>
      <c r="G1413" s="2968" t="s">
        <v>510</v>
      </c>
      <c r="H1413" s="2968"/>
      <c r="I1413" s="2968"/>
      <c r="J1413" s="2968" t="str">
        <f t="shared" si="45"/>
        <v>khanhkep</v>
      </c>
      <c r="K1413" s="2969" t="str">
        <f t="shared" si="44"/>
        <v>khanhkepKhánh lắp chuỗi sứ polymer kép</v>
      </c>
    </row>
    <row r="1414" spans="1:11" hidden="1">
      <c r="A1414" s="2969" t="s">
        <v>5141</v>
      </c>
      <c r="B1414" s="3004"/>
      <c r="C1414" s="2969" t="s">
        <v>5142</v>
      </c>
      <c r="D1414" s="2968" t="s">
        <v>2547</v>
      </c>
      <c r="E1414" s="2968"/>
      <c r="F1414" s="2968">
        <v>50</v>
      </c>
      <c r="G1414" s="2968" t="s">
        <v>510</v>
      </c>
      <c r="H1414" s="2968"/>
      <c r="I1414" s="2968"/>
      <c r="J1414" s="2968" t="str">
        <f t="shared" si="45"/>
        <v>Khkep</v>
      </c>
      <c r="K1414" s="2969" t="str">
        <f t="shared" si="44"/>
        <v>KhkepKhánh treo chuỗi polymer kép</v>
      </c>
    </row>
    <row r="1415" spans="1:11" hidden="1">
      <c r="A1415" s="2969" t="s">
        <v>1960</v>
      </c>
      <c r="B1415" s="3004"/>
      <c r="C1415" s="2969" t="s">
        <v>3564</v>
      </c>
      <c r="D1415" s="2968" t="s">
        <v>2547</v>
      </c>
      <c r="E1415" s="2968"/>
      <c r="F1415" s="2968">
        <v>50</v>
      </c>
      <c r="G1415" s="2968" t="s">
        <v>510</v>
      </c>
      <c r="H1415" s="2968"/>
      <c r="I1415" s="2968"/>
      <c r="J1415" s="2968" t="str">
        <f t="shared" si="45"/>
        <v>KVRN114</v>
      </c>
      <c r="K1415" s="2969" t="str">
        <f t="shared" si="44"/>
        <v>KVRN114Khâu ven răng ngoài D114</v>
      </c>
    </row>
    <row r="1416" spans="1:11" hidden="1">
      <c r="A1416" s="2969" t="s">
        <v>1879</v>
      </c>
      <c r="B1416" s="3004"/>
      <c r="C1416" s="2969" t="s">
        <v>3565</v>
      </c>
      <c r="D1416" s="2968" t="s">
        <v>2547</v>
      </c>
      <c r="E1416" s="2968"/>
      <c r="F1416" s="2968">
        <v>50</v>
      </c>
      <c r="G1416" s="2968" t="s">
        <v>510</v>
      </c>
      <c r="H1416" s="2968"/>
      <c r="I1416" s="2968"/>
      <c r="J1416" s="2968" t="str">
        <f t="shared" si="45"/>
        <v>KVRN140</v>
      </c>
      <c r="K1416" s="2969" t="str">
        <f t="shared" si="44"/>
        <v>KVRN140Khâu ven răng ngoài D140</v>
      </c>
    </row>
    <row r="1417" spans="1:11" hidden="1">
      <c r="A1417" s="2969" t="s">
        <v>5725</v>
      </c>
      <c r="B1417" s="3004"/>
      <c r="C1417" s="2969" t="s">
        <v>5726</v>
      </c>
      <c r="D1417" s="2968" t="s">
        <v>2547</v>
      </c>
      <c r="E1417" s="2968"/>
      <c r="F1417" s="2968">
        <v>50</v>
      </c>
      <c r="G1417" s="2968" t="s">
        <v>510</v>
      </c>
      <c r="H1417" s="2968"/>
      <c r="I1417" s="2968"/>
      <c r="J1417" s="2968" t="str">
        <f t="shared" si="45"/>
        <v>KVRN34</v>
      </c>
      <c r="K1417" s="2969" t="str">
        <f t="shared" si="44"/>
        <v>KVRN34Khâu ven răng ngoài D34</v>
      </c>
    </row>
    <row r="1418" spans="1:11" hidden="1">
      <c r="A1418" s="2969" t="s">
        <v>955</v>
      </c>
      <c r="B1418" s="3004"/>
      <c r="C1418" s="2969" t="s">
        <v>3562</v>
      </c>
      <c r="D1418" s="2968" t="s">
        <v>2547</v>
      </c>
      <c r="E1418" s="2968"/>
      <c r="F1418" s="2968">
        <v>50</v>
      </c>
      <c r="G1418" s="2968" t="s">
        <v>510</v>
      </c>
      <c r="H1418" s="2968"/>
      <c r="I1418" s="2968"/>
      <c r="J1418" s="2968" t="str">
        <f t="shared" si="45"/>
        <v>KVRN42</v>
      </c>
      <c r="K1418" s="2969" t="str">
        <f t="shared" si="44"/>
        <v>KVRN42Khâu ven răng ngoài D42</v>
      </c>
    </row>
    <row r="1419" spans="1:11" hidden="1">
      <c r="A1419" s="2969" t="s">
        <v>5727</v>
      </c>
      <c r="B1419" s="3004"/>
      <c r="C1419" s="2969" t="s">
        <v>5728</v>
      </c>
      <c r="D1419" s="2968" t="s">
        <v>2547</v>
      </c>
      <c r="E1419" s="2968"/>
      <c r="F1419" s="2968">
        <v>50</v>
      </c>
      <c r="G1419" s="2968" t="s">
        <v>510</v>
      </c>
      <c r="H1419" s="2968"/>
      <c r="I1419" s="2968"/>
      <c r="J1419" s="2968" t="str">
        <f t="shared" si="45"/>
        <v>KVRN60</v>
      </c>
      <c r="K1419" s="2969" t="str">
        <f t="shared" si="44"/>
        <v>KVRN60Khâu ven răng ngoài D60</v>
      </c>
    </row>
    <row r="1420" spans="1:11" hidden="1">
      <c r="A1420" s="2969" t="s">
        <v>926</v>
      </c>
      <c r="B1420" s="3004"/>
      <c r="C1420" s="2969" t="s">
        <v>3563</v>
      </c>
      <c r="D1420" s="2968" t="s">
        <v>2547</v>
      </c>
      <c r="E1420" s="2968"/>
      <c r="F1420" s="2968">
        <v>50</v>
      </c>
      <c r="G1420" s="2968" t="s">
        <v>510</v>
      </c>
      <c r="H1420" s="2968"/>
      <c r="I1420" s="2968"/>
      <c r="J1420" s="2968" t="str">
        <f t="shared" si="45"/>
        <v>KVRN90</v>
      </c>
      <c r="K1420" s="2969" t="str">
        <f t="shared" si="44"/>
        <v>KVRN90Khâu ven răng ngoài D90</v>
      </c>
    </row>
    <row r="1421" spans="1:11" hidden="1">
      <c r="A1421" s="2969" t="s">
        <v>1959</v>
      </c>
      <c r="B1421" s="3004"/>
      <c r="C1421" s="2969" t="s">
        <v>3560</v>
      </c>
      <c r="D1421" s="2968" t="s">
        <v>2547</v>
      </c>
      <c r="E1421" s="2968"/>
      <c r="F1421" s="2968">
        <v>50</v>
      </c>
      <c r="G1421" s="2968" t="s">
        <v>510</v>
      </c>
      <c r="H1421" s="2968"/>
      <c r="I1421" s="2968"/>
      <c r="J1421" s="2968" t="str">
        <f t="shared" si="45"/>
        <v>KVRT114</v>
      </c>
      <c r="K1421" s="2969" t="str">
        <f t="shared" si="44"/>
        <v>KVRT114Khâu ven răng trong D114</v>
      </c>
    </row>
    <row r="1422" spans="1:11" hidden="1">
      <c r="A1422" s="2969" t="s">
        <v>1495</v>
      </c>
      <c r="B1422" s="3004"/>
      <c r="C1422" s="2969" t="s">
        <v>3561</v>
      </c>
      <c r="D1422" s="2968" t="s">
        <v>2547</v>
      </c>
      <c r="E1422" s="2968"/>
      <c r="F1422" s="2968">
        <v>50</v>
      </c>
      <c r="G1422" s="2968" t="s">
        <v>510</v>
      </c>
      <c r="H1422" s="2968"/>
      <c r="I1422" s="2968"/>
      <c r="J1422" s="2968" t="str">
        <f t="shared" si="45"/>
        <v>KVRT140</v>
      </c>
      <c r="K1422" s="2969" t="str">
        <f t="shared" si="44"/>
        <v>KVRT140Khâu ven răng trong D140</v>
      </c>
    </row>
    <row r="1423" spans="1:11" hidden="1">
      <c r="A1423" s="2969" t="s">
        <v>5721</v>
      </c>
      <c r="B1423" s="3004"/>
      <c r="C1423" s="2969" t="s">
        <v>5722</v>
      </c>
      <c r="D1423" s="2968" t="s">
        <v>2547</v>
      </c>
      <c r="E1423" s="2968"/>
      <c r="F1423" s="2968">
        <v>50</v>
      </c>
      <c r="G1423" s="2968" t="s">
        <v>510</v>
      </c>
      <c r="H1423" s="2968"/>
      <c r="I1423" s="2968"/>
      <c r="J1423" s="2968" t="str">
        <f t="shared" si="45"/>
        <v>KVRT34</v>
      </c>
      <c r="K1423" s="2969" t="str">
        <f t="shared" si="44"/>
        <v>KVRT34Khâu ven răng trong D34</v>
      </c>
    </row>
    <row r="1424" spans="1:11" hidden="1">
      <c r="A1424" s="2969" t="s">
        <v>2115</v>
      </c>
      <c r="B1424" s="3004"/>
      <c r="C1424" s="2969" t="s">
        <v>3558</v>
      </c>
      <c r="D1424" s="2968" t="s">
        <v>2547</v>
      </c>
      <c r="E1424" s="2968"/>
      <c r="F1424" s="2968">
        <v>50</v>
      </c>
      <c r="G1424" s="2968" t="s">
        <v>510</v>
      </c>
      <c r="H1424" s="2968"/>
      <c r="I1424" s="2968"/>
      <c r="J1424" s="2968" t="str">
        <f t="shared" si="45"/>
        <v>KVRT42</v>
      </c>
      <c r="K1424" s="2969" t="str">
        <f t="shared" si="44"/>
        <v>KVRT42Khâu ven răng trong D42</v>
      </c>
    </row>
    <row r="1425" spans="1:11" hidden="1">
      <c r="A1425" s="2969" t="s">
        <v>5723</v>
      </c>
      <c r="B1425" s="3004"/>
      <c r="C1425" s="2969" t="s">
        <v>5724</v>
      </c>
      <c r="D1425" s="2968" t="s">
        <v>2547</v>
      </c>
      <c r="E1425" s="2968"/>
      <c r="F1425" s="2968">
        <v>50</v>
      </c>
      <c r="G1425" s="2968" t="s">
        <v>510</v>
      </c>
      <c r="H1425" s="2968"/>
      <c r="I1425" s="2968"/>
      <c r="J1425" s="2968" t="str">
        <f t="shared" si="45"/>
        <v>KVRT60</v>
      </c>
      <c r="K1425" s="2969" t="str">
        <f t="shared" si="44"/>
        <v>KVRT60Khâu ven răng trong D60</v>
      </c>
    </row>
    <row r="1426" spans="1:11" hidden="1">
      <c r="A1426" s="2969" t="s">
        <v>927</v>
      </c>
      <c r="B1426" s="3004"/>
      <c r="C1426" s="2969" t="s">
        <v>3559</v>
      </c>
      <c r="D1426" s="2968" t="s">
        <v>2547</v>
      </c>
      <c r="E1426" s="2968"/>
      <c r="F1426" s="2968">
        <v>50</v>
      </c>
      <c r="G1426" s="2968" t="s">
        <v>510</v>
      </c>
      <c r="H1426" s="2968"/>
      <c r="I1426" s="2968"/>
      <c r="J1426" s="2968" t="str">
        <f t="shared" si="45"/>
        <v>KVRT90</v>
      </c>
      <c r="K1426" s="2969" t="str">
        <f t="shared" si="44"/>
        <v>KVRT90Khâu ven răng trong D90</v>
      </c>
    </row>
    <row r="1427" spans="1:11" hidden="1">
      <c r="A1427" s="2969" t="s">
        <v>5101</v>
      </c>
      <c r="B1427" s="3004"/>
      <c r="C1427" s="2969" t="s">
        <v>5102</v>
      </c>
      <c r="D1427" s="2968" t="s">
        <v>2547</v>
      </c>
      <c r="E1427" s="2968"/>
      <c r="F1427" s="2968">
        <v>50</v>
      </c>
      <c r="G1427" s="2968" t="s">
        <v>510</v>
      </c>
      <c r="H1427" s="2968"/>
      <c r="I1427" s="2968"/>
      <c r="J1427" s="2968" t="str">
        <f t="shared" si="45"/>
        <v>KDINOX</v>
      </c>
      <c r="K1427" s="2969" t="str">
        <f t="shared" si="44"/>
        <v>KDINOXKhóa đai Inox</v>
      </c>
    </row>
    <row r="1428" spans="1:11" hidden="1">
      <c r="A1428" s="3013" t="s">
        <v>1669</v>
      </c>
      <c r="B1428" s="2986"/>
      <c r="C1428" s="2969" t="s">
        <v>2890</v>
      </c>
      <c r="D1428" s="2968" t="s">
        <v>2547</v>
      </c>
      <c r="E1428" s="2968"/>
      <c r="F1428" s="2968">
        <v>50</v>
      </c>
      <c r="G1428" s="2968" t="s">
        <v>510</v>
      </c>
      <c r="H1428" s="2968"/>
      <c r="I1428" s="2968"/>
      <c r="J1428" s="2968" t="str">
        <f t="shared" si="45"/>
        <v>KD158</v>
      </c>
      <c r="K1428" s="2969" t="str">
        <f t="shared" si="44"/>
        <v>KD158Khóa đỡ Đ158</v>
      </c>
    </row>
    <row r="1429" spans="1:11" hidden="1">
      <c r="A1429" s="3013" t="s">
        <v>1476</v>
      </c>
      <c r="B1429" s="2986"/>
      <c r="C1429" s="2969" t="s">
        <v>2888</v>
      </c>
      <c r="D1429" s="2968" t="s">
        <v>2547</v>
      </c>
      <c r="E1429" s="2968"/>
      <c r="F1429" s="2968">
        <v>50</v>
      </c>
      <c r="G1429" s="2968" t="s">
        <v>510</v>
      </c>
      <c r="H1429" s="2968"/>
      <c r="I1429" s="2968"/>
      <c r="J1429" s="2968" t="str">
        <f t="shared" si="45"/>
        <v>KD357</v>
      </c>
      <c r="K1429" s="2969" t="str">
        <f t="shared" si="44"/>
        <v>KD357Khóa đỡ Đ357</v>
      </c>
    </row>
    <row r="1430" spans="1:11" hidden="1">
      <c r="A1430" s="3013" t="s">
        <v>2248</v>
      </c>
      <c r="B1430" s="2986"/>
      <c r="C1430" s="2969" t="s">
        <v>2889</v>
      </c>
      <c r="D1430" s="2968" t="s">
        <v>2547</v>
      </c>
      <c r="E1430" s="2968"/>
      <c r="F1430" s="2968">
        <v>50</v>
      </c>
      <c r="G1430" s="2968" t="s">
        <v>510</v>
      </c>
      <c r="H1430" s="2968"/>
      <c r="I1430" s="2968"/>
      <c r="J1430" s="2968" t="str">
        <f t="shared" si="45"/>
        <v>KD912</v>
      </c>
      <c r="K1430" s="2969" t="str">
        <f t="shared" si="44"/>
        <v>KD912Khóa đỡ Đ912</v>
      </c>
    </row>
    <row r="1431" spans="1:11" hidden="1">
      <c r="A1431" s="3013" t="s">
        <v>2250</v>
      </c>
      <c r="B1431" s="2986"/>
      <c r="C1431" s="2969" t="s">
        <v>2884</v>
      </c>
      <c r="D1431" s="2968" t="s">
        <v>2547</v>
      </c>
      <c r="E1431" s="2968"/>
      <c r="F1431" s="2968">
        <v>50</v>
      </c>
      <c r="G1431" s="2968" t="s">
        <v>510</v>
      </c>
      <c r="H1431" s="2968"/>
      <c r="I1431" s="2968"/>
      <c r="J1431" s="2968" t="str">
        <f t="shared" si="45"/>
        <v>Kd120</v>
      </c>
      <c r="K1431" s="2969" t="str">
        <f t="shared" si="44"/>
        <v>Kd120Khóa đỡ dây cỡ dây 120</v>
      </c>
    </row>
    <row r="1432" spans="1:11" hidden="1">
      <c r="A1432" s="3013" t="s">
        <v>328</v>
      </c>
      <c r="B1432" s="2986"/>
      <c r="C1432" s="2969" t="s">
        <v>2885</v>
      </c>
      <c r="D1432" s="2968" t="s">
        <v>2547</v>
      </c>
      <c r="E1432" s="2968"/>
      <c r="F1432" s="2968">
        <v>50</v>
      </c>
      <c r="G1432" s="2968" t="s">
        <v>510</v>
      </c>
      <c r="H1432" s="2968"/>
      <c r="I1432" s="2968"/>
      <c r="J1432" s="2968" t="str">
        <f t="shared" si="45"/>
        <v>Kd150</v>
      </c>
      <c r="K1432" s="2969" t="str">
        <f t="shared" si="44"/>
        <v>Kd150Khóa đỡ dây cỡ dây 150</v>
      </c>
    </row>
    <row r="1433" spans="1:11" hidden="1">
      <c r="A1433" s="3013" t="s">
        <v>329</v>
      </c>
      <c r="B1433" s="2986"/>
      <c r="C1433" s="2969" t="s">
        <v>2886</v>
      </c>
      <c r="D1433" s="2968" t="s">
        <v>2547</v>
      </c>
      <c r="E1433" s="2968"/>
      <c r="F1433" s="2968">
        <v>50</v>
      </c>
      <c r="G1433" s="2968" t="s">
        <v>510</v>
      </c>
      <c r="H1433" s="2968"/>
      <c r="I1433" s="2968"/>
      <c r="J1433" s="2968" t="str">
        <f t="shared" si="45"/>
        <v>Kd185</v>
      </c>
      <c r="K1433" s="2969" t="str">
        <f t="shared" si="44"/>
        <v>Kd185Khóa đỡ dây cỡ dây 185</v>
      </c>
    </row>
    <row r="1434" spans="1:11" hidden="1">
      <c r="A1434" s="3013" t="s">
        <v>330</v>
      </c>
      <c r="B1434" s="2986"/>
      <c r="C1434" s="2969" t="s">
        <v>2887</v>
      </c>
      <c r="D1434" s="2968" t="s">
        <v>2547</v>
      </c>
      <c r="E1434" s="2968"/>
      <c r="F1434" s="2968">
        <v>50</v>
      </c>
      <c r="G1434" s="2968" t="s">
        <v>510</v>
      </c>
      <c r="H1434" s="2968"/>
      <c r="I1434" s="2968"/>
      <c r="J1434" s="2968" t="str">
        <f t="shared" si="45"/>
        <v>Kd240</v>
      </c>
      <c r="K1434" s="2969" t="str">
        <f t="shared" si="44"/>
        <v>Kd240Khóa đỡ dây cỡ dây 240</v>
      </c>
    </row>
    <row r="1435" spans="1:11" hidden="1">
      <c r="A1435" s="3013" t="s">
        <v>1847</v>
      </c>
      <c r="B1435" s="2986"/>
      <c r="C1435" s="2969" t="s">
        <v>2881</v>
      </c>
      <c r="D1435" s="2968" t="s">
        <v>2547</v>
      </c>
      <c r="E1435" s="2968"/>
      <c r="F1435" s="2968">
        <v>50</v>
      </c>
      <c r="G1435" s="2968" t="s">
        <v>510</v>
      </c>
      <c r="H1435" s="2968"/>
      <c r="I1435" s="2968"/>
      <c r="J1435" s="2968" t="str">
        <f t="shared" si="45"/>
        <v>Kd50</v>
      </c>
      <c r="K1435" s="2969" t="str">
        <f t="shared" si="44"/>
        <v>Kd50Khóa đỡ dây cỡ dây 50</v>
      </c>
    </row>
    <row r="1436" spans="1:11" hidden="1">
      <c r="A1436" s="3013" t="s">
        <v>358</v>
      </c>
      <c r="B1436" s="2986"/>
      <c r="C1436" s="2969" t="s">
        <v>2882</v>
      </c>
      <c r="D1436" s="2968" t="s">
        <v>2547</v>
      </c>
      <c r="E1436" s="2968"/>
      <c r="F1436" s="2968">
        <v>50</v>
      </c>
      <c r="G1436" s="2968" t="s">
        <v>510</v>
      </c>
      <c r="H1436" s="2968"/>
      <c r="I1436" s="2968"/>
      <c r="J1436" s="2968" t="str">
        <f t="shared" si="45"/>
        <v>Kd70</v>
      </c>
      <c r="K1436" s="2969" t="str">
        <f t="shared" si="44"/>
        <v>Kd70Khóa đỡ dây cỡ dây 70</v>
      </c>
    </row>
    <row r="1437" spans="1:11" hidden="1">
      <c r="A1437" s="3013" t="s">
        <v>2249</v>
      </c>
      <c r="B1437" s="2986"/>
      <c r="C1437" s="2969" t="s">
        <v>2883</v>
      </c>
      <c r="D1437" s="2968" t="s">
        <v>2547</v>
      </c>
      <c r="E1437" s="2968"/>
      <c r="F1437" s="2968">
        <v>50</v>
      </c>
      <c r="G1437" s="2968" t="s">
        <v>510</v>
      </c>
      <c r="H1437" s="2968"/>
      <c r="I1437" s="2968"/>
      <c r="J1437" s="2968" t="str">
        <f t="shared" si="45"/>
        <v>Kd95</v>
      </c>
      <c r="K1437" s="2969" t="str">
        <f t="shared" si="44"/>
        <v>Kd95Khóa đỡ dây cỡ dây 95</v>
      </c>
    </row>
    <row r="1438" spans="1:11" hidden="1">
      <c r="A1438" s="3013" t="s">
        <v>429</v>
      </c>
      <c r="B1438" s="2986"/>
      <c r="C1438" s="2969" t="s">
        <v>2895</v>
      </c>
      <c r="D1438" s="2968" t="s">
        <v>2547</v>
      </c>
      <c r="E1438" s="2968"/>
      <c r="F1438" s="2968">
        <v>50</v>
      </c>
      <c r="G1438" s="2968" t="s">
        <v>510</v>
      </c>
      <c r="H1438" s="2968"/>
      <c r="I1438" s="2968"/>
      <c r="J1438" s="2968" t="str">
        <f t="shared" si="45"/>
        <v>KN120</v>
      </c>
      <c r="K1438" s="2969" t="str">
        <f t="shared" si="44"/>
        <v>KN120Khóa néo dây cỡ dây 120</v>
      </c>
    </row>
    <row r="1439" spans="1:11" hidden="1">
      <c r="A1439" s="3013" t="s">
        <v>2104</v>
      </c>
      <c r="B1439" s="2986"/>
      <c r="C1439" s="2969" t="s">
        <v>2896</v>
      </c>
      <c r="D1439" s="2968" t="s">
        <v>2547</v>
      </c>
      <c r="E1439" s="2968"/>
      <c r="F1439" s="2968">
        <v>50</v>
      </c>
      <c r="G1439" s="2968" t="s">
        <v>510</v>
      </c>
      <c r="H1439" s="2968"/>
      <c r="I1439" s="2968"/>
      <c r="J1439" s="2968" t="str">
        <f t="shared" si="45"/>
        <v>KN150</v>
      </c>
      <c r="K1439" s="2969" t="str">
        <f t="shared" si="44"/>
        <v>KN150Khóa néo dây cỡ dây 150</v>
      </c>
    </row>
    <row r="1440" spans="1:11" hidden="1">
      <c r="A1440" s="3013" t="s">
        <v>1737</v>
      </c>
      <c r="B1440" s="2986"/>
      <c r="C1440" s="2969" t="s">
        <v>2897</v>
      </c>
      <c r="D1440" s="2968" t="s">
        <v>2547</v>
      </c>
      <c r="E1440" s="2968"/>
      <c r="F1440" s="2968">
        <v>50</v>
      </c>
      <c r="G1440" s="2968" t="s">
        <v>510</v>
      </c>
      <c r="H1440" s="2968"/>
      <c r="I1440" s="2968"/>
      <c r="J1440" s="2968" t="str">
        <f t="shared" si="45"/>
        <v>KN185</v>
      </c>
      <c r="K1440" s="2969" t="str">
        <f t="shared" si="44"/>
        <v>KN185Khóa néo dây cỡ dây 185</v>
      </c>
    </row>
    <row r="1441" spans="1:11" hidden="1">
      <c r="A1441" s="3013" t="s">
        <v>1736</v>
      </c>
      <c r="B1441" s="2986"/>
      <c r="C1441" s="2969" t="s">
        <v>2898</v>
      </c>
      <c r="D1441" s="2968" t="s">
        <v>2547</v>
      </c>
      <c r="E1441" s="2968"/>
      <c r="F1441" s="2968">
        <v>50</v>
      </c>
      <c r="G1441" s="2968" t="s">
        <v>510</v>
      </c>
      <c r="H1441" s="2968"/>
      <c r="I1441" s="2968"/>
      <c r="J1441" s="2968" t="str">
        <f t="shared" si="45"/>
        <v>KN240</v>
      </c>
      <c r="K1441" s="2969" t="str">
        <f t="shared" si="44"/>
        <v>KN240Khóa néo dây cỡ dây 240</v>
      </c>
    </row>
    <row r="1442" spans="1:11" hidden="1">
      <c r="A1442" s="2969" t="s">
        <v>477</v>
      </c>
      <c r="B1442" s="3004"/>
      <c r="C1442" s="2969" t="s">
        <v>2891</v>
      </c>
      <c r="D1442" s="2968" t="s">
        <v>2547</v>
      </c>
      <c r="E1442" s="2968"/>
      <c r="F1442" s="2968">
        <v>50</v>
      </c>
      <c r="G1442" s="2968" t="s">
        <v>510</v>
      </c>
      <c r="H1442" s="2968"/>
      <c r="I1442" s="2968"/>
      <c r="J1442" s="2968" t="str">
        <f t="shared" si="45"/>
        <v>KN35</v>
      </c>
      <c r="K1442" s="2969" t="str">
        <f t="shared" si="44"/>
        <v>KN35Khóa néo dây cỡ dây 35</v>
      </c>
    </row>
    <row r="1443" spans="1:11" hidden="1">
      <c r="A1443" s="2969" t="s">
        <v>1478</v>
      </c>
      <c r="B1443" s="3004"/>
      <c r="C1443" s="2969" t="s">
        <v>2892</v>
      </c>
      <c r="D1443" s="2968" t="s">
        <v>2547</v>
      </c>
      <c r="E1443" s="2968"/>
      <c r="F1443" s="2968">
        <v>50</v>
      </c>
      <c r="G1443" s="2968" t="s">
        <v>510</v>
      </c>
      <c r="H1443" s="2968"/>
      <c r="I1443" s="2968"/>
      <c r="J1443" s="2968" t="str">
        <f t="shared" si="45"/>
        <v>KN50</v>
      </c>
      <c r="K1443" s="2969" t="str">
        <f t="shared" si="44"/>
        <v>KN50Khóa néo dây cỡ dây 50</v>
      </c>
    </row>
    <row r="1444" spans="1:11" hidden="1">
      <c r="A1444" s="3013" t="s">
        <v>2226</v>
      </c>
      <c r="B1444" s="2986"/>
      <c r="C1444" s="2969" t="s">
        <v>2893</v>
      </c>
      <c r="D1444" s="2968" t="s">
        <v>2547</v>
      </c>
      <c r="E1444" s="2968"/>
      <c r="F1444" s="2968">
        <v>50</v>
      </c>
      <c r="G1444" s="2968" t="s">
        <v>510</v>
      </c>
      <c r="H1444" s="2968"/>
      <c r="I1444" s="2968"/>
      <c r="J1444" s="2968" t="str">
        <f t="shared" si="45"/>
        <v>KN70</v>
      </c>
      <c r="K1444" s="2969" t="str">
        <f t="shared" si="44"/>
        <v>KN70Khóa néo dây cỡ dây 70</v>
      </c>
    </row>
    <row r="1445" spans="1:11" hidden="1">
      <c r="A1445" s="3013" t="s">
        <v>1253</v>
      </c>
      <c r="B1445" s="2986"/>
      <c r="C1445" s="2969" t="s">
        <v>2894</v>
      </c>
      <c r="D1445" s="2968" t="s">
        <v>2547</v>
      </c>
      <c r="E1445" s="2968"/>
      <c r="F1445" s="2968">
        <v>50</v>
      </c>
      <c r="G1445" s="2968" t="s">
        <v>510</v>
      </c>
      <c r="H1445" s="2968"/>
      <c r="I1445" s="2968"/>
      <c r="J1445" s="2968" t="str">
        <f t="shared" si="45"/>
        <v>KN95</v>
      </c>
      <c r="K1445" s="2969" t="str">
        <f t="shared" si="44"/>
        <v>KN95Khóa néo dây cỡ dây 95</v>
      </c>
    </row>
    <row r="1446" spans="1:11" hidden="1">
      <c r="A1446" s="3013" t="s">
        <v>106</v>
      </c>
      <c r="B1446" s="2986"/>
      <c r="C1446" s="2969" t="s">
        <v>2899</v>
      </c>
      <c r="D1446" s="2968" t="s">
        <v>2547</v>
      </c>
      <c r="E1446" s="2968"/>
      <c r="F1446" s="2968">
        <v>50</v>
      </c>
      <c r="G1446" s="2968" t="s">
        <v>510</v>
      </c>
      <c r="H1446" s="2968"/>
      <c r="I1446" s="2968"/>
      <c r="J1446" s="2968" t="str">
        <f t="shared" si="45"/>
        <v>KN158</v>
      </c>
      <c r="K1446" s="2969" t="str">
        <f t="shared" si="44"/>
        <v>KN158Khóa néo N158</v>
      </c>
    </row>
    <row r="1447" spans="1:11" hidden="1">
      <c r="A1447" s="3013" t="s">
        <v>1479</v>
      </c>
      <c r="B1447" s="2986"/>
      <c r="C1447" s="2969" t="s">
        <v>2901</v>
      </c>
      <c r="D1447" s="2968" t="s">
        <v>2547</v>
      </c>
      <c r="E1447" s="2968"/>
      <c r="F1447" s="2968">
        <v>50</v>
      </c>
      <c r="G1447" s="2968" t="s">
        <v>510</v>
      </c>
      <c r="H1447" s="2968"/>
      <c r="I1447" s="2968"/>
      <c r="J1447" s="2968" t="str">
        <f t="shared" si="45"/>
        <v>KN357</v>
      </c>
      <c r="K1447" s="2969" t="str">
        <f t="shared" si="44"/>
        <v>KN357Khóa néo N357</v>
      </c>
    </row>
    <row r="1448" spans="1:11" hidden="1">
      <c r="A1448" s="3013" t="s">
        <v>1592</v>
      </c>
      <c r="B1448" s="2986"/>
      <c r="C1448" s="2969" t="s">
        <v>2900</v>
      </c>
      <c r="D1448" s="2968" t="s">
        <v>2547</v>
      </c>
      <c r="E1448" s="2968"/>
      <c r="F1448" s="2968">
        <v>50</v>
      </c>
      <c r="G1448" s="2968" t="s">
        <v>510</v>
      </c>
      <c r="H1448" s="2968"/>
      <c r="I1448" s="2968"/>
      <c r="J1448" s="2968" t="str">
        <f t="shared" si="45"/>
        <v>KN912</v>
      </c>
      <c r="K1448" s="2969" t="str">
        <f t="shared" si="44"/>
        <v>KN912Khóa néo N912</v>
      </c>
    </row>
    <row r="1449" spans="1:11" hidden="1">
      <c r="A1449" s="2969" t="s">
        <v>1222</v>
      </c>
      <c r="B1449" s="2986" t="s">
        <v>704</v>
      </c>
      <c r="C1449" s="2969" t="s">
        <v>3037</v>
      </c>
      <c r="D1449" s="2968" t="s">
        <v>853</v>
      </c>
      <c r="E1449" s="2968"/>
      <c r="F1449" s="2968">
        <v>3000</v>
      </c>
      <c r="G1449" s="2968" t="s">
        <v>510</v>
      </c>
      <c r="H1449" s="2968"/>
      <c r="I1449" s="2968"/>
      <c r="J1449" s="2968" t="str">
        <f t="shared" si="45"/>
        <v>AH2120</v>
      </c>
      <c r="K1449" s="2969" t="str">
        <f t="shared" si="44"/>
        <v>AH2120Khoan cắt BT bằng máy khoan cằm tay</v>
      </c>
    </row>
    <row r="1450" spans="1:11" hidden="1">
      <c r="A1450" s="2969" t="s">
        <v>6436</v>
      </c>
      <c r="B1450" s="3004"/>
      <c r="C1450" s="2969" t="s">
        <v>6376</v>
      </c>
      <c r="D1450" s="2968"/>
      <c r="E1450" s="2968"/>
      <c r="F1450" s="2968">
        <v>2000</v>
      </c>
      <c r="G1450" s="2968" t="s">
        <v>510</v>
      </c>
      <c r="H1450" s="2968"/>
      <c r="I1450" s="2968"/>
      <c r="J1450" s="2968" t="str">
        <f t="shared" si="45"/>
        <v>KCHH</v>
      </c>
      <c r="K1450" s="2969" t="str">
        <f t="shared" si="44"/>
        <v>KCHHKhoảng cách hiện hữu</v>
      </c>
    </row>
    <row r="1451" spans="1:11" hidden="1">
      <c r="A1451" s="2969" t="s">
        <v>6437</v>
      </c>
      <c r="B1451" s="3004"/>
      <c r="C1451" s="2969" t="s">
        <v>6377</v>
      </c>
      <c r="D1451" s="2968"/>
      <c r="E1451" s="2968"/>
      <c r="F1451" s="2968">
        <v>2000</v>
      </c>
      <c r="G1451" s="2968" t="s">
        <v>510</v>
      </c>
      <c r="H1451" s="2968"/>
      <c r="I1451" s="2968"/>
      <c r="J1451" s="2968" t="str">
        <f t="shared" si="45"/>
        <v>KCXDM</v>
      </c>
      <c r="K1451" s="2969" t="str">
        <f t="shared" si="44"/>
        <v>KCXDMKhoảng cách NC, XDM</v>
      </c>
    </row>
    <row r="1452" spans="1:11" hidden="1">
      <c r="A1452" s="2969" t="s">
        <v>1225</v>
      </c>
      <c r="B1452" s="2986" t="s">
        <v>1021</v>
      </c>
      <c r="C1452" s="2969" t="s">
        <v>3382</v>
      </c>
      <c r="D1452" s="2968" t="s">
        <v>2695</v>
      </c>
      <c r="E1452" s="2968"/>
      <c r="F1452" s="2968">
        <v>50</v>
      </c>
      <c r="G1452" s="2968" t="s">
        <v>510</v>
      </c>
      <c r="H1452" s="2968"/>
      <c r="I1452" s="2968"/>
      <c r="J1452" s="2968" t="str">
        <f t="shared" si="45"/>
        <v>KHUNG TU</v>
      </c>
      <c r="K1452" s="2969" t="str">
        <f t="shared" si="44"/>
        <v>KHUNG TUKhung đỡ tủ MCCB và tủ bù</v>
      </c>
    </row>
    <row r="1453" spans="1:11" hidden="1">
      <c r="A1453" s="2969" t="s">
        <v>962</v>
      </c>
      <c r="B1453" s="3015" t="s">
        <v>961</v>
      </c>
      <c r="C1453" s="2969" t="s">
        <v>1190</v>
      </c>
      <c r="D1453" s="2968" t="s">
        <v>2547</v>
      </c>
      <c r="E1453" s="2968"/>
      <c r="F1453" s="2968">
        <v>3</v>
      </c>
      <c r="G1453" s="2968" t="s">
        <v>6510</v>
      </c>
      <c r="H1453" s="2968"/>
      <c r="I1453" s="2968"/>
      <c r="J1453" s="2968" t="str">
        <f t="shared" si="45"/>
        <v>LA12</v>
      </c>
      <c r="K1453" s="2969" t="str">
        <f t="shared" si="44"/>
        <v>LA12LA 12kV 10kA</v>
      </c>
    </row>
    <row r="1454" spans="1:11" hidden="1">
      <c r="A1454" s="2969" t="s">
        <v>5518</v>
      </c>
      <c r="B1454" s="3004" t="s">
        <v>5517</v>
      </c>
      <c r="C1454" s="2969" t="s">
        <v>1190</v>
      </c>
      <c r="D1454" s="2968" t="s">
        <v>2547</v>
      </c>
      <c r="E1454" s="2968"/>
      <c r="F1454" s="2968">
        <v>3</v>
      </c>
      <c r="G1454" s="2968" t="s">
        <v>6510</v>
      </c>
      <c r="H1454" s="2968"/>
      <c r="I1454" s="2968"/>
      <c r="J1454" s="2968" t="str">
        <f t="shared" si="45"/>
        <v>LA12DD</v>
      </c>
      <c r="K1454" s="2969" t="str">
        <f t="shared" si="44"/>
        <v>LA12DDLA 12kV 10kA</v>
      </c>
    </row>
    <row r="1455" spans="1:11" hidden="1">
      <c r="A1455" s="2969" t="s">
        <v>5519</v>
      </c>
      <c r="B1455" s="3004" t="s">
        <v>5517</v>
      </c>
      <c r="C1455" s="2969" t="s">
        <v>1189</v>
      </c>
      <c r="D1455" s="2968" t="s">
        <v>2547</v>
      </c>
      <c r="E1455" s="2968"/>
      <c r="F1455" s="2968">
        <v>3</v>
      </c>
      <c r="G1455" s="2968" t="s">
        <v>6510</v>
      </c>
      <c r="H1455" s="2968"/>
      <c r="I1455" s="2968"/>
      <c r="J1455" s="2968" t="str">
        <f t="shared" si="45"/>
        <v>LA18DD</v>
      </c>
      <c r="K1455" s="2969" t="str">
        <f t="shared" si="44"/>
        <v>LA18DDLA 18kV 10kA</v>
      </c>
    </row>
    <row r="1456" spans="1:11" hidden="1">
      <c r="A1456" s="2969" t="s">
        <v>5379</v>
      </c>
      <c r="B1456" s="3004">
        <v>74316</v>
      </c>
      <c r="C1456" s="2969" t="s">
        <v>5380</v>
      </c>
      <c r="D1456" s="2968" t="s">
        <v>2547</v>
      </c>
      <c r="E1456" s="2968"/>
      <c r="F1456" s="2968">
        <v>3000</v>
      </c>
      <c r="G1456" s="2968" t="s">
        <v>510</v>
      </c>
      <c r="H1456" s="2968"/>
      <c r="I1456" s="2968"/>
      <c r="J1456" s="2968" t="str">
        <f t="shared" si="45"/>
        <v>LDAUCAP300</v>
      </c>
      <c r="K1456" s="2969" t="str">
        <f t="shared" si="44"/>
        <v>LDAUCAP300Làm đầu cáp &lt;=300mm2</v>
      </c>
    </row>
    <row r="1457" spans="1:11" hidden="1">
      <c r="A1457" s="2969" t="s">
        <v>5386</v>
      </c>
      <c r="B1457" s="3004">
        <v>74316</v>
      </c>
      <c r="C1457" s="2969" t="s">
        <v>5380</v>
      </c>
      <c r="D1457" s="2968" t="s">
        <v>2547</v>
      </c>
      <c r="E1457" s="2968"/>
      <c r="F1457" s="2968">
        <v>3000</v>
      </c>
      <c r="G1457" s="2968" t="s">
        <v>510</v>
      </c>
      <c r="H1457" s="2968"/>
      <c r="I1457" s="2968"/>
      <c r="J1457" s="2968" t="str">
        <f t="shared" si="45"/>
        <v>LDAUCAP85HT</v>
      </c>
      <c r="K1457" s="2969" t="str">
        <f t="shared" si="44"/>
        <v>LDAUCAP85HTLàm đầu cáp &lt;=300mm2</v>
      </c>
    </row>
    <row r="1458" spans="1:11" hidden="1">
      <c r="A1458" s="2969" t="s">
        <v>7018</v>
      </c>
      <c r="B1458" s="3004" t="s">
        <v>7019</v>
      </c>
      <c r="C1458" s="2969" t="s">
        <v>7020</v>
      </c>
      <c r="D1458" s="2968" t="s">
        <v>3430</v>
      </c>
      <c r="E1458" s="2968"/>
      <c r="F1458" s="2968">
        <v>3000</v>
      </c>
      <c r="G1458" s="2968" t="s">
        <v>510</v>
      </c>
      <c r="H1458" s="2968"/>
      <c r="I1458" s="2968"/>
      <c r="J1458" s="2968" t="str">
        <f t="shared" si="45"/>
        <v>LDCN120</v>
      </c>
      <c r="K1458" s="2969" t="str">
        <f t="shared" si="44"/>
        <v>LDCN120Làm đầu cáp ngầm ≤120mm2</v>
      </c>
    </row>
    <row r="1459" spans="1:11" hidden="1">
      <c r="A1459" s="2969" t="s">
        <v>7021</v>
      </c>
      <c r="B1459" s="3004" t="s">
        <v>7022</v>
      </c>
      <c r="C1459" s="2969" t="s">
        <v>7023</v>
      </c>
      <c r="D1459" s="2968" t="s">
        <v>3430</v>
      </c>
      <c r="E1459" s="2968"/>
      <c r="F1459" s="2968">
        <v>3000</v>
      </c>
      <c r="G1459" s="2968" t="s">
        <v>510</v>
      </c>
      <c r="H1459" s="2968"/>
      <c r="I1459" s="2968"/>
      <c r="J1459" s="2968" t="str">
        <f t="shared" si="45"/>
        <v>LDCN185</v>
      </c>
      <c r="K1459" s="2969" t="str">
        <f t="shared" si="44"/>
        <v>LDCN185Làm đầu cáp ngầm ≤185mm2</v>
      </c>
    </row>
    <row r="1460" spans="1:11" hidden="1">
      <c r="A1460" s="2969" t="s">
        <v>7024</v>
      </c>
      <c r="B1460" s="3004" t="s">
        <v>7025</v>
      </c>
      <c r="C1460" s="2969" t="s">
        <v>7026</v>
      </c>
      <c r="D1460" s="2968" t="s">
        <v>3430</v>
      </c>
      <c r="E1460" s="2968"/>
      <c r="F1460" s="2968">
        <v>3000</v>
      </c>
      <c r="G1460" s="2968" t="s">
        <v>510</v>
      </c>
      <c r="H1460" s="2968"/>
      <c r="I1460" s="2968"/>
      <c r="J1460" s="2968" t="str">
        <f t="shared" si="45"/>
        <v>LDCN240</v>
      </c>
      <c r="K1460" s="2969" t="str">
        <f t="shared" si="44"/>
        <v>LDCN240Làm đầu cáp ngầm ≤240mm2</v>
      </c>
    </row>
    <row r="1461" spans="1:11" hidden="1">
      <c r="A1461" s="2969" t="s">
        <v>7027</v>
      </c>
      <c r="B1461" s="3004" t="s">
        <v>7028</v>
      </c>
      <c r="C1461" s="2969" t="s">
        <v>7029</v>
      </c>
      <c r="D1461" s="2968" t="s">
        <v>3430</v>
      </c>
      <c r="E1461" s="2968"/>
      <c r="F1461" s="2968">
        <v>3000</v>
      </c>
      <c r="G1461" s="2968" t="s">
        <v>510</v>
      </c>
      <c r="H1461" s="2968"/>
      <c r="I1461" s="2968"/>
      <c r="J1461" s="2968" t="str">
        <f t="shared" si="45"/>
        <v>LDCN300</v>
      </c>
      <c r="K1461" s="2969" t="str">
        <f t="shared" si="44"/>
        <v>LDCN300Làm đầu cáp ngầm ≤300mm2</v>
      </c>
    </row>
    <row r="1462" spans="1:11" hidden="1">
      <c r="A1462" s="2969" t="s">
        <v>7030</v>
      </c>
      <c r="B1462" s="3004" t="s">
        <v>7031</v>
      </c>
      <c r="C1462" s="2969" t="s">
        <v>7032</v>
      </c>
      <c r="D1462" s="2968" t="s">
        <v>3430</v>
      </c>
      <c r="E1462" s="2968"/>
      <c r="F1462" s="2968">
        <v>3000</v>
      </c>
      <c r="G1462" s="2968" t="s">
        <v>510</v>
      </c>
      <c r="H1462" s="2968"/>
      <c r="I1462" s="2968"/>
      <c r="J1462" s="2968" t="str">
        <f t="shared" si="45"/>
        <v>LDCN35</v>
      </c>
      <c r="K1462" s="2969" t="str">
        <f t="shared" si="44"/>
        <v>LDCN35Làm đầu cáp ngầm ≤35mm2</v>
      </c>
    </row>
    <row r="1463" spans="1:11" hidden="1">
      <c r="A1463" s="2969" t="s">
        <v>7033</v>
      </c>
      <c r="B1463" s="3004" t="s">
        <v>5376</v>
      </c>
      <c r="C1463" s="2969" t="s">
        <v>7034</v>
      </c>
      <c r="D1463" s="2968" t="s">
        <v>3430</v>
      </c>
      <c r="E1463" s="2968"/>
      <c r="F1463" s="2968">
        <v>3000</v>
      </c>
      <c r="G1463" s="2968" t="s">
        <v>510</v>
      </c>
      <c r="H1463" s="2968"/>
      <c r="I1463" s="2968"/>
      <c r="J1463" s="2968" t="str">
        <f t="shared" si="45"/>
        <v>LDCN70</v>
      </c>
      <c r="K1463" s="2969" t="str">
        <f t="shared" si="44"/>
        <v>LDCN70Làm đầu cáp ngầm ≤70mm2</v>
      </c>
    </row>
    <row r="1464" spans="1:11" ht="16.5" hidden="1">
      <c r="A1464" s="2949" t="s">
        <v>6463</v>
      </c>
      <c r="B1464" s="3004"/>
      <c r="C1464" s="2969" t="s">
        <v>6465</v>
      </c>
      <c r="D1464" s="2968" t="s">
        <v>2433</v>
      </c>
      <c r="E1464" s="2968"/>
      <c r="F1464" s="2968">
        <v>3000</v>
      </c>
      <c r="G1464" s="2968" t="s">
        <v>510</v>
      </c>
      <c r="H1464" s="2968"/>
      <c r="I1464" s="2968"/>
      <c r="J1464" s="2968" t="str">
        <f t="shared" si="45"/>
        <v>SĐI-L</v>
      </c>
      <c r="K1464" s="2969" t="str">
        <f t="shared" si="44"/>
        <v>SĐI-LLắp Bộ cách điện đỉnh+ty sứ đơn</v>
      </c>
    </row>
    <row r="1465" spans="1:11" ht="16.5" hidden="1">
      <c r="A1465" s="2949" t="s">
        <v>6448</v>
      </c>
      <c r="B1465" s="3004"/>
      <c r="C1465" s="2969" t="s">
        <v>6461</v>
      </c>
      <c r="D1465" s="2968" t="s">
        <v>2433</v>
      </c>
      <c r="E1465" s="2968"/>
      <c r="F1465" s="2968">
        <v>3000</v>
      </c>
      <c r="G1465" s="2968" t="s">
        <v>510</v>
      </c>
      <c r="H1465" s="2968"/>
      <c r="I1465" s="2968"/>
      <c r="J1465" s="2968" t="str">
        <f t="shared" si="45"/>
        <v>SĐU-L</v>
      </c>
      <c r="K1465" s="2969" t="str">
        <f t="shared" si="44"/>
        <v>SĐU-LLắp Bộ cách điện đứng+ty sứ</v>
      </c>
    </row>
    <row r="1466" spans="1:11" hidden="1">
      <c r="A1466" s="2969" t="s">
        <v>1901</v>
      </c>
      <c r="B1466" s="2986" t="s">
        <v>1453</v>
      </c>
      <c r="C1466" s="3012" t="s">
        <v>3172</v>
      </c>
      <c r="D1466" s="2968" t="s">
        <v>2433</v>
      </c>
      <c r="E1466" s="2968"/>
      <c r="F1466" s="2968">
        <v>3000</v>
      </c>
      <c r="G1466" s="2968" t="s">
        <v>510</v>
      </c>
      <c r="H1466" s="2968"/>
      <c r="I1466" s="2968"/>
      <c r="J1466" s="2968" t="str">
        <f t="shared" si="45"/>
        <v>LCL</v>
      </c>
      <c r="K1466" s="2969" t="str">
        <f t="shared" si="44"/>
        <v>LCLLắp bộ chống lệch</v>
      </c>
    </row>
    <row r="1467" spans="1:11" hidden="1">
      <c r="A1467" s="2969" t="s">
        <v>7035</v>
      </c>
      <c r="B1467" s="3004" t="s">
        <v>5258</v>
      </c>
      <c r="C1467" s="2969" t="s">
        <v>7036</v>
      </c>
      <c r="D1467" s="2968" t="s">
        <v>2433</v>
      </c>
      <c r="E1467" s="2968"/>
      <c r="F1467" s="2968">
        <v>3000</v>
      </c>
      <c r="G1467" s="2968" t="s">
        <v>510</v>
      </c>
      <c r="H1467" s="2968"/>
      <c r="I1467" s="2968"/>
      <c r="J1467" s="2968" t="str">
        <f t="shared" si="45"/>
        <v>LXTBAG</v>
      </c>
      <c r="K1467" s="2969" t="str">
        <f t="shared" si="44"/>
        <v>LXTBAGLắp bộ đà trạm giàn (S&lt;560kVA) - 145,98kg/bộ</v>
      </c>
    </row>
    <row r="1468" spans="1:11" hidden="1">
      <c r="A1468" s="2969" t="s">
        <v>7037</v>
      </c>
      <c r="B1468" s="3004" t="s">
        <v>5258</v>
      </c>
      <c r="C1468" s="2969" t="s">
        <v>7036</v>
      </c>
      <c r="D1468" s="2968" t="s">
        <v>2379</v>
      </c>
      <c r="E1468" s="2968"/>
      <c r="F1468" s="2968">
        <v>3000</v>
      </c>
      <c r="G1468" s="2968" t="s">
        <v>510</v>
      </c>
      <c r="H1468" s="2968"/>
      <c r="I1468" s="2968"/>
      <c r="J1468" s="2968" t="str">
        <f t="shared" si="45"/>
        <v>LXTBAGA</v>
      </c>
      <c r="K1468" s="2969" t="str">
        <f t="shared" si="44"/>
        <v>LXTBAGALắp bộ đà trạm giàn (S&lt;560kVA) - 145,98kg/bộ</v>
      </c>
    </row>
    <row r="1469" spans="1:11" hidden="1">
      <c r="A1469" s="2969" t="s">
        <v>7038</v>
      </c>
      <c r="B1469" s="3004" t="s">
        <v>5258</v>
      </c>
      <c r="C1469" s="2969" t="s">
        <v>7039</v>
      </c>
      <c r="D1469" s="2968" t="s">
        <v>2433</v>
      </c>
      <c r="E1469" s="2968"/>
      <c r="F1469" s="2968">
        <v>3000</v>
      </c>
      <c r="G1469" s="2968" t="s">
        <v>510</v>
      </c>
      <c r="H1469" s="2968"/>
      <c r="I1469" s="2968"/>
      <c r="J1469" s="2968" t="str">
        <f t="shared" si="45"/>
        <v>LXTBAN</v>
      </c>
      <c r="K1469" s="2969" t="str">
        <f t="shared" si="44"/>
        <v>LXTBANLắp bộ đà trạm ngồi (S&lt;560kVA) - 186,6kg/bộ</v>
      </c>
    </row>
    <row r="1470" spans="1:11" hidden="1">
      <c r="A1470" s="2969" t="s">
        <v>1913</v>
      </c>
      <c r="B1470" s="2986" t="s">
        <v>1761</v>
      </c>
      <c r="C1470" s="3012" t="s">
        <v>3173</v>
      </c>
      <c r="D1470" s="2968" t="s">
        <v>2433</v>
      </c>
      <c r="E1470" s="2968"/>
      <c r="F1470" s="2968">
        <v>3000</v>
      </c>
      <c r="G1470" s="2968" t="s">
        <v>510</v>
      </c>
      <c r="H1470" s="2968"/>
      <c r="I1470" s="2968"/>
      <c r="J1470" s="2968" t="str">
        <f t="shared" si="45"/>
        <v>LDN</v>
      </c>
      <c r="K1470" s="2969" t="str">
        <f t="shared" si="44"/>
        <v>LDNLắp bộ dây néo</v>
      </c>
    </row>
    <row r="1471" spans="1:11" hidden="1">
      <c r="A1471" s="2969" t="s">
        <v>5358</v>
      </c>
      <c r="B1471" s="3004" t="s">
        <v>5359</v>
      </c>
      <c r="C1471" s="2969" t="s">
        <v>5360</v>
      </c>
      <c r="D1471" s="2968" t="s">
        <v>2433</v>
      </c>
      <c r="E1471" s="2968"/>
      <c r="F1471" s="2968">
        <v>3000</v>
      </c>
      <c r="G1471" s="2968" t="s">
        <v>510</v>
      </c>
      <c r="H1471" s="2968"/>
      <c r="I1471" s="2968"/>
      <c r="J1471" s="2968" t="str">
        <f t="shared" si="45"/>
        <v>LTG20</v>
      </c>
      <c r="K1471" s="2969" t="str">
        <f t="shared" si="44"/>
        <v>LTG20Lắp bộ thanh giằng cột PI (50,14kg)</v>
      </c>
    </row>
    <row r="1472" spans="1:11" hidden="1">
      <c r="A1472" s="2969" t="s">
        <v>5349</v>
      </c>
      <c r="B1472" s="3004" t="s">
        <v>5350</v>
      </c>
      <c r="C1472" s="2969" t="s">
        <v>5351</v>
      </c>
      <c r="D1472" s="2968" t="s">
        <v>2433</v>
      </c>
      <c r="E1472" s="2968"/>
      <c r="F1472" s="2968">
        <v>3000</v>
      </c>
      <c r="G1472" s="2968" t="s">
        <v>510</v>
      </c>
      <c r="H1472" s="2968"/>
      <c r="I1472" s="2968"/>
      <c r="J1472" s="2968" t="str">
        <f t="shared" si="45"/>
        <v>LTG1400</v>
      </c>
      <c r="K1472" s="2969" t="str">
        <f t="shared" si="44"/>
        <v>LTG1400Lắp bộ thanh giằng trụ PI tim 1400 - 68.16kg</v>
      </c>
    </row>
    <row r="1473" spans="1:11" ht="16.5" hidden="1">
      <c r="A1473" s="2949" t="s">
        <v>6450</v>
      </c>
      <c r="B1473" s="3004"/>
      <c r="C1473" s="2969" t="s">
        <v>6452</v>
      </c>
      <c r="D1473" s="2968" t="s">
        <v>2433</v>
      </c>
      <c r="E1473" s="2968"/>
      <c r="F1473" s="2968">
        <v>3000</v>
      </c>
      <c r="G1473" s="2968" t="s">
        <v>510</v>
      </c>
      <c r="H1473" s="2968"/>
      <c r="I1473" s="2968"/>
      <c r="J1473" s="2968" t="str">
        <f t="shared" si="45"/>
        <v>Đth-U-L</v>
      </c>
      <c r="K1473" s="2969" t="str">
        <f t="shared" si="44"/>
        <v>Đth-U-LLắp Bộ Uclevis đỡ dây trung hòa</v>
      </c>
    </row>
    <row r="1474" spans="1:11" hidden="1">
      <c r="A1474" s="2969" t="s">
        <v>6472</v>
      </c>
      <c r="B1474" s="3004"/>
      <c r="C1474" s="2969" t="s">
        <v>6474</v>
      </c>
      <c r="D1474" s="2968" t="s">
        <v>2379</v>
      </c>
      <c r="E1474" s="2968"/>
      <c r="F1474" s="2968">
        <v>3000</v>
      </c>
      <c r="G1474" s="2968" t="s">
        <v>510</v>
      </c>
      <c r="H1474" s="2968"/>
      <c r="I1474" s="2968"/>
      <c r="J1474" s="2968" t="str">
        <f t="shared" si="45"/>
        <v>X-20ĐL2/3-L</v>
      </c>
      <c r="K1474" s="2969" t="str">
        <f t="shared" si="44"/>
        <v>X-20ĐL2/3-LLắp Bộ xà lệch đơn L75x75x8 dài 2m</v>
      </c>
    </row>
    <row r="1475" spans="1:11" hidden="1">
      <c r="A1475" s="2969" t="s">
        <v>1839</v>
      </c>
      <c r="B1475" s="3004" t="s">
        <v>289</v>
      </c>
      <c r="C1475" s="2969" t="s">
        <v>3628</v>
      </c>
      <c r="D1475" s="2968" t="s">
        <v>2547</v>
      </c>
      <c r="E1475" s="2968"/>
      <c r="F1475" s="2968">
        <v>3000</v>
      </c>
      <c r="G1475" s="2968" t="s">
        <v>510</v>
      </c>
      <c r="H1475" s="2968"/>
      <c r="I1475" s="2968"/>
      <c r="J1475" s="2968" t="str">
        <f t="shared" si="45"/>
        <v>LCAN+C</v>
      </c>
      <c r="K1475" s="2969" t="str">
        <f t="shared" ref="K1475:K1538" si="46">A1475&amp;C1475</f>
        <v>LCAN+CLắp cần đèn +  chụp đầu cột hạ thế ≤ 10,5m</v>
      </c>
    </row>
    <row r="1476" spans="1:11" hidden="1">
      <c r="A1476" s="2969" t="s">
        <v>512</v>
      </c>
      <c r="B1476" s="3004" t="s">
        <v>290</v>
      </c>
      <c r="C1476" s="2969" t="s">
        <v>3629</v>
      </c>
      <c r="D1476" s="2968" t="s">
        <v>3618</v>
      </c>
      <c r="E1476" s="2968"/>
      <c r="F1476" s="2968">
        <v>3000</v>
      </c>
      <c r="G1476" s="2968" t="s">
        <v>510</v>
      </c>
      <c r="H1476" s="2968"/>
      <c r="I1476" s="2968"/>
      <c r="J1476" s="2968" t="str">
        <f t="shared" ref="J1476:J1539" si="47">A1476</f>
        <v>LCAN2,8</v>
      </c>
      <c r="K1476" s="2969" t="str">
        <f t="shared" si="46"/>
        <v>LCAN2,8Lắp cần đèn D60 ≤ 2,8m</v>
      </c>
    </row>
    <row r="1477" spans="1:11" hidden="1">
      <c r="A1477" s="2969" t="s">
        <v>121</v>
      </c>
      <c r="B1477" s="3004" t="s">
        <v>122</v>
      </c>
      <c r="C1477" s="2969" t="s">
        <v>3630</v>
      </c>
      <c r="D1477" s="2968" t="s">
        <v>3618</v>
      </c>
      <c r="E1477" s="2968"/>
      <c r="F1477" s="2968">
        <v>3000</v>
      </c>
      <c r="G1477" s="2968" t="s">
        <v>510</v>
      </c>
      <c r="H1477" s="2968"/>
      <c r="I1477" s="2968"/>
      <c r="J1477" s="2968" t="str">
        <f t="shared" si="47"/>
        <v>LCAN3,2</v>
      </c>
      <c r="K1477" s="2969" t="str">
        <f t="shared" si="46"/>
        <v>LCAN3,2Lắp cần đèn D60 ≤ 3,2m</v>
      </c>
    </row>
    <row r="1478" spans="1:11" hidden="1">
      <c r="A1478" s="2969" t="s">
        <v>1885</v>
      </c>
      <c r="B1478" s="2986" t="s">
        <v>1010</v>
      </c>
      <c r="C1478" s="3012" t="s">
        <v>3279</v>
      </c>
      <c r="D1478" s="2968" t="s">
        <v>1818</v>
      </c>
      <c r="E1478" s="2968"/>
      <c r="F1478" s="2968">
        <v>3000</v>
      </c>
      <c r="G1478" s="2968" t="s">
        <v>510</v>
      </c>
      <c r="H1478" s="2968"/>
      <c r="I1478" s="2968"/>
      <c r="J1478" s="2968" t="str">
        <f t="shared" si="47"/>
        <v>LcapdongTB240</v>
      </c>
      <c r="K1478" s="2969" t="str">
        <f t="shared" si="46"/>
        <v>LcapdongTB240Lắp cáp đồng xuống thiết bị D &gt; 150mm2</v>
      </c>
    </row>
    <row r="1479" spans="1:11" hidden="1">
      <c r="A1479" s="2969" t="s">
        <v>846</v>
      </c>
      <c r="B1479" s="2986" t="s">
        <v>33</v>
      </c>
      <c r="C1479" s="3012" t="s">
        <v>3278</v>
      </c>
      <c r="D1479" s="2968" t="s">
        <v>1818</v>
      </c>
      <c r="E1479" s="2968"/>
      <c r="F1479" s="2968">
        <v>3000</v>
      </c>
      <c r="G1479" s="2968" t="s">
        <v>510</v>
      </c>
      <c r="H1479" s="2968"/>
      <c r="I1479" s="2968"/>
      <c r="J1479" s="2968" t="str">
        <f t="shared" si="47"/>
        <v>LcapdongTB150</v>
      </c>
      <c r="K1479" s="2969" t="str">
        <f t="shared" si="46"/>
        <v>LcapdongTB150Lắp cáp đồng xuống thiết bị D ≤ 150mm2</v>
      </c>
    </row>
    <row r="1480" spans="1:11" hidden="1">
      <c r="A1480" s="2969" t="s">
        <v>845</v>
      </c>
      <c r="B1480" s="2986" t="s">
        <v>2244</v>
      </c>
      <c r="C1480" s="3012" t="s">
        <v>3277</v>
      </c>
      <c r="D1480" s="2968" t="s">
        <v>1818</v>
      </c>
      <c r="E1480" s="2968"/>
      <c r="F1480" s="2968">
        <v>3000</v>
      </c>
      <c r="G1480" s="2968" t="s">
        <v>510</v>
      </c>
      <c r="H1480" s="2968"/>
      <c r="I1480" s="2968"/>
      <c r="J1480" s="2968" t="str">
        <f t="shared" si="47"/>
        <v>LcapdongTB95</v>
      </c>
      <c r="K1480" s="2969" t="str">
        <f t="shared" si="46"/>
        <v>LcapdongTB95Lắp cáp đồng xuống thiết bị D ≤ 95mm2</v>
      </c>
    </row>
    <row r="1481" spans="1:11" hidden="1">
      <c r="A1481" s="2969" t="s">
        <v>5491</v>
      </c>
      <c r="B1481" s="3004" t="s">
        <v>5492</v>
      </c>
      <c r="C1481" s="2969" t="s">
        <v>5493</v>
      </c>
      <c r="D1481" s="2968" t="s">
        <v>1818</v>
      </c>
      <c r="E1481" s="2968"/>
      <c r="F1481" s="2968">
        <v>3000</v>
      </c>
      <c r="G1481" s="2968" t="s">
        <v>510</v>
      </c>
      <c r="H1481" s="2968"/>
      <c r="I1481" s="2968"/>
      <c r="J1481" s="2968" t="str">
        <f t="shared" si="47"/>
        <v>LcapdongTB400</v>
      </c>
      <c r="K1481" s="2969" t="str">
        <f t="shared" si="46"/>
        <v>LcapdongTB400Lắp cáp đồng xuống thiết bị tiết diện ≤ 400mm2</v>
      </c>
    </row>
    <row r="1482" spans="1:11" hidden="1">
      <c r="A1482" s="2969" t="s">
        <v>5470</v>
      </c>
      <c r="B1482" s="3004">
        <v>73213</v>
      </c>
      <c r="C1482" s="2969" t="s">
        <v>5471</v>
      </c>
      <c r="D1482" s="2968" t="s">
        <v>2526</v>
      </c>
      <c r="E1482" s="2968"/>
      <c r="F1482" s="2968">
        <v>3000</v>
      </c>
      <c r="G1482" s="2968" t="s">
        <v>510</v>
      </c>
      <c r="H1482" s="2968"/>
      <c r="I1482" s="2968"/>
      <c r="J1482" s="2968" t="str">
        <f t="shared" si="47"/>
        <v>KCNT18kggia</v>
      </c>
      <c r="K1482" s="2969" t="str">
        <f t="shared" si="46"/>
        <v>KCNT18kggiaLắp cáp ngầm trên giá đỡ loại &lt;=18kg</v>
      </c>
    </row>
    <row r="1483" spans="1:11" hidden="1">
      <c r="A1483" s="2969" t="s">
        <v>5472</v>
      </c>
      <c r="B1483" s="3004">
        <v>73413</v>
      </c>
      <c r="C1483" s="2969" t="s">
        <v>5473</v>
      </c>
      <c r="D1483" s="2968" t="s">
        <v>2526</v>
      </c>
      <c r="E1483" s="2968"/>
      <c r="F1483" s="2968">
        <v>3000</v>
      </c>
      <c r="G1483" s="2968" t="s">
        <v>510</v>
      </c>
      <c r="H1483" s="2968"/>
      <c r="I1483" s="2968"/>
      <c r="J1483" s="2968" t="str">
        <f t="shared" si="47"/>
        <v>KCNT18kg</v>
      </c>
      <c r="K1483" s="2969" t="str">
        <f t="shared" si="46"/>
        <v>KCNT18kgLắp cáp ngầm trong ống loại &lt;=18kg</v>
      </c>
    </row>
    <row r="1484" spans="1:11" hidden="1">
      <c r="A1484" s="2969" t="s">
        <v>1683</v>
      </c>
      <c r="B1484" s="3004" t="s">
        <v>1685</v>
      </c>
      <c r="C1484" s="3012" t="s">
        <v>3247</v>
      </c>
      <c r="D1484" s="2968" t="s">
        <v>2526</v>
      </c>
      <c r="E1484" s="2968"/>
      <c r="F1484" s="2968">
        <v>3000</v>
      </c>
      <c r="G1484" s="2968" t="s">
        <v>510</v>
      </c>
      <c r="H1484" s="2968"/>
      <c r="I1484" s="2968"/>
      <c r="J1484" s="2968" t="str">
        <f t="shared" si="47"/>
        <v>KCN10kg</v>
      </c>
      <c r="K1484" s="2969" t="str">
        <f t="shared" si="46"/>
        <v>KCN10kgLắp cáp trong ống bảo vệ loại &lt;=10.5kg</v>
      </c>
    </row>
    <row r="1485" spans="1:11" hidden="1">
      <c r="A1485" s="2969" t="s">
        <v>1684</v>
      </c>
      <c r="B1485" s="3004" t="s">
        <v>1686</v>
      </c>
      <c r="C1485" s="3012" t="s">
        <v>3248</v>
      </c>
      <c r="D1485" s="2968" t="s">
        <v>2526</v>
      </c>
      <c r="E1485" s="2968"/>
      <c r="F1485" s="2968">
        <v>3000</v>
      </c>
      <c r="G1485" s="2968" t="s">
        <v>510</v>
      </c>
      <c r="H1485" s="2968"/>
      <c r="I1485" s="2968"/>
      <c r="J1485" s="2968" t="str">
        <f t="shared" si="47"/>
        <v>KCN12kg</v>
      </c>
      <c r="K1485" s="2969" t="str">
        <f t="shared" si="46"/>
        <v>KCN12kgLắp cáp trong ống bảo vệ loại &lt;=12kg</v>
      </c>
    </row>
    <row r="1486" spans="1:11" hidden="1">
      <c r="A1486" s="2969" t="s">
        <v>2089</v>
      </c>
      <c r="B1486" s="3004" t="s">
        <v>1596</v>
      </c>
      <c r="C1486" s="3012" t="s">
        <v>3240</v>
      </c>
      <c r="D1486" s="2968" t="s">
        <v>2526</v>
      </c>
      <c r="E1486" s="2968"/>
      <c r="F1486" s="2968">
        <v>3000</v>
      </c>
      <c r="G1486" s="2968" t="s">
        <v>510</v>
      </c>
      <c r="H1486" s="2968"/>
      <c r="I1486" s="2968"/>
      <c r="J1486" s="2968" t="str">
        <f t="shared" si="47"/>
        <v>KCN1kg</v>
      </c>
      <c r="K1486" s="2969" t="str">
        <f t="shared" si="46"/>
        <v>KCN1kgLắp cáp trong ống bảo vệ loại &lt;=1kg</v>
      </c>
    </row>
    <row r="1487" spans="1:11" hidden="1">
      <c r="A1487" s="2969" t="s">
        <v>1828</v>
      </c>
      <c r="B1487" s="3004" t="s">
        <v>1597</v>
      </c>
      <c r="C1487" s="3012" t="s">
        <v>3241</v>
      </c>
      <c r="D1487" s="2968" t="s">
        <v>2526</v>
      </c>
      <c r="E1487" s="2968"/>
      <c r="F1487" s="2968">
        <v>3000</v>
      </c>
      <c r="G1487" s="2968" t="s">
        <v>510</v>
      </c>
      <c r="H1487" s="2968"/>
      <c r="I1487" s="2968"/>
      <c r="J1487" s="2968" t="str">
        <f t="shared" si="47"/>
        <v>KCN2kg</v>
      </c>
      <c r="K1487" s="2969" t="str">
        <f t="shared" si="46"/>
        <v>KCN2kgLắp cáp trong ống bảo vệ loại &lt;=2kg</v>
      </c>
    </row>
    <row r="1488" spans="1:11" hidden="1">
      <c r="A1488" s="2969" t="s">
        <v>807</v>
      </c>
      <c r="B1488" s="3004" t="s">
        <v>1598</v>
      </c>
      <c r="C1488" s="3012" t="s">
        <v>3242</v>
      </c>
      <c r="D1488" s="2968" t="s">
        <v>2526</v>
      </c>
      <c r="E1488" s="2968"/>
      <c r="F1488" s="2968">
        <v>3000</v>
      </c>
      <c r="G1488" s="2968" t="s">
        <v>510</v>
      </c>
      <c r="H1488" s="2968"/>
      <c r="I1488" s="2968"/>
      <c r="J1488" s="2968" t="str">
        <f t="shared" si="47"/>
        <v>KCN3kg</v>
      </c>
      <c r="K1488" s="2969" t="str">
        <f t="shared" si="46"/>
        <v>KCN3kgLắp cáp trong ống bảo vệ loại &lt;=3kg</v>
      </c>
    </row>
    <row r="1489" spans="1:11" hidden="1">
      <c r="A1489" s="2969" t="s">
        <v>808</v>
      </c>
      <c r="B1489" s="3004" t="s">
        <v>1599</v>
      </c>
      <c r="C1489" s="3012" t="s">
        <v>3243</v>
      </c>
      <c r="D1489" s="2968" t="s">
        <v>2526</v>
      </c>
      <c r="E1489" s="2968"/>
      <c r="F1489" s="2968">
        <v>3000</v>
      </c>
      <c r="G1489" s="2968" t="s">
        <v>510</v>
      </c>
      <c r="H1489" s="2968"/>
      <c r="I1489" s="2968"/>
      <c r="J1489" s="2968" t="str">
        <f t="shared" si="47"/>
        <v>KCN4kg</v>
      </c>
      <c r="K1489" s="2969" t="str">
        <f t="shared" si="46"/>
        <v>KCN4kgLắp cáp trong ống bảo vệ loại &lt;=4.5kg</v>
      </c>
    </row>
    <row r="1490" spans="1:11" hidden="1">
      <c r="A1490" s="2969" t="s">
        <v>1178</v>
      </c>
      <c r="B1490" s="3004" t="s">
        <v>1600</v>
      </c>
      <c r="C1490" s="3012" t="s">
        <v>3244</v>
      </c>
      <c r="D1490" s="2968" t="s">
        <v>2526</v>
      </c>
      <c r="E1490" s="2968"/>
      <c r="F1490" s="2968">
        <v>3000</v>
      </c>
      <c r="G1490" s="2968" t="s">
        <v>510</v>
      </c>
      <c r="H1490" s="2968"/>
      <c r="I1490" s="2968"/>
      <c r="J1490" s="2968" t="str">
        <f t="shared" si="47"/>
        <v>KCN6kg</v>
      </c>
      <c r="K1490" s="2969" t="str">
        <f t="shared" si="46"/>
        <v>KCN6kgLắp cáp trong ống bảo vệ loại &lt;=6kg</v>
      </c>
    </row>
    <row r="1491" spans="1:11" hidden="1">
      <c r="A1491" s="2969" t="s">
        <v>1179</v>
      </c>
      <c r="B1491" s="3004" t="s">
        <v>1681</v>
      </c>
      <c r="C1491" s="3012" t="s">
        <v>3245</v>
      </c>
      <c r="D1491" s="2968" t="s">
        <v>2526</v>
      </c>
      <c r="E1491" s="2968"/>
      <c r="F1491" s="2968">
        <v>3000</v>
      </c>
      <c r="G1491" s="2968" t="s">
        <v>510</v>
      </c>
      <c r="H1491" s="2968"/>
      <c r="I1491" s="2968"/>
      <c r="J1491" s="2968" t="str">
        <f t="shared" si="47"/>
        <v>KCN7kg</v>
      </c>
      <c r="K1491" s="2969" t="str">
        <f t="shared" si="46"/>
        <v>KCN7kgLắp cáp trong ống bảo vệ loại &lt;=7.5kg</v>
      </c>
    </row>
    <row r="1492" spans="1:11" hidden="1">
      <c r="A1492" s="2969" t="s">
        <v>1035</v>
      </c>
      <c r="B1492" s="3004" t="s">
        <v>1682</v>
      </c>
      <c r="C1492" s="3012" t="s">
        <v>3246</v>
      </c>
      <c r="D1492" s="2968" t="s">
        <v>2526</v>
      </c>
      <c r="E1492" s="2968"/>
      <c r="F1492" s="2968">
        <v>3000</v>
      </c>
      <c r="G1492" s="2968" t="s">
        <v>510</v>
      </c>
      <c r="H1492" s="2968"/>
      <c r="I1492" s="2968"/>
      <c r="J1492" s="2968" t="str">
        <f t="shared" si="47"/>
        <v>KCN9kg</v>
      </c>
      <c r="K1492" s="2969" t="str">
        <f t="shared" si="46"/>
        <v>KCN9kgLắp cáp trong ống bảo vệ loại &lt;=9kg</v>
      </c>
    </row>
    <row r="1493" spans="1:11" hidden="1">
      <c r="A1493" s="2969" t="s">
        <v>7040</v>
      </c>
      <c r="B1493" s="3004"/>
      <c r="C1493" s="2969" t="s">
        <v>7041</v>
      </c>
      <c r="D1493" s="2968" t="s">
        <v>2526</v>
      </c>
      <c r="E1493" s="2968"/>
      <c r="F1493" s="2968">
        <v>3000</v>
      </c>
      <c r="G1493" s="2968" t="s">
        <v>510</v>
      </c>
      <c r="H1493" s="2968"/>
      <c r="I1493" s="2968"/>
      <c r="J1493" s="2968" t="str">
        <f t="shared" si="47"/>
        <v>KCN9K</v>
      </c>
      <c r="K1493" s="2969" t="str">
        <f t="shared" si="46"/>
        <v>KCN9KLắp cáp trong ống bảo vệ loại ≤9kg</v>
      </c>
    </row>
    <row r="1494" spans="1:11" hidden="1">
      <c r="A1494" s="2969" t="s">
        <v>1196</v>
      </c>
      <c r="B1494" s="2986" t="s">
        <v>1523</v>
      </c>
      <c r="C1494" s="3012" t="s">
        <v>3249</v>
      </c>
      <c r="D1494" s="2968" t="s">
        <v>2526</v>
      </c>
      <c r="E1494" s="2968"/>
      <c r="F1494" s="2968">
        <v>3000</v>
      </c>
      <c r="G1494" s="2968" t="s">
        <v>510</v>
      </c>
      <c r="H1494" s="2968"/>
      <c r="I1494" s="2968"/>
      <c r="J1494" s="2968" t="str">
        <f t="shared" si="47"/>
        <v>KCNT1kg</v>
      </c>
      <c r="K1494" s="2969" t="str">
        <f t="shared" si="46"/>
        <v>KCNT1kgLắp cáp trong ống bảo vệ trong TBA loại &lt;=1kg</v>
      </c>
    </row>
    <row r="1495" spans="1:11" hidden="1">
      <c r="A1495" s="2969" t="s">
        <v>1197</v>
      </c>
      <c r="B1495" s="2986" t="s">
        <v>333</v>
      </c>
      <c r="C1495" s="3012" t="s">
        <v>3250</v>
      </c>
      <c r="D1495" s="2968" t="s">
        <v>2526</v>
      </c>
      <c r="E1495" s="2968"/>
      <c r="F1495" s="2968">
        <v>3000</v>
      </c>
      <c r="G1495" s="2968" t="s">
        <v>510</v>
      </c>
      <c r="H1495" s="2968"/>
      <c r="I1495" s="2968"/>
      <c r="J1495" s="2968" t="str">
        <f t="shared" si="47"/>
        <v>KCNT2kg</v>
      </c>
      <c r="K1495" s="2969" t="str">
        <f t="shared" si="46"/>
        <v>KCNT2kgLắp cáp trong ống bảo vệ trong TBA loại &lt;=2kg</v>
      </c>
    </row>
    <row r="1496" spans="1:11" hidden="1">
      <c r="A1496" s="2969" t="s">
        <v>1198</v>
      </c>
      <c r="B1496" s="2986" t="s">
        <v>334</v>
      </c>
      <c r="C1496" s="3012" t="s">
        <v>3251</v>
      </c>
      <c r="D1496" s="2968" t="s">
        <v>2526</v>
      </c>
      <c r="E1496" s="2968"/>
      <c r="F1496" s="2968">
        <v>3000</v>
      </c>
      <c r="G1496" s="2968" t="s">
        <v>510</v>
      </c>
      <c r="H1496" s="2968"/>
      <c r="I1496" s="2968"/>
      <c r="J1496" s="2968" t="str">
        <f t="shared" si="47"/>
        <v>KCNT3kg</v>
      </c>
      <c r="K1496" s="2969" t="str">
        <f t="shared" si="46"/>
        <v>KCNT3kgLắp cáp trong ống bảo vệ trong TBA loại &lt;=3kg</v>
      </c>
    </row>
    <row r="1497" spans="1:11" hidden="1">
      <c r="A1497" s="2969" t="s">
        <v>1199</v>
      </c>
      <c r="B1497" s="2986" t="s">
        <v>335</v>
      </c>
      <c r="C1497" s="3012" t="s">
        <v>3252</v>
      </c>
      <c r="D1497" s="2968" t="s">
        <v>2526</v>
      </c>
      <c r="E1497" s="2968"/>
      <c r="F1497" s="2968">
        <v>3000</v>
      </c>
      <c r="G1497" s="2968" t="s">
        <v>510</v>
      </c>
      <c r="H1497" s="2968"/>
      <c r="I1497" s="2968"/>
      <c r="J1497" s="2968" t="str">
        <f t="shared" si="47"/>
        <v>KCNT4kg</v>
      </c>
      <c r="K1497" s="2969" t="str">
        <f t="shared" si="46"/>
        <v>KCNT4kgLắp cáp trong ống bảo vệ trong TBA loại &lt;=4.5kg</v>
      </c>
    </row>
    <row r="1498" spans="1:11" hidden="1">
      <c r="A1498" s="2969" t="s">
        <v>1200</v>
      </c>
      <c r="B1498" s="2986" t="s">
        <v>336</v>
      </c>
      <c r="C1498" s="3012" t="s">
        <v>3253</v>
      </c>
      <c r="D1498" s="2968" t="s">
        <v>2526</v>
      </c>
      <c r="E1498" s="2968"/>
      <c r="F1498" s="2968">
        <v>3000</v>
      </c>
      <c r="G1498" s="2968" t="s">
        <v>510</v>
      </c>
      <c r="H1498" s="2968"/>
      <c r="I1498" s="2968"/>
      <c r="J1498" s="2968" t="str">
        <f t="shared" si="47"/>
        <v>KCNT6kg</v>
      </c>
      <c r="K1498" s="2969" t="str">
        <f t="shared" si="46"/>
        <v>KCNT6kgLắp cáp trong ống bảo vệ trong TBA loại &lt;=6kg</v>
      </c>
    </row>
    <row r="1499" spans="1:11" hidden="1">
      <c r="A1499" s="2969" t="s">
        <v>1201</v>
      </c>
      <c r="B1499" s="2986" t="s">
        <v>1276</v>
      </c>
      <c r="C1499" s="3012" t="s">
        <v>3254</v>
      </c>
      <c r="D1499" s="2968" t="s">
        <v>2526</v>
      </c>
      <c r="E1499" s="2968"/>
      <c r="F1499" s="2968">
        <v>3000</v>
      </c>
      <c r="G1499" s="2968" t="s">
        <v>510</v>
      </c>
      <c r="H1499" s="2968"/>
      <c r="I1499" s="2968"/>
      <c r="J1499" s="2968" t="str">
        <f t="shared" si="47"/>
        <v>KCNT7kg</v>
      </c>
      <c r="K1499" s="2969" t="str">
        <f t="shared" si="46"/>
        <v>KCNT7kgLắp cáp trong ống bảo vệ trong TBA loại &lt;=7.5kg</v>
      </c>
    </row>
    <row r="1500" spans="1:11" hidden="1">
      <c r="A1500" s="2969" t="s">
        <v>1202</v>
      </c>
      <c r="B1500" s="2986" t="s">
        <v>337</v>
      </c>
      <c r="C1500" s="3012" t="s">
        <v>3255</v>
      </c>
      <c r="D1500" s="2968" t="s">
        <v>2526</v>
      </c>
      <c r="E1500" s="2968"/>
      <c r="F1500" s="2968">
        <v>3000</v>
      </c>
      <c r="G1500" s="2968" t="s">
        <v>510</v>
      </c>
      <c r="H1500" s="2968"/>
      <c r="I1500" s="2968"/>
      <c r="J1500" s="2968" t="str">
        <f t="shared" si="47"/>
        <v>KCNT9kg</v>
      </c>
      <c r="K1500" s="2969" t="str">
        <f t="shared" si="46"/>
        <v>KCNT9kgLắp cáp trong ống bảo vệ trong TBA loại &lt;=9kg</v>
      </c>
    </row>
    <row r="1501" spans="1:11" hidden="1">
      <c r="A1501" s="2969" t="s">
        <v>7042</v>
      </c>
      <c r="B1501" s="3004" t="s">
        <v>6669</v>
      </c>
      <c r="C1501" s="2969" t="s">
        <v>7043</v>
      </c>
      <c r="D1501" s="2968" t="s">
        <v>853</v>
      </c>
      <c r="E1501" s="2968"/>
      <c r="F1501" s="2968">
        <v>3000</v>
      </c>
      <c r="G1501" s="2968" t="s">
        <v>510</v>
      </c>
      <c r="H1501" s="2968"/>
      <c r="I1501" s="2968"/>
      <c r="J1501" s="2968" t="str">
        <f t="shared" si="47"/>
        <v>LCMC</v>
      </c>
      <c r="K1501" s="2969" t="str">
        <f t="shared" si="46"/>
        <v>LCMCLấp cát mương cáp</v>
      </c>
    </row>
    <row r="1502" spans="1:11" hidden="1">
      <c r="A1502" s="2969" t="s">
        <v>966</v>
      </c>
      <c r="B1502" s="2986"/>
      <c r="C1502" s="3012" t="s">
        <v>3170</v>
      </c>
      <c r="D1502" s="2968"/>
      <c r="E1502" s="2968"/>
      <c r="F1502" s="2968">
        <v>3000</v>
      </c>
      <c r="G1502" s="2968" t="s">
        <v>510</v>
      </c>
      <c r="H1502" s="2968">
        <v>50</v>
      </c>
      <c r="I1502" s="2968"/>
      <c r="J1502" s="2968" t="str">
        <f t="shared" si="47"/>
        <v>LCHI</v>
      </c>
      <c r="K1502" s="2969" t="str">
        <f t="shared" si="46"/>
        <v>LCHILắp cầu chì 5A</v>
      </c>
    </row>
    <row r="1503" spans="1:11" hidden="1">
      <c r="A1503" s="2969" t="s">
        <v>1117</v>
      </c>
      <c r="B1503" s="3004" t="s">
        <v>1118</v>
      </c>
      <c r="C1503" s="3012" t="s">
        <v>3640</v>
      </c>
      <c r="D1503" s="2968" t="s">
        <v>2547</v>
      </c>
      <c r="E1503" s="2968"/>
      <c r="F1503" s="2968">
        <v>3000</v>
      </c>
      <c r="G1503" s="2968" t="s">
        <v>510</v>
      </c>
      <c r="H1503" s="2968">
        <v>70</v>
      </c>
      <c r="I1503" s="2968"/>
      <c r="J1503" s="2968" t="str">
        <f t="shared" si="47"/>
        <v>Lcauchi</v>
      </c>
      <c r="K1503" s="2969" t="str">
        <f t="shared" si="46"/>
        <v>LcauchiLắp cầu chì đuôi cá</v>
      </c>
    </row>
    <row r="1504" spans="1:11" hidden="1">
      <c r="A1504" s="2969" t="s">
        <v>347</v>
      </c>
      <c r="B1504" s="2986" t="s">
        <v>1749</v>
      </c>
      <c r="C1504" s="3012" t="s">
        <v>3171</v>
      </c>
      <c r="D1504" s="2968" t="s">
        <v>2547</v>
      </c>
      <c r="E1504" s="2968"/>
      <c r="F1504" s="2968">
        <v>3000</v>
      </c>
      <c r="G1504" s="2968" t="s">
        <v>510</v>
      </c>
      <c r="H1504" s="2968"/>
      <c r="I1504" s="2968"/>
      <c r="J1504" s="2968" t="str">
        <f t="shared" si="47"/>
        <v>LCSD</v>
      </c>
      <c r="K1504" s="2969" t="str">
        <f t="shared" si="46"/>
        <v>LCSDLắp chân sứ đỉnh</v>
      </c>
    </row>
    <row r="1505" spans="1:11" hidden="1">
      <c r="A1505" s="2969" t="s">
        <v>1168</v>
      </c>
      <c r="B1505" s="3004" t="s">
        <v>291</v>
      </c>
      <c r="C1505" s="2969" t="s">
        <v>3632</v>
      </c>
      <c r="D1505" s="2968" t="s">
        <v>2433</v>
      </c>
      <c r="E1505" s="2968"/>
      <c r="F1505" s="2968">
        <v>3000</v>
      </c>
      <c r="G1505" s="2968" t="s">
        <v>510</v>
      </c>
      <c r="H1505" s="2968"/>
      <c r="I1505" s="2968"/>
      <c r="J1505" s="2968" t="str">
        <f t="shared" si="47"/>
        <v>LDEN</v>
      </c>
      <c r="K1505" s="2969" t="str">
        <f t="shared" si="46"/>
        <v>LDENLắp chóa đèn chiếu sáng ≤ 12m</v>
      </c>
    </row>
    <row r="1506" spans="1:11" hidden="1">
      <c r="A1506" s="2969" t="s">
        <v>348</v>
      </c>
      <c r="B1506" s="2986" t="s">
        <v>1245</v>
      </c>
      <c r="C1506" s="3012" t="s">
        <v>3259</v>
      </c>
      <c r="D1506" s="2968" t="s">
        <v>2506</v>
      </c>
      <c r="E1506" s="2968"/>
      <c r="F1506" s="2968">
        <v>3000</v>
      </c>
      <c r="G1506" s="2968" t="s">
        <v>510</v>
      </c>
      <c r="H1506" s="2968"/>
      <c r="I1506" s="2968"/>
      <c r="J1506" s="2968" t="str">
        <f t="shared" si="47"/>
        <v>LCHSD</v>
      </c>
      <c r="K1506" s="2969" t="str">
        <f t="shared" si="46"/>
        <v>LCHSDLắp chuỗi sứ đỡ 2 bát/chuỗi</v>
      </c>
    </row>
    <row r="1507" spans="1:11" hidden="1">
      <c r="A1507" s="2969" t="s">
        <v>349</v>
      </c>
      <c r="B1507" s="2986" t="s">
        <v>293</v>
      </c>
      <c r="C1507" s="3012" t="s">
        <v>3260</v>
      </c>
      <c r="D1507" s="2968" t="s">
        <v>2506</v>
      </c>
      <c r="E1507" s="2968"/>
      <c r="F1507" s="2968">
        <v>3000</v>
      </c>
      <c r="G1507" s="2968" t="s">
        <v>510</v>
      </c>
      <c r="H1507" s="2968"/>
      <c r="I1507" s="2968"/>
      <c r="J1507" s="2968" t="str">
        <f t="shared" si="47"/>
        <v>LCHSN</v>
      </c>
      <c r="K1507" s="2969" t="str">
        <f t="shared" si="46"/>
        <v>LCHSNLắp chuỗi sứ néo 2 bát/chuỗi</v>
      </c>
    </row>
    <row r="1508" spans="1:11" hidden="1">
      <c r="A1508" s="2969" t="s">
        <v>623</v>
      </c>
      <c r="B1508" s="2986" t="s">
        <v>624</v>
      </c>
      <c r="C1508" s="3012" t="s">
        <v>3262</v>
      </c>
      <c r="D1508" s="2968" t="s">
        <v>2506</v>
      </c>
      <c r="E1508" s="2968"/>
      <c r="F1508" s="2968">
        <v>3000</v>
      </c>
      <c r="G1508" s="2968" t="s">
        <v>510</v>
      </c>
      <c r="H1508" s="2968"/>
      <c r="I1508" s="2968"/>
      <c r="J1508" s="2968" t="str">
        <f t="shared" si="47"/>
        <v>LCHSN3</v>
      </c>
      <c r="K1508" s="2969" t="str">
        <f t="shared" si="46"/>
        <v>LCHSN3Lắp chuỗi sứ néo 3 bát/chuỗi</v>
      </c>
    </row>
    <row r="1509" spans="1:11" hidden="1">
      <c r="A1509" s="2969" t="s">
        <v>6482</v>
      </c>
      <c r="B1509" s="3004" t="s">
        <v>156</v>
      </c>
      <c r="C1509" s="3012" t="s">
        <v>3261</v>
      </c>
      <c r="D1509" s="2968" t="s">
        <v>2506</v>
      </c>
      <c r="E1509" s="2968"/>
      <c r="F1509" s="2968">
        <v>3000</v>
      </c>
      <c r="G1509" s="2968" t="s">
        <v>510</v>
      </c>
      <c r="H1509" s="2968"/>
      <c r="I1509" s="2968"/>
      <c r="J1509" s="2968" t="str">
        <f t="shared" si="47"/>
        <v>CĐT ply-X-L</v>
      </c>
      <c r="K1509" s="2969" t="str">
        <f t="shared" si="46"/>
        <v>CĐT ply-X-LLắp chuỗi sứ néo Polymer</v>
      </c>
    </row>
    <row r="1510" spans="1:11" hidden="1">
      <c r="A1510" s="2969" t="s">
        <v>1503</v>
      </c>
      <c r="B1510" s="2986" t="s">
        <v>4274</v>
      </c>
      <c r="C1510" s="3012" t="s">
        <v>3261</v>
      </c>
      <c r="D1510" s="2968" t="s">
        <v>2506</v>
      </c>
      <c r="E1510" s="2968"/>
      <c r="F1510" s="2968">
        <v>3000</v>
      </c>
      <c r="G1510" s="2968" t="s">
        <v>510</v>
      </c>
      <c r="H1510" s="2968"/>
      <c r="I1510" s="2968"/>
      <c r="J1510" s="2968" t="str">
        <f t="shared" si="47"/>
        <v>LCHSNply</v>
      </c>
      <c r="K1510" s="2969" t="str">
        <f t="shared" si="46"/>
        <v>LCHSNplyLắp chuỗi sứ néo Polymer</v>
      </c>
    </row>
    <row r="1511" spans="1:11" hidden="1">
      <c r="A1511" s="2969" t="s">
        <v>7044</v>
      </c>
      <c r="B1511" s="3004" t="s">
        <v>156</v>
      </c>
      <c r="C1511" s="2969" t="s">
        <v>3269</v>
      </c>
      <c r="D1511" s="2968" t="s">
        <v>2433</v>
      </c>
      <c r="E1511" s="2968"/>
      <c r="F1511" s="2968">
        <v>3000</v>
      </c>
      <c r="G1511" s="2968" t="s">
        <v>510</v>
      </c>
      <c r="H1511" s="2968"/>
      <c r="I1511" s="2968"/>
      <c r="J1511" s="2968" t="str">
        <f t="shared" si="47"/>
        <v>LCHSNplyHL</v>
      </c>
      <c r="K1511" s="2969" t="str">
        <f t="shared" si="46"/>
        <v>LCHSNplyHLLắp chuỗi sứ néo Polymer đường dây 3 pha</v>
      </c>
    </row>
    <row r="1512" spans="1:11" hidden="1">
      <c r="A1512" s="2969" t="s">
        <v>5482</v>
      </c>
      <c r="B1512" s="3004" t="s">
        <v>5481</v>
      </c>
      <c r="C1512" s="2969" t="s">
        <v>5483</v>
      </c>
      <c r="D1512" s="2968" t="s">
        <v>2433</v>
      </c>
      <c r="E1512" s="2968"/>
      <c r="F1512" s="2968">
        <v>3000</v>
      </c>
      <c r="G1512" s="2968" t="s">
        <v>510</v>
      </c>
      <c r="H1512" s="2968"/>
      <c r="I1512" s="2968"/>
      <c r="J1512" s="2968" t="str">
        <f t="shared" si="47"/>
        <v>LCHSNplyk</v>
      </c>
      <c r="K1512" s="2969" t="str">
        <f t="shared" si="46"/>
        <v>LCHSNplykLắp chuỗi sứ néo Polymer kép</v>
      </c>
    </row>
    <row r="1513" spans="1:11" hidden="1">
      <c r="A1513" s="2969" t="s">
        <v>1126</v>
      </c>
      <c r="B1513" s="3004" t="s">
        <v>679</v>
      </c>
      <c r="C1513" s="2969" t="s">
        <v>5387</v>
      </c>
      <c r="D1513" s="2968" t="s">
        <v>2433</v>
      </c>
      <c r="E1513" s="2968"/>
      <c r="F1513" s="2968">
        <v>3000</v>
      </c>
      <c r="G1513" s="2968" t="s">
        <v>510</v>
      </c>
      <c r="H1513" s="2968"/>
      <c r="I1513" s="2968"/>
      <c r="J1513" s="2968" t="str">
        <f t="shared" si="47"/>
        <v>LCD</v>
      </c>
      <c r="K1513" s="2969" t="str">
        <f t="shared" si="46"/>
        <v>LCDLắp cổ dê</v>
      </c>
    </row>
    <row r="1514" spans="1:11" hidden="1">
      <c r="A1514" s="2969" t="s">
        <v>678</v>
      </c>
      <c r="B1514" s="2986" t="s">
        <v>679</v>
      </c>
      <c r="C1514" s="2969" t="s">
        <v>5387</v>
      </c>
      <c r="D1514" s="2968" t="s">
        <v>2547</v>
      </c>
      <c r="E1514" s="2968"/>
      <c r="F1514" s="2968">
        <v>3000</v>
      </c>
      <c r="G1514" s="2968" t="s">
        <v>510</v>
      </c>
      <c r="H1514" s="2968"/>
      <c r="I1514" s="2968"/>
      <c r="J1514" s="2968" t="str">
        <f t="shared" si="47"/>
        <v>XLCD</v>
      </c>
      <c r="K1514" s="2969" t="str">
        <f t="shared" si="46"/>
        <v>XLCDLắp cổ dê</v>
      </c>
    </row>
    <row r="1515" spans="1:11" hidden="1">
      <c r="A1515" s="2969" t="s">
        <v>5183</v>
      </c>
      <c r="B1515" s="3004"/>
      <c r="C1515" s="2969" t="s">
        <v>5184</v>
      </c>
      <c r="D1515" s="2968" t="s">
        <v>2433</v>
      </c>
      <c r="E1515" s="2968"/>
      <c r="F1515" s="2968">
        <v>50</v>
      </c>
      <c r="G1515" s="2968" t="s">
        <v>510</v>
      </c>
      <c r="H1515" s="2968"/>
      <c r="I1515" s="2968"/>
      <c r="J1515" s="2968" t="str">
        <f t="shared" si="47"/>
        <v>CD114TK-LAP</v>
      </c>
      <c r="K1515" s="2969" t="str">
        <f t="shared" si="46"/>
        <v>CD114TK-LAPLắp Cổ dê kẹp ống sắt Þ 114</v>
      </c>
    </row>
    <row r="1516" spans="1:11" hidden="1">
      <c r="A1516" s="2969" t="s">
        <v>5185</v>
      </c>
      <c r="B1516" s="3004"/>
      <c r="C1516" s="2969" t="s">
        <v>5186</v>
      </c>
      <c r="D1516" s="2968" t="s">
        <v>2433</v>
      </c>
      <c r="E1516" s="2968"/>
      <c r="F1516" s="2968">
        <v>50</v>
      </c>
      <c r="G1516" s="2968" t="s">
        <v>510</v>
      </c>
      <c r="H1516" s="2968"/>
      <c r="I1516" s="2968"/>
      <c r="J1516" s="2968" t="str">
        <f t="shared" si="47"/>
        <v>CD168TK-LAP</v>
      </c>
      <c r="K1516" s="2969" t="str">
        <f t="shared" si="46"/>
        <v>CD168TK-LAPLắp Cổ dê kẹp ống sắt Þ 168</v>
      </c>
    </row>
    <row r="1517" spans="1:11" hidden="1">
      <c r="A1517" s="2969" t="s">
        <v>6446</v>
      </c>
      <c r="B1517" s="3004"/>
      <c r="C1517" s="2969" t="s">
        <v>6460</v>
      </c>
      <c r="D1517" s="2968" t="s">
        <v>3430</v>
      </c>
      <c r="E1517" s="2968"/>
      <c r="F1517" s="2968">
        <v>3000</v>
      </c>
      <c r="G1517" s="2968" t="s">
        <v>510</v>
      </c>
      <c r="H1517" s="2968"/>
      <c r="I1517" s="2968"/>
      <c r="J1517" s="2968" t="str">
        <f t="shared" si="47"/>
        <v>Xa1660-L</v>
      </c>
      <c r="K1517" s="2969" t="str">
        <f t="shared" si="46"/>
        <v>Xa1660-LLắp Đà 1,66m</v>
      </c>
    </row>
    <row r="1518" spans="1:11" hidden="1">
      <c r="A1518" s="2969" t="s">
        <v>4966</v>
      </c>
      <c r="B1518" s="3004" t="s">
        <v>1741</v>
      </c>
      <c r="C1518" s="2969" t="s">
        <v>4967</v>
      </c>
      <c r="D1518" s="2968" t="s">
        <v>2547</v>
      </c>
      <c r="E1518" s="2968"/>
      <c r="F1518" s="2968">
        <v>3000</v>
      </c>
      <c r="G1518" s="2968" t="s">
        <v>510</v>
      </c>
      <c r="H1518" s="2968"/>
      <c r="I1518" s="2968"/>
      <c r="J1518" s="2968" t="str">
        <f t="shared" si="47"/>
        <v>LD15</v>
      </c>
      <c r="K1518" s="2969" t="str">
        <f t="shared" si="46"/>
        <v>LD15Lắp đà cản BTCT 1,5m</v>
      </c>
    </row>
    <row r="1519" spans="1:11" hidden="1">
      <c r="A1519" s="2969" t="s">
        <v>7045</v>
      </c>
      <c r="B1519" s="3004" t="s">
        <v>5066</v>
      </c>
      <c r="C1519" s="2969" t="s">
        <v>7046</v>
      </c>
      <c r="D1519" s="2968" t="s">
        <v>2433</v>
      </c>
      <c r="E1519" s="2968"/>
      <c r="F1519" s="2968">
        <v>3000</v>
      </c>
      <c r="G1519" s="2968" t="s">
        <v>510</v>
      </c>
      <c r="H1519" s="2968"/>
      <c r="I1519" s="2968"/>
      <c r="J1519" s="2968" t="str">
        <f t="shared" si="47"/>
        <v>LCOM2400</v>
      </c>
      <c r="K1519" s="2969" t="str">
        <f t="shared" si="46"/>
        <v>LCOM2400Lắp đà composite 2400mm đơn (KL &lt;=15kg, trụ BTLT, tính = 0.8 đà sắt)</v>
      </c>
    </row>
    <row r="1520" spans="1:11" hidden="1">
      <c r="A1520" s="2969" t="s">
        <v>7047</v>
      </c>
      <c r="B1520" s="3004" t="s">
        <v>5066</v>
      </c>
      <c r="C1520" s="2969" t="s">
        <v>7048</v>
      </c>
      <c r="D1520" s="2968" t="s">
        <v>2433</v>
      </c>
      <c r="E1520" s="2968"/>
      <c r="F1520" s="2968">
        <v>3000</v>
      </c>
      <c r="G1520" s="2968" t="s">
        <v>510</v>
      </c>
      <c r="H1520" s="2968"/>
      <c r="I1520" s="2968"/>
      <c r="J1520" s="2968" t="str">
        <f t="shared" si="47"/>
        <v>LCOM2400K</v>
      </c>
      <c r="K1520" s="2969" t="str">
        <f t="shared" si="46"/>
        <v>LCOM2400KLắp đà composite 2400mm kép (KL &lt;=15kg, trụ BTLT, tính = 0.8 đà sắt)</v>
      </c>
    </row>
    <row r="1521" spans="1:11" hidden="1">
      <c r="A1521" s="2969" t="s">
        <v>7049</v>
      </c>
      <c r="B1521" s="3004" t="s">
        <v>5066</v>
      </c>
      <c r="C1521" s="2969" t="s">
        <v>7050</v>
      </c>
      <c r="D1521" s="2968" t="s">
        <v>2433</v>
      </c>
      <c r="E1521" s="2968"/>
      <c r="F1521" s="2968">
        <v>3000</v>
      </c>
      <c r="G1521" s="2968" t="s">
        <v>510</v>
      </c>
      <c r="H1521" s="2968"/>
      <c r="I1521" s="2968"/>
      <c r="J1521" s="2968" t="str">
        <f t="shared" si="47"/>
        <v>LCOM2600</v>
      </c>
      <c r="K1521" s="2969" t="str">
        <f t="shared" si="46"/>
        <v>LCOM2600Lắp đà composite 2600mm đơn (KL &lt;=15kg, trụ BTLT, tính = 0.8 đà sắt)</v>
      </c>
    </row>
    <row r="1522" spans="1:11" hidden="1">
      <c r="A1522" s="2969" t="s">
        <v>7051</v>
      </c>
      <c r="B1522" s="3004" t="s">
        <v>5066</v>
      </c>
      <c r="C1522" s="2969" t="s">
        <v>7052</v>
      </c>
      <c r="D1522" s="2968" t="s">
        <v>2433</v>
      </c>
      <c r="E1522" s="2968"/>
      <c r="F1522" s="2968">
        <v>3000</v>
      </c>
      <c r="G1522" s="2968" t="s">
        <v>510</v>
      </c>
      <c r="H1522" s="2968"/>
      <c r="I1522" s="2968"/>
      <c r="J1522" s="2968" t="str">
        <f t="shared" si="47"/>
        <v>LCOM800</v>
      </c>
      <c r="K1522" s="2969" t="str">
        <f t="shared" si="46"/>
        <v>LCOM800Lắp đà composite 800mm đơn (KL &lt;=15kg, trụ BTLT, tính = 0.8 đà sắt)</v>
      </c>
    </row>
    <row r="1523" spans="1:11" hidden="1">
      <c r="A1523" s="2969" t="s">
        <v>7053</v>
      </c>
      <c r="B1523" s="3004" t="s">
        <v>5066</v>
      </c>
      <c r="C1523" s="2969" t="s">
        <v>7054</v>
      </c>
      <c r="D1523" s="2968" t="s">
        <v>2433</v>
      </c>
      <c r="E1523" s="2968"/>
      <c r="F1523" s="2968">
        <v>3000</v>
      </c>
      <c r="G1523" s="2968" t="s">
        <v>510</v>
      </c>
      <c r="H1523" s="2968"/>
      <c r="I1523" s="2968"/>
      <c r="J1523" s="2968" t="str">
        <f t="shared" si="47"/>
        <v>LCOM800K</v>
      </c>
      <c r="K1523" s="2969" t="str">
        <f t="shared" si="46"/>
        <v>LCOM800KLắp đà composite 800mm kép (KL &lt;=15kg, trụ BTLT, tính = 0.8 đà sắt)</v>
      </c>
    </row>
    <row r="1524" spans="1:11" hidden="1">
      <c r="A1524" s="2969" t="s">
        <v>5332</v>
      </c>
      <c r="B1524" s="3004" t="s">
        <v>5333</v>
      </c>
      <c r="C1524" s="2969" t="s">
        <v>5334</v>
      </c>
      <c r="D1524" s="2968" t="s">
        <v>2433</v>
      </c>
      <c r="E1524" s="2968"/>
      <c r="F1524" s="2968">
        <v>3000</v>
      </c>
      <c r="G1524" s="2968" t="s">
        <v>510</v>
      </c>
      <c r="H1524" s="2968"/>
      <c r="I1524" s="2968"/>
      <c r="J1524" s="2968" t="str">
        <f t="shared" si="47"/>
        <v>LXTD</v>
      </c>
      <c r="K1524" s="2969" t="str">
        <f t="shared" si="46"/>
        <v>LXTDLắp đặt bộ tháp sắt (78kg)</v>
      </c>
    </row>
    <row r="1525" spans="1:11" hidden="1">
      <c r="A1525" s="2969" t="s">
        <v>5335</v>
      </c>
      <c r="B1525" s="3004" t="s">
        <v>5336</v>
      </c>
      <c r="C1525" s="2969" t="s">
        <v>5337</v>
      </c>
      <c r="D1525" s="2968" t="s">
        <v>2433</v>
      </c>
      <c r="E1525" s="2968"/>
      <c r="F1525" s="2968">
        <v>3000</v>
      </c>
      <c r="G1525" s="2968" t="s">
        <v>510</v>
      </c>
      <c r="H1525" s="2968"/>
      <c r="I1525" s="2968"/>
      <c r="J1525" s="2968" t="str">
        <f t="shared" si="47"/>
        <v>LXTG</v>
      </c>
      <c r="K1525" s="2969" t="str">
        <f t="shared" si="46"/>
        <v>LXTGLắp đặt bộ tháp sắt (93kg)</v>
      </c>
    </row>
    <row r="1526" spans="1:11" hidden="1">
      <c r="A1526" s="2969" t="s">
        <v>5189</v>
      </c>
      <c r="B1526" s="3004" t="s">
        <v>5190</v>
      </c>
      <c r="C1526" s="2969" t="s">
        <v>5191</v>
      </c>
      <c r="D1526" s="2968" t="s">
        <v>2433</v>
      </c>
      <c r="E1526" s="2968"/>
      <c r="F1526" s="2968">
        <v>3000</v>
      </c>
      <c r="G1526" s="2968" t="s">
        <v>510</v>
      </c>
      <c r="H1526" s="2968">
        <v>70</v>
      </c>
      <c r="I1526" s="2968"/>
      <c r="J1526" s="2968" t="str">
        <f t="shared" si="47"/>
        <v>LapCD</v>
      </c>
      <c r="K1526" s="2969" t="str">
        <f t="shared" si="46"/>
        <v>LapCDLắp đặt cổ dê, chiều cao &lt;=20m</v>
      </c>
    </row>
    <row r="1527" spans="1:11" hidden="1">
      <c r="A1527" s="2969" t="s">
        <v>5835</v>
      </c>
      <c r="B1527" s="3004" t="s">
        <v>5836</v>
      </c>
      <c r="C1527" s="2969" t="s">
        <v>5837</v>
      </c>
      <c r="D1527" s="2968" t="s">
        <v>2547</v>
      </c>
      <c r="E1527" s="2968"/>
      <c r="F1527" s="2968">
        <v>3000</v>
      </c>
      <c r="G1527" s="2968" t="s">
        <v>510</v>
      </c>
      <c r="H1527" s="2968">
        <v>95</v>
      </c>
      <c r="I1527" s="2968"/>
      <c r="J1527" s="2968" t="str">
        <f t="shared" si="47"/>
        <v>Ldke1pha</v>
      </c>
      <c r="K1527" s="2969" t="str">
        <f t="shared" si="46"/>
        <v>Ldke1phaLắp đặt điện kế 1 pha</v>
      </c>
    </row>
    <row r="1528" spans="1:11" hidden="1">
      <c r="A1528" s="2969" t="s">
        <v>5838</v>
      </c>
      <c r="B1528" s="3004" t="s">
        <v>5839</v>
      </c>
      <c r="C1528" s="2969" t="s">
        <v>5840</v>
      </c>
      <c r="D1528" s="2968" t="s">
        <v>2547</v>
      </c>
      <c r="E1528" s="2968"/>
      <c r="F1528" s="2968">
        <v>3000</v>
      </c>
      <c r="G1528" s="2968" t="s">
        <v>510</v>
      </c>
      <c r="H1528" s="2968"/>
      <c r="I1528" s="2968"/>
      <c r="J1528" s="2968" t="str">
        <f t="shared" si="47"/>
        <v>Ldke3pha</v>
      </c>
      <c r="K1528" s="2969" t="str">
        <f t="shared" si="46"/>
        <v>Ldke3phaLắp đặt điện kế 3 pha</v>
      </c>
    </row>
    <row r="1529" spans="1:11" hidden="1">
      <c r="A1529" s="2969" t="s">
        <v>5841</v>
      </c>
      <c r="B1529" s="3004" t="s">
        <v>5842</v>
      </c>
      <c r="C1529" s="2969" t="s">
        <v>5843</v>
      </c>
      <c r="D1529" s="2968" t="s">
        <v>4075</v>
      </c>
      <c r="E1529" s="2968"/>
      <c r="F1529" s="2968">
        <v>3000</v>
      </c>
      <c r="G1529" s="2968" t="s">
        <v>510</v>
      </c>
      <c r="H1529" s="2968"/>
      <c r="I1529" s="2968"/>
      <c r="J1529" s="2968" t="str">
        <f t="shared" si="47"/>
        <v>Lhopdke</v>
      </c>
      <c r="K1529" s="2969" t="str">
        <f t="shared" si="46"/>
        <v>LhopdkeLắp đặt hộp điện kế</v>
      </c>
    </row>
    <row r="1530" spans="1:11" hidden="1">
      <c r="A1530" s="2969" t="s">
        <v>5850</v>
      </c>
      <c r="B1530" s="3004" t="s">
        <v>5842</v>
      </c>
      <c r="C1530" s="2969" t="s">
        <v>5851</v>
      </c>
      <c r="D1530" s="2968" t="s">
        <v>4075</v>
      </c>
      <c r="E1530" s="2968"/>
      <c r="F1530" s="2968">
        <v>3000</v>
      </c>
      <c r="G1530" s="2968" t="s">
        <v>510</v>
      </c>
      <c r="H1530" s="2968"/>
      <c r="I1530" s="2968"/>
      <c r="J1530" s="2968" t="str">
        <f t="shared" si="47"/>
        <v>Lhopdke2</v>
      </c>
      <c r="K1530" s="2969" t="str">
        <f t="shared" si="46"/>
        <v>Lhopdke2Lắp đặt hộp điện kế (2 hộp điện kế)</v>
      </c>
    </row>
    <row r="1531" spans="1:11" hidden="1">
      <c r="A1531" s="2969" t="s">
        <v>5852</v>
      </c>
      <c r="B1531" s="3004" t="s">
        <v>5842</v>
      </c>
      <c r="C1531" s="2969" t="s">
        <v>5853</v>
      </c>
      <c r="D1531" s="2968" t="s">
        <v>4075</v>
      </c>
      <c r="E1531" s="2968"/>
      <c r="F1531" s="2968">
        <v>3000</v>
      </c>
      <c r="G1531" s="2968" t="s">
        <v>510</v>
      </c>
      <c r="H1531" s="2968"/>
      <c r="I1531" s="2968"/>
      <c r="J1531" s="2968" t="str">
        <f t="shared" si="47"/>
        <v>Lhopdke4</v>
      </c>
      <c r="K1531" s="2969" t="str">
        <f t="shared" si="46"/>
        <v>Lhopdke4Lắp đặt hộp điện kế (4 hộp điện kế)</v>
      </c>
    </row>
    <row r="1532" spans="1:11" hidden="1">
      <c r="A1532" s="2969" t="s">
        <v>7055</v>
      </c>
      <c r="B1532" s="3004" t="s">
        <v>6650</v>
      </c>
      <c r="C1532" s="2969" t="s">
        <v>7056</v>
      </c>
      <c r="D1532" s="2968" t="s">
        <v>853</v>
      </c>
      <c r="E1532" s="2968"/>
      <c r="F1532" s="2968">
        <v>3000</v>
      </c>
      <c r="G1532" s="2968" t="s">
        <v>510</v>
      </c>
      <c r="H1532" s="2968"/>
      <c r="I1532" s="2968"/>
      <c r="J1532" s="2968" t="str">
        <f t="shared" si="47"/>
        <v>LDMC</v>
      </c>
      <c r="K1532" s="2969" t="str">
        <f t="shared" si="46"/>
        <v>LDMCLấp đất mương cáp</v>
      </c>
    </row>
    <row r="1533" spans="1:11" hidden="1">
      <c r="A1533" s="2969" t="s">
        <v>5820</v>
      </c>
      <c r="B1533" s="3004" t="s">
        <v>5821</v>
      </c>
      <c r="C1533" s="2969" t="s">
        <v>5822</v>
      </c>
      <c r="D1533" s="2968" t="s">
        <v>2547</v>
      </c>
      <c r="E1533" s="2968"/>
      <c r="F1533" s="2968">
        <v>3000</v>
      </c>
      <c r="G1533" s="2968" t="s">
        <v>510</v>
      </c>
      <c r="H1533" s="2968"/>
      <c r="I1533" s="2968"/>
      <c r="J1533" s="2968" t="str">
        <f t="shared" si="47"/>
        <v>LTBulonduoiheo</v>
      </c>
      <c r="K1533" s="2969" t="str">
        <f t="shared" si="46"/>
        <v>LTBulonduoiheoLắp đặt và tháo bulon đuôi heo</v>
      </c>
    </row>
    <row r="1534" spans="1:11" hidden="1">
      <c r="A1534" s="2969" t="s">
        <v>5817</v>
      </c>
      <c r="B1534" s="3004" t="s">
        <v>5818</v>
      </c>
      <c r="C1534" s="2969" t="s">
        <v>5819</v>
      </c>
      <c r="D1534" s="2968" t="s">
        <v>2547</v>
      </c>
      <c r="E1534" s="2968"/>
      <c r="F1534" s="2968">
        <v>3000</v>
      </c>
      <c r="G1534" s="2968" t="s">
        <v>510</v>
      </c>
      <c r="H1534" s="2968"/>
      <c r="I1534" s="2968"/>
      <c r="J1534" s="2968" t="str">
        <f t="shared" si="47"/>
        <v>LTkepdung120</v>
      </c>
      <c r="K1534" s="2969" t="str">
        <f t="shared" si="46"/>
        <v>LTkepdung120Lắp đặt và tháo kẹp dừng cáp ABC có tiết diện &lt;=120mm2</v>
      </c>
    </row>
    <row r="1535" spans="1:11" hidden="1">
      <c r="A1535" s="2969" t="s">
        <v>5814</v>
      </c>
      <c r="B1535" s="3004" t="s">
        <v>5815</v>
      </c>
      <c r="C1535" s="2969" t="s">
        <v>5816</v>
      </c>
      <c r="D1535" s="2968" t="s">
        <v>2547</v>
      </c>
      <c r="E1535" s="2968"/>
      <c r="F1535" s="2968">
        <v>3000</v>
      </c>
      <c r="G1535" s="2968" t="s">
        <v>510</v>
      </c>
      <c r="H1535" s="2968"/>
      <c r="I1535" s="2968"/>
      <c r="J1535" s="2968" t="str">
        <f t="shared" si="47"/>
        <v>LTkepdung70</v>
      </c>
      <c r="K1535" s="2969" t="str">
        <f t="shared" si="46"/>
        <v>LTkepdung70Lắp đặt và tháo kẹp dừng cáp ABC có tiết diện &lt;=70mm2</v>
      </c>
    </row>
    <row r="1536" spans="1:11" hidden="1">
      <c r="A1536" s="2969" t="s">
        <v>5808</v>
      </c>
      <c r="B1536" s="3004" t="s">
        <v>5809</v>
      </c>
      <c r="C1536" s="2969" t="s">
        <v>5810</v>
      </c>
      <c r="D1536" s="2968" t="s">
        <v>2547</v>
      </c>
      <c r="E1536" s="2968"/>
      <c r="F1536" s="2968">
        <v>3000</v>
      </c>
      <c r="G1536" s="2968" t="s">
        <v>510</v>
      </c>
      <c r="H1536" s="2968"/>
      <c r="I1536" s="2968"/>
      <c r="J1536" s="2968" t="str">
        <f t="shared" si="47"/>
        <v>Lthotline</v>
      </c>
      <c r="K1536" s="2969" t="str">
        <f t="shared" si="46"/>
        <v>LthotlineLắp đặt và tháo kẹp hotline</v>
      </c>
    </row>
    <row r="1537" spans="1:11" hidden="1">
      <c r="A1537" s="2969" t="s">
        <v>5811</v>
      </c>
      <c r="B1537" s="3004" t="s">
        <v>5812</v>
      </c>
      <c r="C1537" s="2969" t="s">
        <v>5813</v>
      </c>
      <c r="D1537" s="2968" t="s">
        <v>2547</v>
      </c>
      <c r="E1537" s="2968"/>
      <c r="F1537" s="2968">
        <v>3000</v>
      </c>
      <c r="G1537" s="2968" t="s">
        <v>510</v>
      </c>
      <c r="H1537" s="2968"/>
      <c r="I1537" s="2968"/>
      <c r="J1537" s="2968" t="str">
        <f t="shared" si="47"/>
        <v>LTIPC</v>
      </c>
      <c r="K1537" s="2969" t="str">
        <f t="shared" si="46"/>
        <v>LTIPCLắp đặt và tháo kẹp IPC</v>
      </c>
    </row>
    <row r="1538" spans="1:11" hidden="1">
      <c r="A1538" s="2969" t="s">
        <v>5805</v>
      </c>
      <c r="B1538" s="3004" t="s">
        <v>5806</v>
      </c>
      <c r="C1538" s="2969" t="s">
        <v>5807</v>
      </c>
      <c r="D1538" s="2968" t="s">
        <v>2547</v>
      </c>
      <c r="E1538" s="2968"/>
      <c r="F1538" s="2968">
        <v>3000</v>
      </c>
      <c r="G1538" s="2968" t="s">
        <v>510</v>
      </c>
      <c r="H1538" s="2968"/>
      <c r="I1538" s="2968"/>
      <c r="J1538" s="2968" t="str">
        <f t="shared" si="47"/>
        <v>Ltkepquai</v>
      </c>
      <c r="K1538" s="2969" t="str">
        <f t="shared" si="46"/>
        <v>LtkepquaiLắp đặt và tháo kẹp quai</v>
      </c>
    </row>
    <row r="1539" spans="1:11" hidden="1">
      <c r="A1539" s="2969" t="s">
        <v>7057</v>
      </c>
      <c r="B1539" s="3004" t="s">
        <v>5316</v>
      </c>
      <c r="C1539" s="2969" t="s">
        <v>7058</v>
      </c>
      <c r="D1539" s="2968" t="s">
        <v>2433</v>
      </c>
      <c r="E1539" s="2968"/>
      <c r="F1539" s="2968">
        <v>3000</v>
      </c>
      <c r="G1539" s="2968" t="s">
        <v>510</v>
      </c>
      <c r="H1539" s="2968"/>
      <c r="I1539" s="2968"/>
      <c r="J1539" s="2968" t="str">
        <f t="shared" si="47"/>
        <v>LXU160-22D</v>
      </c>
      <c r="K1539" s="2969" t="str">
        <f t="shared" ref="K1539:K1602" si="48">A1539&amp;C1539</f>
        <v>LXU160-22DLắp đặt xà tháp U160x68x5x2200 đơn cột đỡ (29,759 kg/bộ)</v>
      </c>
    </row>
    <row r="1540" spans="1:11" hidden="1">
      <c r="A1540" s="2969" t="s">
        <v>7059</v>
      </c>
      <c r="B1540" s="3004" t="s">
        <v>6587</v>
      </c>
      <c r="C1540" s="2969" t="s">
        <v>7060</v>
      </c>
      <c r="D1540" s="2968" t="s">
        <v>2433</v>
      </c>
      <c r="E1540" s="2968"/>
      <c r="F1540" s="2968">
        <v>3000</v>
      </c>
      <c r="G1540" s="2968" t="s">
        <v>510</v>
      </c>
      <c r="H1540" s="2968"/>
      <c r="I1540" s="2968"/>
      <c r="J1540" s="2968" t="str">
        <f t="shared" ref="J1540:J1603" si="49">A1540</f>
        <v>LXU160-22K</v>
      </c>
      <c r="K1540" s="2969" t="str">
        <f t="shared" si="48"/>
        <v>LXU160-22KLắp đặt xà tháp U160x68x5x2200 kép cột đỡ (76,74 kg/bộ)</v>
      </c>
    </row>
    <row r="1541" spans="1:11" hidden="1">
      <c r="A1541" s="2969" t="s">
        <v>7061</v>
      </c>
      <c r="B1541" s="3004" t="s">
        <v>6557</v>
      </c>
      <c r="C1541" s="2969" t="s">
        <v>7062</v>
      </c>
      <c r="D1541" s="2968" t="s">
        <v>2433</v>
      </c>
      <c r="E1541" s="2968"/>
      <c r="F1541" s="2968">
        <v>3000</v>
      </c>
      <c r="G1541" s="2968" t="s">
        <v>510</v>
      </c>
      <c r="H1541" s="2968"/>
      <c r="I1541" s="2968"/>
      <c r="J1541" s="2968" t="str">
        <f t="shared" si="49"/>
        <v>LX1660D</v>
      </c>
      <c r="K1541" s="2969" t="str">
        <f t="shared" si="48"/>
        <v>LX1660DLắp đặt xà thép L75x75x8x1660 đơn cột đỡ (26,5504 kg/bộ)</v>
      </c>
    </row>
    <row r="1542" spans="1:11" hidden="1">
      <c r="A1542" s="2969" t="s">
        <v>7063</v>
      </c>
      <c r="B1542" s="3004" t="s">
        <v>5307</v>
      </c>
      <c r="C1542" s="2969" t="s">
        <v>7064</v>
      </c>
      <c r="D1542" s="2968" t="s">
        <v>2433</v>
      </c>
      <c r="E1542" s="2968"/>
      <c r="F1542" s="2968">
        <v>3000</v>
      </c>
      <c r="G1542" s="2968" t="s">
        <v>510</v>
      </c>
      <c r="H1542" s="2968"/>
      <c r="I1542" s="2968"/>
      <c r="J1542" s="2968" t="str">
        <f t="shared" si="49"/>
        <v>LX1660K</v>
      </c>
      <c r="K1542" s="2969" t="str">
        <f t="shared" si="48"/>
        <v>LX1660KLắp đặt xà thép L75x75x8x1660 kép cột đỡ (51,5748 kg/bộ)</v>
      </c>
    </row>
    <row r="1543" spans="1:11" hidden="1">
      <c r="A1543" s="2969" t="s">
        <v>7065</v>
      </c>
      <c r="B1543" s="3004" t="s">
        <v>5310</v>
      </c>
      <c r="C1543" s="2969" t="s">
        <v>7066</v>
      </c>
      <c r="D1543" s="2968" t="s">
        <v>2433</v>
      </c>
      <c r="E1543" s="2968"/>
      <c r="F1543" s="2968">
        <v>3000</v>
      </c>
      <c r="G1543" s="2968" t="s">
        <v>510</v>
      </c>
      <c r="H1543" s="2968"/>
      <c r="I1543" s="2968"/>
      <c r="J1543" s="2968" t="str">
        <f t="shared" si="49"/>
        <v>LX2000D</v>
      </c>
      <c r="K1543" s="2969" t="str">
        <f t="shared" si="48"/>
        <v>LX2000DLắp đặt xà thép L75x75x8x2000 đơn cột đỡ (25,356 kg/bộ)</v>
      </c>
    </row>
    <row r="1544" spans="1:11" hidden="1">
      <c r="A1544" s="2969" t="s">
        <v>7067</v>
      </c>
      <c r="B1544" s="3004" t="s">
        <v>5313</v>
      </c>
      <c r="C1544" s="2969" t="s">
        <v>7068</v>
      </c>
      <c r="D1544" s="2968" t="s">
        <v>2433</v>
      </c>
      <c r="E1544" s="2968"/>
      <c r="F1544" s="2968">
        <v>3000</v>
      </c>
      <c r="G1544" s="2968" t="s">
        <v>510</v>
      </c>
      <c r="H1544" s="2968"/>
      <c r="I1544" s="2968"/>
      <c r="J1544" s="2968" t="str">
        <f t="shared" si="49"/>
        <v>LX2000K</v>
      </c>
      <c r="K1544" s="2969" t="str">
        <f t="shared" si="48"/>
        <v>LX2000KLắp đặt xà thép L75x75x8x2000 kép cột đỡ (50,7514 kg/bộ)</v>
      </c>
    </row>
    <row r="1545" spans="1:11" hidden="1">
      <c r="A1545" s="2969" t="s">
        <v>7069</v>
      </c>
      <c r="B1545" s="3004" t="s">
        <v>5319</v>
      </c>
      <c r="C1545" s="2969" t="s">
        <v>7070</v>
      </c>
      <c r="D1545" s="2968" t="s">
        <v>2433</v>
      </c>
      <c r="E1545" s="2968"/>
      <c r="F1545" s="2968">
        <v>3000</v>
      </c>
      <c r="G1545" s="2968" t="s">
        <v>510</v>
      </c>
      <c r="H1545" s="2968"/>
      <c r="I1545" s="2968"/>
      <c r="J1545" s="2968" t="str">
        <f t="shared" si="49"/>
        <v>LX2100D</v>
      </c>
      <c r="K1545" s="2969" t="str">
        <f t="shared" si="48"/>
        <v>LX2100DLắp đặt xà thép L75x75x8x2100 đơn cột đỡ (29,4245 kg/bộ)</v>
      </c>
    </row>
    <row r="1546" spans="1:11" hidden="1">
      <c r="A1546" s="2969" t="s">
        <v>7071</v>
      </c>
      <c r="B1546" s="3004" t="s">
        <v>5322</v>
      </c>
      <c r="C1546" s="2969" t="s">
        <v>7072</v>
      </c>
      <c r="D1546" s="2968" t="s">
        <v>2433</v>
      </c>
      <c r="E1546" s="2968"/>
      <c r="F1546" s="2968">
        <v>3000</v>
      </c>
      <c r="G1546" s="2968" t="s">
        <v>510</v>
      </c>
      <c r="H1546" s="2968"/>
      <c r="I1546" s="2968"/>
      <c r="J1546" s="2968" t="str">
        <f t="shared" si="49"/>
        <v>LX2100K</v>
      </c>
      <c r="K1546" s="2969" t="str">
        <f t="shared" si="48"/>
        <v>LX2100KLắp đặt xà thép L75x75x8x2100 kép cột đỡ (58,889 kg/bộ)</v>
      </c>
    </row>
    <row r="1547" spans="1:11" hidden="1">
      <c r="A1547" s="2969" t="s">
        <v>7073</v>
      </c>
      <c r="B1547" s="3004" t="s">
        <v>5316</v>
      </c>
      <c r="C1547" s="2969" t="s">
        <v>7074</v>
      </c>
      <c r="D1547" s="2968" t="s">
        <v>2433</v>
      </c>
      <c r="E1547" s="2968"/>
      <c r="F1547" s="2968">
        <v>3000</v>
      </c>
      <c r="G1547" s="2968" t="s">
        <v>510</v>
      </c>
      <c r="H1547" s="2968"/>
      <c r="I1547" s="2968"/>
      <c r="J1547" s="2968" t="str">
        <f t="shared" si="49"/>
        <v>LX2200D</v>
      </c>
      <c r="K1547" s="2969" t="str">
        <f t="shared" si="48"/>
        <v>LX2200DLắp đặt xà thép L75x75x8x2200 đơn cột đỡ (29,759 kg/bộ)</v>
      </c>
    </row>
    <row r="1548" spans="1:11" hidden="1">
      <c r="A1548" s="2969" t="s">
        <v>7075</v>
      </c>
      <c r="B1548" s="3004" t="s">
        <v>7076</v>
      </c>
      <c r="C1548" s="2969" t="s">
        <v>7077</v>
      </c>
      <c r="D1548" s="2968" t="s">
        <v>2433</v>
      </c>
      <c r="E1548" s="2968"/>
      <c r="F1548" s="2968">
        <v>3000</v>
      </c>
      <c r="G1548" s="2968" t="s">
        <v>510</v>
      </c>
      <c r="H1548" s="2968"/>
      <c r="I1548" s="2968"/>
      <c r="J1548" s="2968" t="str">
        <f t="shared" si="49"/>
        <v>LX2200K</v>
      </c>
      <c r="K1548" s="2969" t="str">
        <f t="shared" si="48"/>
        <v>LX2200KLắp đặt xà thép L75x75x8x2200 kép cột néo (58,628 kg/bộ)</v>
      </c>
    </row>
    <row r="1549" spans="1:11" hidden="1">
      <c r="A1549" s="2969" t="s">
        <v>7078</v>
      </c>
      <c r="B1549" s="3004" t="s">
        <v>6621</v>
      </c>
      <c r="C1549" s="2969" t="s">
        <v>7079</v>
      </c>
      <c r="D1549" s="2968" t="s">
        <v>2433</v>
      </c>
      <c r="E1549" s="2968"/>
      <c r="F1549" s="2968">
        <v>3000</v>
      </c>
      <c r="G1549" s="2968" t="s">
        <v>510</v>
      </c>
      <c r="H1549" s="2968"/>
      <c r="I1549" s="2968"/>
      <c r="J1549" s="2968" t="str">
        <f t="shared" si="49"/>
        <v>LX2600DPI0</v>
      </c>
      <c r="K1549" s="2969" t="str">
        <f t="shared" si="48"/>
        <v>LX2600DPI0Lắp đặt xà thép L75x75x8x2600 đơn (0 ốp) trụ PI (24,452 kg/bộ)</v>
      </c>
    </row>
    <row r="1550" spans="1:11" hidden="1">
      <c r="A1550" s="2969" t="s">
        <v>7080</v>
      </c>
      <c r="B1550" s="3004" t="s">
        <v>7081</v>
      </c>
      <c r="C1550" s="2969" t="s">
        <v>7082</v>
      </c>
      <c r="D1550" s="2968" t="s">
        <v>2433</v>
      </c>
      <c r="E1550" s="2968"/>
      <c r="F1550" s="2968">
        <v>3000</v>
      </c>
      <c r="G1550" s="2968" t="s">
        <v>510</v>
      </c>
      <c r="H1550" s="2968"/>
      <c r="I1550" s="2968"/>
      <c r="J1550" s="2968" t="str">
        <f t="shared" si="49"/>
        <v>LX2600DPI3</v>
      </c>
      <c r="K1550" s="2969" t="str">
        <f t="shared" si="48"/>
        <v>LX2600DPI3Lắp đặt xà thép L75x75x8x2600 đơn (3 ốp) trụ PI (26,35 kg/bộ)</v>
      </c>
    </row>
    <row r="1551" spans="1:11" hidden="1">
      <c r="A1551" s="2969" t="s">
        <v>7083</v>
      </c>
      <c r="B1551" s="3004" t="s">
        <v>5316</v>
      </c>
      <c r="C1551" s="2969" t="s">
        <v>7084</v>
      </c>
      <c r="D1551" s="2968" t="s">
        <v>2433</v>
      </c>
      <c r="E1551" s="2968"/>
      <c r="F1551" s="2968">
        <v>3000</v>
      </c>
      <c r="G1551" s="2968" t="s">
        <v>510</v>
      </c>
      <c r="H1551" s="2968"/>
      <c r="I1551" s="2968"/>
      <c r="J1551" s="2968" t="str">
        <f t="shared" si="49"/>
        <v>LX2600D</v>
      </c>
      <c r="K1551" s="2969" t="str">
        <f t="shared" si="48"/>
        <v>LX2600DLắp đặt xà thép L75x75x8x2600 đơn cột đỡ (29,759 kg/bộ)</v>
      </c>
    </row>
    <row r="1552" spans="1:11" hidden="1">
      <c r="A1552" s="2969" t="s">
        <v>7085</v>
      </c>
      <c r="B1552" s="3004" t="s">
        <v>6557</v>
      </c>
      <c r="C1552" s="2969" t="s">
        <v>7086</v>
      </c>
      <c r="D1552" s="2968" t="s">
        <v>2433</v>
      </c>
      <c r="E1552" s="2968"/>
      <c r="F1552" s="2968">
        <v>3000</v>
      </c>
      <c r="G1552" s="2968" t="s">
        <v>510</v>
      </c>
      <c r="H1552" s="2968"/>
      <c r="I1552" s="2968"/>
      <c r="J1552" s="2968" t="str">
        <f t="shared" si="49"/>
        <v>LX800D</v>
      </c>
      <c r="K1552" s="2969" t="str">
        <f t="shared" si="48"/>
        <v>LX800DLắp đặt xà thép L75x75x8x800 đơn cột đỡ (13,5504 kg/bộ)</v>
      </c>
    </row>
    <row r="1553" spans="1:11" hidden="1">
      <c r="A1553" s="2969" t="s">
        <v>7087</v>
      </c>
      <c r="B1553" s="3004" t="s">
        <v>5307</v>
      </c>
      <c r="C1553" s="2969" t="s">
        <v>7088</v>
      </c>
      <c r="D1553" s="2968" t="s">
        <v>2433</v>
      </c>
      <c r="E1553" s="2968"/>
      <c r="F1553" s="2968">
        <v>3000</v>
      </c>
      <c r="G1553" s="2968" t="s">
        <v>510</v>
      </c>
      <c r="H1553" s="2968"/>
      <c r="I1553" s="2968"/>
      <c r="J1553" s="2968" t="str">
        <f t="shared" si="49"/>
        <v>LX800K</v>
      </c>
      <c r="K1553" s="2969" t="str">
        <f t="shared" si="48"/>
        <v>LX800KLắp đặt xà thép L75x75x8x800 kép cột đỡ (26,55 kg/bộ)</v>
      </c>
    </row>
    <row r="1554" spans="1:11" hidden="1">
      <c r="A1554" s="2969" t="s">
        <v>307</v>
      </c>
      <c r="B1554" s="2986" t="s">
        <v>1773</v>
      </c>
      <c r="C1554" s="3012" t="s">
        <v>3167</v>
      </c>
      <c r="D1554" s="2968" t="s">
        <v>2547</v>
      </c>
      <c r="E1554" s="2968"/>
      <c r="F1554" s="2968">
        <v>3000</v>
      </c>
      <c r="G1554" s="2968" t="s">
        <v>510</v>
      </c>
      <c r="H1554" s="2968"/>
      <c r="I1554" s="2968"/>
      <c r="J1554" s="2968" t="str">
        <f t="shared" si="49"/>
        <v>LDAUCAP120HT</v>
      </c>
      <c r="K1554" s="2969" t="str">
        <f t="shared" si="48"/>
        <v>LDAUCAP120HTLắp đầu cáp hạ thế 3x120mm2, 95mm2</v>
      </c>
    </row>
    <row r="1555" spans="1:11" hidden="1">
      <c r="A1555" s="2969" t="s">
        <v>308</v>
      </c>
      <c r="B1555" s="2986" t="s">
        <v>148</v>
      </c>
      <c r="C1555" s="3012" t="s">
        <v>3168</v>
      </c>
      <c r="D1555" s="2968" t="s">
        <v>2547</v>
      </c>
      <c r="E1555" s="2968"/>
      <c r="F1555" s="2968">
        <v>3000</v>
      </c>
      <c r="G1555" s="2968" t="s">
        <v>510</v>
      </c>
      <c r="H1555" s="2968"/>
      <c r="I1555" s="2968"/>
      <c r="J1555" s="2968" t="str">
        <f t="shared" si="49"/>
        <v>LDAUCAP185HT</v>
      </c>
      <c r="K1555" s="2969" t="str">
        <f t="shared" si="48"/>
        <v>LDAUCAP185HTLắp đầu cáp hạ thế 3x150mm2, 185mm2</v>
      </c>
    </row>
    <row r="1556" spans="1:11" hidden="1">
      <c r="A1556" s="2969" t="s">
        <v>5384</v>
      </c>
      <c r="B1556" s="3004" t="s">
        <v>1773</v>
      </c>
      <c r="C1556" s="2969" t="s">
        <v>5385</v>
      </c>
      <c r="D1556" s="2968" t="s">
        <v>2547</v>
      </c>
      <c r="E1556" s="2968"/>
      <c r="F1556" s="2968">
        <v>3000</v>
      </c>
      <c r="G1556" s="2968" t="s">
        <v>510</v>
      </c>
      <c r="H1556" s="2968">
        <v>95</v>
      </c>
      <c r="I1556" s="2968"/>
      <c r="J1556" s="2968" t="str">
        <f t="shared" si="49"/>
        <v>LDAUCAP150HT</v>
      </c>
      <c r="K1556" s="2969" t="str">
        <f t="shared" si="48"/>
        <v>LDAUCAP150HTLắp đầu cáp hạ thế 3x150mm2, 95mm2</v>
      </c>
    </row>
    <row r="1557" spans="1:11" hidden="1">
      <c r="A1557" s="2969" t="s">
        <v>306</v>
      </c>
      <c r="B1557" s="2986" t="s">
        <v>549</v>
      </c>
      <c r="C1557" s="3012" t="s">
        <v>3166</v>
      </c>
      <c r="D1557" s="2968" t="s">
        <v>2547</v>
      </c>
      <c r="E1557" s="2968"/>
      <c r="F1557" s="2968">
        <v>3000</v>
      </c>
      <c r="G1557" s="2968" t="s">
        <v>510</v>
      </c>
      <c r="H1557" s="2968"/>
      <c r="I1557" s="2968"/>
      <c r="J1557" s="2968" t="str">
        <f t="shared" si="49"/>
        <v>LDAUCAP70HT</v>
      </c>
      <c r="K1557" s="2969" t="str">
        <f t="shared" si="48"/>
        <v>LDAUCAP70HTLắp đầu cáp hạ thế 3x50mm2, 70mm2</v>
      </c>
    </row>
    <row r="1558" spans="1:11" hidden="1">
      <c r="A1558" s="2969" t="s">
        <v>593</v>
      </c>
      <c r="B1558" s="3004" t="s">
        <v>594</v>
      </c>
      <c r="C1558" s="3012" t="s">
        <v>3639</v>
      </c>
      <c r="D1558" s="2968" t="s">
        <v>2433</v>
      </c>
      <c r="E1558" s="2968"/>
      <c r="F1558" s="2968">
        <v>3000</v>
      </c>
      <c r="G1558" s="2968" t="s">
        <v>510</v>
      </c>
      <c r="H1558" s="2968"/>
      <c r="I1558" s="2968"/>
      <c r="J1558" s="2968" t="str">
        <f t="shared" si="49"/>
        <v>LDAUCAPCS</v>
      </c>
      <c r="K1558" s="2969" t="str">
        <f t="shared" si="48"/>
        <v>LDAUCAPCSLắp đầu cáp ngầm chiếu sáng</v>
      </c>
    </row>
    <row r="1559" spans="1:11" hidden="1">
      <c r="A1559" s="2969" t="s">
        <v>1584</v>
      </c>
      <c r="B1559" s="2986" t="s">
        <v>40</v>
      </c>
      <c r="C1559" s="3012" t="s">
        <v>3164</v>
      </c>
      <c r="D1559" s="2968" t="s">
        <v>2547</v>
      </c>
      <c r="E1559" s="2968"/>
      <c r="F1559" s="2968">
        <v>3000</v>
      </c>
      <c r="G1559" s="2968" t="s">
        <v>510</v>
      </c>
      <c r="H1559" s="2968"/>
      <c r="I1559" s="2968"/>
      <c r="J1559" s="2968" t="str">
        <f t="shared" si="49"/>
        <v>LDAUCAP120</v>
      </c>
      <c r="K1559" s="2969" t="str">
        <f t="shared" si="48"/>
        <v>LDAUCAP120Lắp đầu cáp trung thế 3x120mm2, 95mm2</v>
      </c>
    </row>
    <row r="1560" spans="1:11" hidden="1">
      <c r="A1560" s="2969" t="s">
        <v>39</v>
      </c>
      <c r="B1560" s="2986" t="s">
        <v>938</v>
      </c>
      <c r="C1560" s="3012" t="s">
        <v>3165</v>
      </c>
      <c r="D1560" s="2968" t="s">
        <v>2547</v>
      </c>
      <c r="E1560" s="2968"/>
      <c r="F1560" s="2968">
        <v>3000</v>
      </c>
      <c r="G1560" s="2968" t="s">
        <v>510</v>
      </c>
      <c r="H1560" s="2968"/>
      <c r="I1560" s="2968"/>
      <c r="J1560" s="2968" t="str">
        <f t="shared" si="49"/>
        <v>LDAUCAP185</v>
      </c>
      <c r="K1560" s="2969" t="str">
        <f t="shared" si="48"/>
        <v>LDAUCAP185Lắp đầu cáp trung thế 3x150mm2, 185mm2</v>
      </c>
    </row>
    <row r="1561" spans="1:11" hidden="1">
      <c r="A1561" s="2969" t="s">
        <v>1585</v>
      </c>
      <c r="B1561" s="2986" t="s">
        <v>1586</v>
      </c>
      <c r="C1561" s="3012" t="s">
        <v>3163</v>
      </c>
      <c r="D1561" s="2968" t="s">
        <v>2547</v>
      </c>
      <c r="E1561" s="2968"/>
      <c r="F1561" s="2968">
        <v>3000</v>
      </c>
      <c r="G1561" s="2968" t="s">
        <v>510</v>
      </c>
      <c r="H1561" s="2968"/>
      <c r="I1561" s="2968"/>
      <c r="J1561" s="2968" t="str">
        <f t="shared" si="49"/>
        <v>LDAUCAP70</v>
      </c>
      <c r="K1561" s="2969" t="str">
        <f t="shared" si="48"/>
        <v>LDAUCAP70Lắp đầu cáp trung thế 3x50mm2, 70mm2</v>
      </c>
    </row>
    <row r="1562" spans="1:11" hidden="1">
      <c r="A1562" s="2969" t="s">
        <v>5377</v>
      </c>
      <c r="B1562" s="3004" t="s">
        <v>5378</v>
      </c>
      <c r="C1562" s="2969" t="s">
        <v>3163</v>
      </c>
      <c r="D1562" s="2968" t="s">
        <v>2547</v>
      </c>
      <c r="E1562" s="2968"/>
      <c r="F1562" s="2968">
        <v>3000</v>
      </c>
      <c r="G1562" s="2968" t="s">
        <v>510</v>
      </c>
      <c r="H1562" s="2968"/>
      <c r="I1562" s="2968"/>
      <c r="J1562" s="2968" t="str">
        <f t="shared" si="49"/>
        <v>LDAUCAP70tram</v>
      </c>
      <c r="K1562" s="2969" t="str">
        <f t="shared" si="48"/>
        <v>LDAUCAP70tramLắp đầu cáp trung thế 3x50mm2, 70mm2</v>
      </c>
    </row>
    <row r="1563" spans="1:11" hidden="1">
      <c r="A1563" s="2969" t="s">
        <v>1796</v>
      </c>
      <c r="B1563" s="3004" t="s">
        <v>1798</v>
      </c>
      <c r="C1563" s="2969" t="s">
        <v>3631</v>
      </c>
      <c r="D1563" s="2968" t="s">
        <v>2526</v>
      </c>
      <c r="E1563" s="2968"/>
      <c r="F1563" s="2968">
        <v>3000</v>
      </c>
      <c r="G1563" s="2968" t="s">
        <v>510</v>
      </c>
      <c r="H1563" s="2968"/>
      <c r="I1563" s="2968"/>
      <c r="J1563" s="2968" t="str">
        <f t="shared" si="49"/>
        <v>LTD-DEN</v>
      </c>
      <c r="K1563" s="2969" t="str">
        <f t="shared" si="48"/>
        <v>LTD-DENLắp dây tiếp địa CS</v>
      </c>
    </row>
    <row r="1564" spans="1:11" hidden="1">
      <c r="A1564" s="2969" t="s">
        <v>828</v>
      </c>
      <c r="B1564" s="2986" t="s">
        <v>433</v>
      </c>
      <c r="C1564" s="3012" t="s">
        <v>3280</v>
      </c>
      <c r="D1564" s="2968" t="s">
        <v>2547</v>
      </c>
      <c r="E1564" s="2968"/>
      <c r="F1564" s="2968">
        <v>3000</v>
      </c>
      <c r="G1564" s="2968" t="s">
        <v>510</v>
      </c>
      <c r="H1564" s="2968"/>
      <c r="I1564" s="2968"/>
      <c r="J1564" s="2968" t="str">
        <f t="shared" si="49"/>
        <v>LFCO</v>
      </c>
      <c r="K1564" s="2969" t="str">
        <f t="shared" si="48"/>
        <v>LFCOLắp FCO 24KV</v>
      </c>
    </row>
    <row r="1565" spans="1:11" hidden="1">
      <c r="A1565" s="2969" t="s">
        <v>326</v>
      </c>
      <c r="B1565" s="3004" t="s">
        <v>325</v>
      </c>
      <c r="C1565" s="3012" t="s">
        <v>3274</v>
      </c>
      <c r="D1565" s="2968" t="s">
        <v>2433</v>
      </c>
      <c r="E1565" s="2968"/>
      <c r="F1565" s="2968">
        <v>3000</v>
      </c>
      <c r="G1565" s="2968" t="s">
        <v>510</v>
      </c>
      <c r="H1565" s="2968"/>
      <c r="I1565" s="2968"/>
      <c r="J1565" s="2968" t="str">
        <f t="shared" si="49"/>
        <v>LFCOHL</v>
      </c>
      <c r="K1565" s="2969" t="str">
        <f t="shared" si="48"/>
        <v>LFCOHLLắp FCO, LBFCO đường dây 3 pha</v>
      </c>
    </row>
    <row r="1566" spans="1:11" hidden="1">
      <c r="A1566" s="2969" t="s">
        <v>1099</v>
      </c>
      <c r="B1566" s="2986" t="s">
        <v>85</v>
      </c>
      <c r="C1566" s="2969" t="s">
        <v>3058</v>
      </c>
      <c r="D1566" s="2968" t="s">
        <v>2998</v>
      </c>
      <c r="E1566" s="2968"/>
      <c r="F1566" s="2968">
        <v>3000</v>
      </c>
      <c r="G1566" s="2968" t="s">
        <v>510</v>
      </c>
      <c r="H1566" s="2968"/>
      <c r="I1566" s="2968"/>
      <c r="J1566" s="2968" t="str">
        <f t="shared" si="49"/>
        <v>LGACH</v>
      </c>
      <c r="K1566" s="2969" t="str">
        <f t="shared" si="48"/>
        <v>LGACHLắp gạch làm dấu</v>
      </c>
    </row>
    <row r="1567" spans="1:11" hidden="1">
      <c r="A1567" s="2969" t="s">
        <v>2118</v>
      </c>
      <c r="B1567" s="3004" t="s">
        <v>85</v>
      </c>
      <c r="C1567" s="3012" t="s">
        <v>3644</v>
      </c>
      <c r="D1567" s="2968" t="s">
        <v>2998</v>
      </c>
      <c r="E1567" s="2968"/>
      <c r="F1567" s="2968">
        <v>3000</v>
      </c>
      <c r="G1567" s="2968" t="s">
        <v>510</v>
      </c>
      <c r="H1567" s="2968"/>
      <c r="I1567" s="2968"/>
      <c r="J1567" s="2968" t="str">
        <f t="shared" si="49"/>
        <v>LGACH CS</v>
      </c>
      <c r="K1567" s="2969" t="str">
        <f t="shared" si="48"/>
        <v>LGACH CSLắp gạch mương CS (Nhân công đã qui đổi về ĐG chiếu sáng)</v>
      </c>
    </row>
    <row r="1568" spans="1:11" hidden="1">
      <c r="A1568" s="2969" t="s">
        <v>5634</v>
      </c>
      <c r="B1568" s="3004" t="s">
        <v>5343</v>
      </c>
      <c r="C1568" s="2969" t="s">
        <v>7089</v>
      </c>
      <c r="D1568" s="2968" t="s">
        <v>3442</v>
      </c>
      <c r="E1568" s="2968"/>
      <c r="F1568" s="2968">
        <v>3000</v>
      </c>
      <c r="G1568" s="2968" t="s">
        <v>510</v>
      </c>
      <c r="H1568" s="2968"/>
      <c r="I1568" s="2968"/>
      <c r="J1568" s="2968" t="str">
        <f t="shared" si="49"/>
        <v>LGTMBA</v>
      </c>
      <c r="K1568" s="2969" t="str">
        <f t="shared" si="48"/>
        <v>LGTMBALắp Giá chùm treo máy biến áp</v>
      </c>
    </row>
    <row r="1569" spans="1:11" hidden="1">
      <c r="A1569" s="2969" t="s">
        <v>2015</v>
      </c>
      <c r="B1569" s="2986" t="s">
        <v>688</v>
      </c>
      <c r="C1569" s="3012" t="s">
        <v>4335</v>
      </c>
      <c r="D1569" s="2968" t="s">
        <v>2433</v>
      </c>
      <c r="E1569" s="2968"/>
      <c r="F1569" s="2968">
        <v>3000</v>
      </c>
      <c r="G1569" s="2968" t="s">
        <v>510</v>
      </c>
      <c r="H1569" s="2968"/>
      <c r="I1569" s="2968"/>
      <c r="J1569" s="2968" t="str">
        <f t="shared" si="49"/>
        <v>LGIA</v>
      </c>
      <c r="K1569" s="2969" t="str">
        <f t="shared" si="48"/>
        <v>LGIALắp Giá đỡ cáp</v>
      </c>
    </row>
    <row r="1570" spans="1:11" hidden="1">
      <c r="A1570" s="2969" t="s">
        <v>1395</v>
      </c>
      <c r="B1570" s="2986" t="s">
        <v>679</v>
      </c>
      <c r="C1570" s="3012" t="s">
        <v>2520</v>
      </c>
      <c r="D1570" s="2968" t="s">
        <v>2433</v>
      </c>
      <c r="E1570" s="2968"/>
      <c r="F1570" s="2968">
        <v>3000</v>
      </c>
      <c r="G1570" s="2968" t="s">
        <v>510</v>
      </c>
      <c r="H1570" s="2968"/>
      <c r="I1570" s="2968"/>
      <c r="J1570" s="2968" t="str">
        <f t="shared" si="49"/>
        <v>LGFCO</v>
      </c>
      <c r="K1570" s="2969" t="str">
        <f t="shared" si="48"/>
        <v>LGFCOLắp giá đỡ FCO</v>
      </c>
    </row>
    <row r="1571" spans="1:11" hidden="1">
      <c r="A1571" s="2969" t="s">
        <v>4684</v>
      </c>
      <c r="B1571" s="3004" t="s">
        <v>276</v>
      </c>
      <c r="C1571" s="2969" t="s">
        <v>4685</v>
      </c>
      <c r="D1571" s="2968" t="s">
        <v>2436</v>
      </c>
      <c r="E1571" s="2968"/>
      <c r="F1571" s="2968">
        <v>3000</v>
      </c>
      <c r="G1571" s="2968" t="s">
        <v>510</v>
      </c>
      <c r="H1571" s="2968"/>
      <c r="I1571" s="2968"/>
      <c r="J1571" s="2968" t="str">
        <f t="shared" si="49"/>
        <v>LapGTMBA</v>
      </c>
      <c r="K1571" s="2969" t="str">
        <f t="shared" si="48"/>
        <v>LapGTMBALắp giá treo máy biến áp</v>
      </c>
    </row>
    <row r="1572" spans="1:11" hidden="1">
      <c r="A1572" s="2969" t="s">
        <v>5577</v>
      </c>
      <c r="B1572" s="3004" t="s">
        <v>58</v>
      </c>
      <c r="C1572" s="2969" t="s">
        <v>5578</v>
      </c>
      <c r="D1572" s="2968" t="s">
        <v>2547</v>
      </c>
      <c r="E1572" s="2968"/>
      <c r="F1572" s="2968">
        <v>3000</v>
      </c>
      <c r="G1572" s="2968" t="s">
        <v>510</v>
      </c>
      <c r="H1572" s="2968"/>
      <c r="I1572" s="2968"/>
      <c r="J1572" s="2968" t="str">
        <f t="shared" si="49"/>
        <v>Hcongto</v>
      </c>
      <c r="K1572" s="2969" t="str">
        <f t="shared" si="48"/>
        <v>HcongtoLắp hộp công tơ</v>
      </c>
    </row>
    <row r="1573" spans="1:11" hidden="1">
      <c r="A1573" s="2969" t="s">
        <v>5381</v>
      </c>
      <c r="B1573" s="3004" t="s">
        <v>5382</v>
      </c>
      <c r="C1573" s="2969" t="s">
        <v>5383</v>
      </c>
      <c r="D1573" s="2968" t="s">
        <v>2547</v>
      </c>
      <c r="E1573" s="2968"/>
      <c r="F1573" s="2968">
        <v>3000</v>
      </c>
      <c r="G1573" s="2968" t="s">
        <v>510</v>
      </c>
      <c r="H1573" s="2968"/>
      <c r="I1573" s="2968"/>
      <c r="J1573" s="2968" t="str">
        <f t="shared" si="49"/>
        <v>LHOPNOI70</v>
      </c>
      <c r="K1573" s="2969" t="str">
        <f t="shared" si="48"/>
        <v>LHOPNOI70Lắp hộp nối cáp trung thế 3x50mm2, 70mm2</v>
      </c>
    </row>
    <row r="1574" spans="1:11" hidden="1">
      <c r="A1574" s="2969" t="s">
        <v>2119</v>
      </c>
      <c r="B1574" s="3004" t="s">
        <v>1451</v>
      </c>
      <c r="C1574" s="3012" t="s">
        <v>3057</v>
      </c>
      <c r="D1574" s="2968" t="s">
        <v>2433</v>
      </c>
      <c r="E1574" s="2968"/>
      <c r="F1574" s="2968">
        <v>3000</v>
      </c>
      <c r="G1574" s="2968" t="s">
        <v>510</v>
      </c>
      <c r="H1574" s="2968"/>
      <c r="I1574" s="2968"/>
      <c r="J1574" s="2968" t="str">
        <f t="shared" si="49"/>
        <v>lapkep</v>
      </c>
      <c r="K1574" s="2969" t="str">
        <f t="shared" si="48"/>
        <v>lapkepLắp kẹp các loại</v>
      </c>
    </row>
    <row r="1575" spans="1:11" hidden="1">
      <c r="A1575" s="2969" t="s">
        <v>327</v>
      </c>
      <c r="B1575" s="3004" t="s">
        <v>325</v>
      </c>
      <c r="C1575" s="3012" t="s">
        <v>3275</v>
      </c>
      <c r="D1575" s="2968" t="s">
        <v>2547</v>
      </c>
      <c r="E1575" s="2968"/>
      <c r="F1575" s="2968">
        <v>3000</v>
      </c>
      <c r="G1575" s="2968" t="s">
        <v>510</v>
      </c>
      <c r="H1575" s="2968"/>
      <c r="I1575" s="2968"/>
      <c r="J1575" s="2968" t="str">
        <f t="shared" si="49"/>
        <v>LLAHL</v>
      </c>
      <c r="K1575" s="2969" t="str">
        <f t="shared" si="48"/>
        <v>LLAHLLắp LA</v>
      </c>
    </row>
    <row r="1576" spans="1:11" hidden="1">
      <c r="A1576" s="2969" t="s">
        <v>1394</v>
      </c>
      <c r="B1576" s="2986" t="s">
        <v>433</v>
      </c>
      <c r="C1576" s="3012" t="s">
        <v>3281</v>
      </c>
      <c r="D1576" s="2968" t="s">
        <v>2547</v>
      </c>
      <c r="E1576" s="2968"/>
      <c r="F1576" s="2968">
        <v>3000</v>
      </c>
      <c r="G1576" s="2968" t="s">
        <v>510</v>
      </c>
      <c r="H1576" s="2968"/>
      <c r="I1576" s="2968"/>
      <c r="J1576" s="2968" t="str">
        <f t="shared" si="49"/>
        <v>LLBFCO</v>
      </c>
      <c r="K1576" s="2969" t="str">
        <f t="shared" si="48"/>
        <v>LLBFCOLắp LBFCO 24KV</v>
      </c>
    </row>
    <row r="1577" spans="1:11" hidden="1">
      <c r="A1577" s="2969" t="s">
        <v>659</v>
      </c>
      <c r="B1577" s="2986"/>
      <c r="C1577" s="2969" t="s">
        <v>3059</v>
      </c>
      <c r="D1577" s="2968" t="s">
        <v>853</v>
      </c>
      <c r="E1577" s="2968"/>
      <c r="F1577" s="2968">
        <v>3000</v>
      </c>
      <c r="G1577" s="2968" t="s">
        <v>510</v>
      </c>
      <c r="H1577" s="2968"/>
      <c r="I1577" s="2968"/>
      <c r="J1577" s="2968" t="str">
        <f t="shared" si="49"/>
        <v>LNLON</v>
      </c>
      <c r="K1577" s="2969" t="str">
        <f t="shared" si="48"/>
        <v>LNLONLắp Nylon làm dấu</v>
      </c>
    </row>
    <row r="1578" spans="1:11" hidden="1">
      <c r="A1578" s="2969" t="s">
        <v>5466</v>
      </c>
      <c r="B1578" s="3004" t="s">
        <v>5467</v>
      </c>
      <c r="C1578" s="2969" t="s">
        <v>5468</v>
      </c>
      <c r="D1578" s="2968" t="s">
        <v>2526</v>
      </c>
      <c r="E1578" s="2968"/>
      <c r="F1578" s="2968">
        <v>3000</v>
      </c>
      <c r="G1578" s="2968" t="s">
        <v>510</v>
      </c>
      <c r="H1578" s="2968"/>
      <c r="I1578" s="2968"/>
      <c r="J1578" s="2968" t="str">
        <f t="shared" si="49"/>
        <v>LPVC114cap</v>
      </c>
      <c r="K1578" s="2969" t="str">
        <f t="shared" si="48"/>
        <v>LPVC114capLắp ống nhựa PVC D&lt;=200mm</v>
      </c>
    </row>
    <row r="1579" spans="1:11" hidden="1">
      <c r="A1579" s="2969" t="s">
        <v>957</v>
      </c>
      <c r="B1579" s="2986" t="s">
        <v>958</v>
      </c>
      <c r="C1579" s="3012" t="s">
        <v>3238</v>
      </c>
      <c r="D1579" s="2968" t="s">
        <v>2526</v>
      </c>
      <c r="E1579" s="2968"/>
      <c r="F1579" s="2968">
        <v>3000</v>
      </c>
      <c r="G1579" s="2968" t="s">
        <v>510</v>
      </c>
      <c r="H1579" s="2968"/>
      <c r="I1579" s="2968"/>
      <c r="J1579" s="2968" t="str">
        <f t="shared" si="49"/>
        <v>LPVC114CL</v>
      </c>
      <c r="K1579" s="2969" t="str">
        <f t="shared" si="48"/>
        <v>LPVC114CLLắp ống nhựa PVC D114</v>
      </c>
    </row>
    <row r="1580" spans="1:11" hidden="1">
      <c r="A1580" s="2969" t="s">
        <v>440</v>
      </c>
      <c r="B1580" s="2986" t="s">
        <v>1098</v>
      </c>
      <c r="C1580" s="3012" t="s">
        <v>3239</v>
      </c>
      <c r="D1580" s="2968" t="s">
        <v>2526</v>
      </c>
      <c r="E1580" s="2968"/>
      <c r="F1580" s="2968">
        <v>3000</v>
      </c>
      <c r="G1580" s="2968" t="s">
        <v>510</v>
      </c>
      <c r="H1580" s="2968"/>
      <c r="I1580" s="2968"/>
      <c r="J1580" s="2968" t="str">
        <f t="shared" si="49"/>
        <v>LPVC140CL</v>
      </c>
      <c r="K1580" s="2969" t="str">
        <f t="shared" si="48"/>
        <v>LPVC140CLLắp ống nhựa PVC D140</v>
      </c>
    </row>
    <row r="1581" spans="1:11" hidden="1">
      <c r="A1581" s="2969" t="s">
        <v>7090</v>
      </c>
      <c r="B1581" s="3004"/>
      <c r="C1581" s="2969" t="s">
        <v>7091</v>
      </c>
      <c r="D1581" s="2968" t="s">
        <v>2526</v>
      </c>
      <c r="E1581" s="2968"/>
      <c r="F1581" s="2968">
        <v>3000</v>
      </c>
      <c r="G1581" s="2968" t="s">
        <v>510</v>
      </c>
      <c r="H1581" s="2968"/>
      <c r="I1581" s="2968"/>
      <c r="J1581" s="2968" t="str">
        <f t="shared" si="49"/>
        <v>LPVC168</v>
      </c>
      <c r="K1581" s="2969" t="str">
        <f t="shared" si="48"/>
        <v>LPVC168Lắp ống nhựa PVC D168 (D≤200mm)</v>
      </c>
    </row>
    <row r="1582" spans="1:11" hidden="1">
      <c r="A1582" s="2969" t="s">
        <v>2005</v>
      </c>
      <c r="B1582" s="2986" t="s">
        <v>1098</v>
      </c>
      <c r="C1582" s="3012" t="s">
        <v>3235</v>
      </c>
      <c r="D1582" s="2968" t="s">
        <v>2526</v>
      </c>
      <c r="E1582" s="2968"/>
      <c r="F1582" s="2968">
        <v>3000</v>
      </c>
      <c r="G1582" s="2968" t="s">
        <v>510</v>
      </c>
      <c r="H1582" s="2968"/>
      <c r="I1582" s="2968"/>
      <c r="J1582" s="2968" t="str">
        <f t="shared" si="49"/>
        <v>LPVC42CL</v>
      </c>
      <c r="K1582" s="2969" t="str">
        <f t="shared" si="48"/>
        <v>LPVC42CLLắp ống nhựa PVC D42</v>
      </c>
    </row>
    <row r="1583" spans="1:11" hidden="1">
      <c r="A1583" s="2969" t="s">
        <v>1095</v>
      </c>
      <c r="B1583" s="2986" t="s">
        <v>2097</v>
      </c>
      <c r="C1583" s="3012" t="s">
        <v>3236</v>
      </c>
      <c r="D1583" s="2968" t="s">
        <v>2526</v>
      </c>
      <c r="E1583" s="2968"/>
      <c r="F1583" s="2968">
        <v>3000</v>
      </c>
      <c r="G1583" s="2968" t="s">
        <v>510</v>
      </c>
      <c r="H1583" s="2968"/>
      <c r="I1583" s="2968"/>
      <c r="J1583" s="2968" t="str">
        <f t="shared" si="49"/>
        <v>LPVC60CL</v>
      </c>
      <c r="K1583" s="2969" t="str">
        <f t="shared" si="48"/>
        <v>LPVC60CLLắp ống nhựa PVC D60</v>
      </c>
    </row>
    <row r="1584" spans="1:11" hidden="1">
      <c r="A1584" s="2969" t="s">
        <v>550</v>
      </c>
      <c r="B1584" s="2986" t="s">
        <v>1745</v>
      </c>
      <c r="C1584" s="3012" t="s">
        <v>3237</v>
      </c>
      <c r="D1584" s="2968" t="s">
        <v>2526</v>
      </c>
      <c r="E1584" s="2968"/>
      <c r="F1584" s="2968">
        <v>3000</v>
      </c>
      <c r="G1584" s="2968" t="s">
        <v>510</v>
      </c>
      <c r="H1584" s="2968"/>
      <c r="I1584" s="2968"/>
      <c r="J1584" s="2968" t="str">
        <f t="shared" si="49"/>
        <v>LPVC90CL</v>
      </c>
      <c r="K1584" s="2969" t="str">
        <f t="shared" si="48"/>
        <v>LPVC90CLLắp ống nhựa PVC D90</v>
      </c>
    </row>
    <row r="1585" spans="1:11" hidden="1">
      <c r="A1585" s="2969" t="s">
        <v>1184</v>
      </c>
      <c r="B1585" s="3004" t="s">
        <v>573</v>
      </c>
      <c r="C1585" s="3012" t="s">
        <v>1185</v>
      </c>
      <c r="D1585" s="2968" t="s">
        <v>2526</v>
      </c>
      <c r="E1585" s="2968"/>
      <c r="F1585" s="2968">
        <v>3000</v>
      </c>
      <c r="G1585" s="2968" t="s">
        <v>510</v>
      </c>
      <c r="H1585" s="2968"/>
      <c r="I1585" s="2968"/>
      <c r="J1585" s="2968" t="str">
        <f t="shared" si="49"/>
        <v>LPVC</v>
      </c>
      <c r="K1585" s="2969" t="str">
        <f t="shared" si="48"/>
        <v xml:space="preserve">LPVCLắp ống PVC </v>
      </c>
    </row>
    <row r="1586" spans="1:11" hidden="1">
      <c r="A1586" s="2969" t="s">
        <v>1271</v>
      </c>
      <c r="B1586" s="3004" t="s">
        <v>2097</v>
      </c>
      <c r="C1586" s="3012" t="s">
        <v>3641</v>
      </c>
      <c r="D1586" s="2968" t="s">
        <v>2526</v>
      </c>
      <c r="E1586" s="2968"/>
      <c r="F1586" s="2968">
        <v>3000</v>
      </c>
      <c r="G1586" s="2968" t="s">
        <v>510</v>
      </c>
      <c r="H1586" s="2968"/>
      <c r="I1586" s="2968"/>
      <c r="J1586" s="2968" t="str">
        <f t="shared" si="49"/>
        <v>LPVC60CL CS</v>
      </c>
      <c r="K1586" s="2969" t="str">
        <f t="shared" si="48"/>
        <v>LPVC60CL CSLắp ống PVC D60 (Nhân công đã qui đổi về ĐG chiếu sáng)</v>
      </c>
    </row>
    <row r="1587" spans="1:11" hidden="1">
      <c r="A1587" s="2969" t="s">
        <v>1272</v>
      </c>
      <c r="B1587" s="3004" t="s">
        <v>2098</v>
      </c>
      <c r="C1587" s="3012" t="s">
        <v>3642</v>
      </c>
      <c r="D1587" s="2968" t="s">
        <v>2526</v>
      </c>
      <c r="E1587" s="2968"/>
      <c r="F1587" s="2968">
        <v>3000</v>
      </c>
      <c r="G1587" s="2968" t="s">
        <v>510</v>
      </c>
      <c r="H1587" s="2968"/>
      <c r="I1587" s="2968"/>
      <c r="J1587" s="2968" t="str">
        <f t="shared" si="49"/>
        <v>LPVC90CL CS</v>
      </c>
      <c r="K1587" s="2969" t="str">
        <f t="shared" si="48"/>
        <v>LPVC90CL CSLắp ống PVC D90 (Nhân công đã qui đổi về ĐG chiếu sáng)</v>
      </c>
    </row>
    <row r="1588" spans="1:11" hidden="1">
      <c r="A1588" s="2969" t="s">
        <v>1546</v>
      </c>
      <c r="B1588" s="2986" t="s">
        <v>1900</v>
      </c>
      <c r="C1588" s="3012" t="s">
        <v>3230</v>
      </c>
      <c r="D1588" s="2968" t="s">
        <v>2526</v>
      </c>
      <c r="E1588" s="2968"/>
      <c r="F1588" s="2968">
        <v>3000</v>
      </c>
      <c r="G1588" s="2968" t="s">
        <v>510</v>
      </c>
      <c r="H1588" s="2968"/>
      <c r="I1588" s="2968"/>
      <c r="J1588" s="2968" t="str">
        <f t="shared" si="49"/>
        <v>LSTK100</v>
      </c>
      <c r="K1588" s="2969" t="str">
        <f t="shared" si="48"/>
        <v>LSTK100Lắp ống sắt bảo vệ cáp d&lt;100mm</v>
      </c>
    </row>
    <row r="1589" spans="1:11" hidden="1">
      <c r="A1589" s="2969" t="s">
        <v>409</v>
      </c>
      <c r="B1589" s="2986" t="s">
        <v>1097</v>
      </c>
      <c r="C1589" s="3012" t="s">
        <v>3232</v>
      </c>
      <c r="D1589" s="2968" t="s">
        <v>2526</v>
      </c>
      <c r="E1589" s="2968"/>
      <c r="F1589" s="2968">
        <v>3000</v>
      </c>
      <c r="G1589" s="2968" t="s">
        <v>510</v>
      </c>
      <c r="H1589" s="2968"/>
      <c r="I1589" s="2968"/>
      <c r="J1589" s="2968" t="str">
        <f t="shared" si="49"/>
        <v>LSTK50</v>
      </c>
      <c r="K1589" s="2969" t="str">
        <f t="shared" si="48"/>
        <v>LSTK50Lắp ống sắt bảo vệ cáp d&lt;50mm</v>
      </c>
    </row>
    <row r="1590" spans="1:11" hidden="1">
      <c r="A1590" s="2969" t="s">
        <v>1547</v>
      </c>
      <c r="B1590" s="2986" t="s">
        <v>1096</v>
      </c>
      <c r="C1590" s="3012" t="s">
        <v>3231</v>
      </c>
      <c r="D1590" s="2968" t="s">
        <v>2526</v>
      </c>
      <c r="E1590" s="2968"/>
      <c r="F1590" s="2968">
        <v>3000</v>
      </c>
      <c r="G1590" s="2968" t="s">
        <v>510</v>
      </c>
      <c r="H1590" s="2968"/>
      <c r="I1590" s="2968"/>
      <c r="J1590" s="2968" t="str">
        <f t="shared" si="49"/>
        <v>LSTK70</v>
      </c>
      <c r="K1590" s="2969" t="str">
        <f t="shared" si="48"/>
        <v>LSTK70Lắp ống sắt bảo vệ cáp d&lt;70mm</v>
      </c>
    </row>
    <row r="1591" spans="1:11" hidden="1">
      <c r="A1591" s="2969" t="s">
        <v>410</v>
      </c>
      <c r="B1591" s="2986" t="s">
        <v>1274</v>
      </c>
      <c r="C1591" s="3012" t="s">
        <v>3233</v>
      </c>
      <c r="D1591" s="2968" t="s">
        <v>2526</v>
      </c>
      <c r="E1591" s="2968"/>
      <c r="F1591" s="2968">
        <v>3000</v>
      </c>
      <c r="G1591" s="2968" t="s">
        <v>510</v>
      </c>
      <c r="H1591" s="2968"/>
      <c r="I1591" s="2968"/>
      <c r="J1591" s="2968" t="str">
        <f t="shared" si="49"/>
        <v>LSTK120d</v>
      </c>
      <c r="K1591" s="2969" t="str">
        <f t="shared" si="48"/>
        <v>LSTK120dLắp ống sắt bảo vệ cáp qua đường d&lt;120mm</v>
      </c>
    </row>
    <row r="1592" spans="1:11" hidden="1">
      <c r="A1592" s="2969" t="s">
        <v>489</v>
      </c>
      <c r="B1592" s="2986" t="s">
        <v>1412</v>
      </c>
      <c r="C1592" s="3012" t="s">
        <v>3234</v>
      </c>
      <c r="D1592" s="2968" t="s">
        <v>2526</v>
      </c>
      <c r="E1592" s="2968"/>
      <c r="F1592" s="2968">
        <v>3000</v>
      </c>
      <c r="G1592" s="2968" t="s">
        <v>510</v>
      </c>
      <c r="H1592" s="2968"/>
      <c r="I1592" s="2968"/>
      <c r="J1592" s="2968" t="str">
        <f t="shared" si="49"/>
        <v>LSTK220d</v>
      </c>
      <c r="K1592" s="2969" t="str">
        <f t="shared" si="48"/>
        <v>LSTK220dLắp ống sắt bảo vệ cáp qua đường d&lt;220mm</v>
      </c>
    </row>
    <row r="1593" spans="1:11" hidden="1">
      <c r="A1593" s="2969" t="s">
        <v>1273</v>
      </c>
      <c r="B1593" s="3004" t="s">
        <v>1274</v>
      </c>
      <c r="C1593" s="3012" t="s">
        <v>3643</v>
      </c>
      <c r="D1593" s="2968" t="s">
        <v>2526</v>
      </c>
      <c r="E1593" s="2968"/>
      <c r="F1593" s="2968">
        <v>3000</v>
      </c>
      <c r="G1593" s="2968" t="s">
        <v>510</v>
      </c>
      <c r="H1593" s="2968"/>
      <c r="I1593" s="2968"/>
      <c r="J1593" s="2968" t="str">
        <f t="shared" si="49"/>
        <v>LSTK120d CS</v>
      </c>
      <c r="K1593" s="2969" t="str">
        <f t="shared" si="48"/>
        <v>LSTK120d CSLắp ống sắt d&lt;120mm (Nhân công đã qui đổi về ĐG chiếu sáng)</v>
      </c>
    </row>
    <row r="1594" spans="1:11" hidden="1">
      <c r="A1594" s="2969" t="s">
        <v>5225</v>
      </c>
      <c r="B1594" s="3004" t="s">
        <v>5223</v>
      </c>
      <c r="C1594" s="2969" t="s">
        <v>5226</v>
      </c>
      <c r="D1594" s="2968" t="s">
        <v>2526</v>
      </c>
      <c r="E1594" s="2968"/>
      <c r="F1594" s="2968">
        <v>3000</v>
      </c>
      <c r="G1594" s="2968" t="s">
        <v>510</v>
      </c>
      <c r="H1594" s="2968"/>
      <c r="I1594" s="2968"/>
      <c r="J1594" s="2968" t="str">
        <f t="shared" si="49"/>
        <v>stk168-LAP</v>
      </c>
      <c r="K1594" s="2969" t="str">
        <f t="shared" si="48"/>
        <v>stk168-LAPLắp ống sắt tráng kẽm D168</v>
      </c>
    </row>
    <row r="1595" spans="1:11" hidden="1">
      <c r="A1595" s="2969" t="s">
        <v>125</v>
      </c>
      <c r="B1595" s="2986" t="s">
        <v>126</v>
      </c>
      <c r="C1595" s="3012" t="s">
        <v>3264</v>
      </c>
      <c r="D1595" s="2968" t="s">
        <v>2433</v>
      </c>
      <c r="E1595" s="2968"/>
      <c r="F1595" s="2968">
        <v>3000</v>
      </c>
      <c r="G1595" s="2968" t="s">
        <v>510</v>
      </c>
      <c r="H1595" s="2968"/>
      <c r="I1595" s="2968"/>
      <c r="J1595" s="2968" t="str">
        <f t="shared" si="49"/>
        <v>LR2</v>
      </c>
      <c r="K1595" s="2969" t="str">
        <f t="shared" si="48"/>
        <v>LR2Lắp rack 2 sứ + sứ ống chỉ</v>
      </c>
    </row>
    <row r="1596" spans="1:11" hidden="1">
      <c r="A1596" s="2969" t="s">
        <v>450</v>
      </c>
      <c r="B1596" s="2986" t="s">
        <v>1007</v>
      </c>
      <c r="C1596" s="3012" t="s">
        <v>3265</v>
      </c>
      <c r="D1596" s="2968" t="s">
        <v>2433</v>
      </c>
      <c r="E1596" s="2968"/>
      <c r="F1596" s="2968">
        <v>3000</v>
      </c>
      <c r="G1596" s="2968" t="s">
        <v>510</v>
      </c>
      <c r="H1596" s="2968"/>
      <c r="I1596" s="2968"/>
      <c r="J1596" s="2968" t="str">
        <f t="shared" si="49"/>
        <v>LR3</v>
      </c>
      <c r="K1596" s="2969" t="str">
        <f t="shared" si="48"/>
        <v>LR3Lắp rack 3 sứ + sứ ống chỉ</v>
      </c>
    </row>
    <row r="1597" spans="1:11" hidden="1">
      <c r="A1597" s="2969" t="s">
        <v>686</v>
      </c>
      <c r="B1597" s="2986" t="s">
        <v>1008</v>
      </c>
      <c r="C1597" s="3012" t="s">
        <v>3266</v>
      </c>
      <c r="D1597" s="2968" t="s">
        <v>2433</v>
      </c>
      <c r="E1597" s="2968"/>
      <c r="F1597" s="2968">
        <v>3000</v>
      </c>
      <c r="G1597" s="2968" t="s">
        <v>510</v>
      </c>
      <c r="H1597" s="2968"/>
      <c r="I1597" s="2968"/>
      <c r="J1597" s="2968" t="str">
        <f t="shared" si="49"/>
        <v>LR4</v>
      </c>
      <c r="K1597" s="2969" t="str">
        <f t="shared" si="48"/>
        <v>LR4Lắp rack 4 sứ + sứ ống chỉ</v>
      </c>
    </row>
    <row r="1598" spans="1:11" hidden="1">
      <c r="A1598" s="2969" t="s">
        <v>350</v>
      </c>
      <c r="B1598" s="2986" t="s">
        <v>4273</v>
      </c>
      <c r="C1598" s="3012" t="s">
        <v>3263</v>
      </c>
      <c r="D1598" s="2968" t="s">
        <v>2433</v>
      </c>
      <c r="E1598" s="2968"/>
      <c r="F1598" s="2968">
        <v>3000</v>
      </c>
      <c r="G1598" s="2968" t="s">
        <v>510</v>
      </c>
      <c r="H1598" s="2968"/>
      <c r="I1598" s="2968"/>
      <c r="J1598" s="2968" t="str">
        <f t="shared" si="49"/>
        <v>LSOC</v>
      </c>
      <c r="K1598" s="2969" t="str">
        <f t="shared" si="48"/>
        <v>LSOCLắp rack sứ + sứ ống chỉ</v>
      </c>
    </row>
    <row r="1599" spans="1:11" hidden="1">
      <c r="A1599" s="2969" t="s">
        <v>292</v>
      </c>
      <c r="B1599" s="3004" t="s">
        <v>490</v>
      </c>
      <c r="C1599" s="3012" t="s">
        <v>3638</v>
      </c>
      <c r="D1599" s="2968" t="s">
        <v>2526</v>
      </c>
      <c r="E1599" s="2968"/>
      <c r="F1599" s="2968">
        <v>3000</v>
      </c>
      <c r="G1599" s="2968" t="s">
        <v>510</v>
      </c>
      <c r="H1599" s="2968"/>
      <c r="I1599" s="2968"/>
      <c r="J1599" s="2968" t="str">
        <f t="shared" si="49"/>
        <v>LCAPDEN</v>
      </c>
      <c r="K1599" s="2969" t="str">
        <f t="shared" si="48"/>
        <v>LCAPDENLắp rải cáp ngầm chiếu sáng</v>
      </c>
    </row>
    <row r="1600" spans="1:11" hidden="1">
      <c r="A1600" s="2969" t="s">
        <v>346</v>
      </c>
      <c r="B1600" s="2986" t="s">
        <v>432</v>
      </c>
      <c r="C1600" s="3012" t="s">
        <v>3256</v>
      </c>
      <c r="D1600" s="2968" t="s">
        <v>2433</v>
      </c>
      <c r="E1600" s="2968"/>
      <c r="F1600" s="2968">
        <v>3000</v>
      </c>
      <c r="G1600" s="2968" t="s">
        <v>510</v>
      </c>
      <c r="H1600" s="2968"/>
      <c r="I1600" s="2968"/>
      <c r="J1600" s="2968" t="str">
        <f t="shared" si="49"/>
        <v>LSD</v>
      </c>
      <c r="K1600" s="2969" t="str">
        <f t="shared" si="48"/>
        <v>LSDLắp sứ đứng 24KV</v>
      </c>
    </row>
    <row r="1601" spans="1:11" hidden="1">
      <c r="A1601" s="2969" t="s">
        <v>4605</v>
      </c>
      <c r="B1601" s="3004"/>
      <c r="C1601" s="2969" t="s">
        <v>4606</v>
      </c>
      <c r="D1601" s="2968" t="s">
        <v>2433</v>
      </c>
      <c r="E1601" s="2968"/>
      <c r="F1601" s="2968">
        <v>2000</v>
      </c>
      <c r="G1601" s="2968" t="s">
        <v>510</v>
      </c>
      <c r="H1601" s="2968"/>
      <c r="I1601" s="2968"/>
      <c r="J1601" s="2968" t="str">
        <f t="shared" si="49"/>
        <v>LSDD</v>
      </c>
      <c r="K1601" s="2969" t="str">
        <f t="shared" si="48"/>
        <v>LSDDLắp sứ đứng 24KV + ty</v>
      </c>
    </row>
    <row r="1602" spans="1:11" hidden="1">
      <c r="A1602" s="2969" t="s">
        <v>1180</v>
      </c>
      <c r="B1602" s="2986" t="s">
        <v>922</v>
      </c>
      <c r="C1602" s="3012" t="s">
        <v>3258</v>
      </c>
      <c r="D1602" s="2968" t="s">
        <v>2433</v>
      </c>
      <c r="E1602" s="2968"/>
      <c r="F1602" s="2968">
        <v>3000</v>
      </c>
      <c r="G1602" s="2968" t="s">
        <v>510</v>
      </c>
      <c r="H1602" s="2968"/>
      <c r="I1602" s="2968"/>
      <c r="J1602" s="2968" t="str">
        <f t="shared" si="49"/>
        <v>lsd35</v>
      </c>
      <c r="K1602" s="2969" t="str">
        <f t="shared" si="48"/>
        <v>lsd35Lắp sứ đứng 35KV</v>
      </c>
    </row>
    <row r="1603" spans="1:11" hidden="1">
      <c r="A1603" s="2969" t="s">
        <v>159</v>
      </c>
      <c r="B1603" s="3004" t="s">
        <v>155</v>
      </c>
      <c r="C1603" s="3012" t="s">
        <v>3268</v>
      </c>
      <c r="D1603" s="2968" t="s">
        <v>2433</v>
      </c>
      <c r="E1603" s="2968"/>
      <c r="F1603" s="2968">
        <v>3000</v>
      </c>
      <c r="G1603" s="2968" t="s">
        <v>510</v>
      </c>
      <c r="H1603" s="2968"/>
      <c r="I1603" s="2968"/>
      <c r="J1603" s="2968" t="str">
        <f t="shared" si="49"/>
        <v>LSDHL-DX</v>
      </c>
      <c r="K1603" s="2969" t="str">
        <f t="shared" ref="K1603:K1666" si="50">A1603&amp;C1603</f>
        <v>LSDHL-DXLắp sứ đứng đường dây 3 pha xà đối xứng</v>
      </c>
    </row>
    <row r="1604" spans="1:11" hidden="1">
      <c r="A1604" s="2969" t="s">
        <v>160</v>
      </c>
      <c r="B1604" s="3004" t="s">
        <v>324</v>
      </c>
      <c r="C1604" s="3012" t="s">
        <v>3273</v>
      </c>
      <c r="D1604" s="2968" t="s">
        <v>2433</v>
      </c>
      <c r="E1604" s="2968"/>
      <c r="F1604" s="2968">
        <v>3000</v>
      </c>
      <c r="G1604" s="2968" t="s">
        <v>510</v>
      </c>
      <c r="H1604" s="2968"/>
      <c r="I1604" s="2968"/>
      <c r="J1604" s="2968" t="str">
        <f t="shared" ref="J1604:J1667" si="51">A1604</f>
        <v>LSDHL-V</v>
      </c>
      <c r="K1604" s="2969" t="str">
        <f t="shared" si="50"/>
        <v>LSDHL-VLắp sứ đứng đường dây 3 pha xà vectical</v>
      </c>
    </row>
    <row r="1605" spans="1:11" hidden="1">
      <c r="A1605" s="2969" t="s">
        <v>5474</v>
      </c>
      <c r="B1605" s="3004" t="s">
        <v>5475</v>
      </c>
      <c r="C1605" s="2969" t="s">
        <v>5476</v>
      </c>
      <c r="D1605" s="2968" t="s">
        <v>2433</v>
      </c>
      <c r="E1605" s="2968"/>
      <c r="F1605" s="2968">
        <v>3000</v>
      </c>
      <c r="G1605" s="2968" t="s">
        <v>510</v>
      </c>
      <c r="H1605" s="2968"/>
      <c r="I1605" s="2968"/>
      <c r="J1605" s="2968" t="str">
        <f t="shared" si="51"/>
        <v>LSDTBA</v>
      </c>
      <c r="K1605" s="2969" t="str">
        <f t="shared" si="50"/>
        <v>LSDTBALắp sứ đứng trong trạm, cấp điện áp 10-35kV</v>
      </c>
    </row>
    <row r="1606" spans="1:11" hidden="1">
      <c r="A1606" s="2969" t="s">
        <v>6483</v>
      </c>
      <c r="B1606" s="3004"/>
      <c r="C1606" s="2969" t="s">
        <v>6484</v>
      </c>
      <c r="D1606" s="2968" t="s">
        <v>2506</v>
      </c>
      <c r="E1606" s="2968"/>
      <c r="F1606" s="2968">
        <v>3000</v>
      </c>
      <c r="G1606" s="2968" t="s">
        <v>510</v>
      </c>
      <c r="H1606" s="2968"/>
      <c r="I1606" s="2968"/>
      <c r="J1606" s="2968" t="str">
        <f t="shared" si="51"/>
        <v>Stply-L</v>
      </c>
      <c r="K1606" s="2969" t="str">
        <f t="shared" si="50"/>
        <v>Stply-LLắp Sứ treo polymer</v>
      </c>
    </row>
    <row r="1607" spans="1:11" hidden="1">
      <c r="A1607" s="2969" t="s">
        <v>967</v>
      </c>
      <c r="B1607" s="2986"/>
      <c r="C1607" s="3012" t="s">
        <v>3169</v>
      </c>
      <c r="D1607" s="2968"/>
      <c r="E1607" s="2968"/>
      <c r="F1607" s="2968">
        <v>3000</v>
      </c>
      <c r="G1607" s="2968" t="s">
        <v>510</v>
      </c>
      <c r="H1607" s="2968"/>
      <c r="I1607" s="2968"/>
      <c r="J1607" s="2968" t="str">
        <f t="shared" si="51"/>
        <v>LBAKE</v>
      </c>
      <c r="K1607" s="2969" t="str">
        <f t="shared" si="50"/>
        <v>LBAKELắp tấm bakelit</v>
      </c>
    </row>
    <row r="1608" spans="1:11" hidden="1">
      <c r="A1608" s="2969" t="s">
        <v>1360</v>
      </c>
      <c r="B1608" s="3004" t="s">
        <v>786</v>
      </c>
      <c r="C1608" s="3012" t="s">
        <v>3634</v>
      </c>
      <c r="D1608" s="2968" t="s">
        <v>2823</v>
      </c>
      <c r="E1608" s="2968"/>
      <c r="F1608" s="2968">
        <v>3000</v>
      </c>
      <c r="G1608" s="2968" t="s">
        <v>510</v>
      </c>
      <c r="H1608" s="2968"/>
      <c r="I1608" s="2968"/>
      <c r="J1608" s="2968" t="str">
        <f t="shared" si="51"/>
        <v>LBTLT</v>
      </c>
      <c r="K1608" s="2969" t="str">
        <f t="shared" si="50"/>
        <v>LBTLTLắp trụ BTLT ≤ 10m bằng cơ giới</v>
      </c>
    </row>
    <row r="1609" spans="1:11" hidden="1">
      <c r="A1609" s="2969" t="s">
        <v>492</v>
      </c>
      <c r="B1609" s="3004" t="s">
        <v>1359</v>
      </c>
      <c r="C1609" s="3012" t="s">
        <v>3633</v>
      </c>
      <c r="D1609" s="2968" t="s">
        <v>2823</v>
      </c>
      <c r="E1609" s="2968"/>
      <c r="F1609" s="2968">
        <v>3000</v>
      </c>
      <c r="G1609" s="2968" t="s">
        <v>510</v>
      </c>
      <c r="H1609" s="2968"/>
      <c r="I1609" s="2968"/>
      <c r="J1609" s="2968" t="str">
        <f t="shared" si="51"/>
        <v>LTRUDEN</v>
      </c>
      <c r="K1609" s="2969" t="str">
        <f t="shared" si="50"/>
        <v>LTRUDENLắp trụ thép ≤ 8m bằng thủ công</v>
      </c>
    </row>
    <row r="1610" spans="1:11" hidden="1">
      <c r="A1610" s="2969" t="s">
        <v>7092</v>
      </c>
      <c r="B1610" s="3004" t="s">
        <v>6624</v>
      </c>
      <c r="C1610" s="2969" t="s">
        <v>7093</v>
      </c>
      <c r="D1610" s="2968" t="s">
        <v>1955</v>
      </c>
      <c r="E1610" s="2968"/>
      <c r="F1610" s="2968">
        <v>3000</v>
      </c>
      <c r="G1610" s="2968" t="s">
        <v>510</v>
      </c>
      <c r="H1610" s="2968"/>
      <c r="I1610" s="2968"/>
      <c r="J1610" s="2968" t="str">
        <f t="shared" si="51"/>
        <v>LAPVAN</v>
      </c>
      <c r="K1610" s="2969" t="str">
        <f t="shared" si="50"/>
        <v>LAPVANLắp ván khuôn gỗ móng - móng vuông, chữ nhật</v>
      </c>
    </row>
    <row r="1611" spans="1:11" hidden="1">
      <c r="A1611" s="2969" t="s">
        <v>158</v>
      </c>
      <c r="B1611" s="3004" t="s">
        <v>157</v>
      </c>
      <c r="C1611" s="3012" t="s">
        <v>3272</v>
      </c>
      <c r="D1611" s="2968" t="s">
        <v>2433</v>
      </c>
      <c r="E1611" s="2968"/>
      <c r="F1611" s="2968">
        <v>3000</v>
      </c>
      <c r="G1611" s="2968" t="s">
        <v>510</v>
      </c>
      <c r="H1611" s="2968"/>
      <c r="I1611" s="2968"/>
      <c r="J1611" s="2968" t="str">
        <f t="shared" si="51"/>
        <v>LXHL</v>
      </c>
      <c r="K1611" s="2969" t="str">
        <f t="shared" si="50"/>
        <v>LXHLLắp xà</v>
      </c>
    </row>
    <row r="1612" spans="1:11" hidden="1">
      <c r="A1612" s="2969" t="s">
        <v>5326</v>
      </c>
      <c r="B1612" s="3004" t="s">
        <v>5327</v>
      </c>
      <c r="C1612" s="2969" t="s">
        <v>5328</v>
      </c>
      <c r="D1612" s="2968" t="s">
        <v>2433</v>
      </c>
      <c r="E1612" s="2968"/>
      <c r="F1612" s="2968">
        <v>3000</v>
      </c>
      <c r="G1612" s="2968" t="s">
        <v>510</v>
      </c>
      <c r="H1612" s="2968"/>
      <c r="I1612" s="2968"/>
      <c r="J1612" s="2968" t="str">
        <f t="shared" si="51"/>
        <v>LX22K</v>
      </c>
      <c r="K1612" s="2969" t="str">
        <f t="shared" si="50"/>
        <v>LX22KLắp xà 2,2m kép (58,628kg)</v>
      </c>
    </row>
    <row r="1613" spans="1:11" hidden="1">
      <c r="A1613" s="2969" t="s">
        <v>7094</v>
      </c>
      <c r="B1613" s="3004" t="s">
        <v>7095</v>
      </c>
      <c r="C1613" s="2969" t="s">
        <v>7096</v>
      </c>
      <c r="D1613" s="2968" t="s">
        <v>2433</v>
      </c>
      <c r="E1613" s="2968"/>
      <c r="F1613" s="2968">
        <v>3000</v>
      </c>
      <c r="G1613" s="2968" t="s">
        <v>510</v>
      </c>
      <c r="H1613" s="2968"/>
      <c r="I1613" s="2968"/>
      <c r="J1613" s="2968" t="str">
        <f t="shared" si="51"/>
        <v>LX24K</v>
      </c>
      <c r="K1613" s="2969" t="str">
        <f t="shared" si="50"/>
        <v>LX24KLắp xà 2,4m kép (63,166kg)</v>
      </c>
    </row>
    <row r="1614" spans="1:11" hidden="1">
      <c r="A1614" s="2969" t="s">
        <v>963</v>
      </c>
      <c r="B1614" s="2986" t="s">
        <v>1076</v>
      </c>
      <c r="C1614" s="3012" t="s">
        <v>3161</v>
      </c>
      <c r="D1614" s="2968" t="s">
        <v>2433</v>
      </c>
      <c r="E1614" s="2968"/>
      <c r="F1614" s="2968">
        <v>3000</v>
      </c>
      <c r="G1614" s="2968" t="s">
        <v>510</v>
      </c>
      <c r="H1614" s="2968"/>
      <c r="I1614" s="2968"/>
      <c r="J1614" s="2968" t="str">
        <f t="shared" si="51"/>
        <v>LXHN2</v>
      </c>
      <c r="K1614" s="2969" t="str">
        <f t="shared" si="50"/>
        <v>LXHN2Lắp xà cột Pi loại ≤ 230kg/xà</v>
      </c>
    </row>
    <row r="1615" spans="1:11" hidden="1">
      <c r="A1615" s="2969" t="s">
        <v>677</v>
      </c>
      <c r="B1615" s="2986" t="s">
        <v>1545</v>
      </c>
      <c r="C1615" s="3012" t="s">
        <v>3162</v>
      </c>
      <c r="D1615" s="2968" t="s">
        <v>2433</v>
      </c>
      <c r="E1615" s="2968"/>
      <c r="F1615" s="2968">
        <v>3000</v>
      </c>
      <c r="G1615" s="2968" t="s">
        <v>510</v>
      </c>
      <c r="H1615" s="2968"/>
      <c r="I1615" s="2968"/>
      <c r="J1615" s="2968" t="str">
        <f t="shared" si="51"/>
        <v>LXHN3</v>
      </c>
      <c r="K1615" s="2969" t="str">
        <f t="shared" si="50"/>
        <v>LXHN3Lắp xà cột Pi loại ≤ 320kg/xà</v>
      </c>
    </row>
    <row r="1616" spans="1:11" hidden="1">
      <c r="A1616" s="2969" t="s">
        <v>2237</v>
      </c>
      <c r="B1616" s="2986" t="s">
        <v>1755</v>
      </c>
      <c r="C1616" s="3012" t="s">
        <v>2434</v>
      </c>
      <c r="D1616" s="2968" t="s">
        <v>2433</v>
      </c>
      <c r="E1616" s="2968"/>
      <c r="F1616" s="2968">
        <v>3000</v>
      </c>
      <c r="G1616" s="2968" t="s">
        <v>510</v>
      </c>
      <c r="H1616" s="2968"/>
      <c r="I1616" s="2968"/>
      <c r="J1616" s="2968" t="str">
        <f t="shared" si="51"/>
        <v>LXHN1</v>
      </c>
      <c r="K1616" s="2969" t="str">
        <f t="shared" si="50"/>
        <v>LXHN1Lắp xà cột Pi loại ≤140kg/xà</v>
      </c>
    </row>
    <row r="1617" spans="1:11" hidden="1">
      <c r="A1617" s="2969" t="s">
        <v>1990</v>
      </c>
      <c r="B1617" s="2986" t="s">
        <v>4389</v>
      </c>
      <c r="C1617" s="3012" t="s">
        <v>3154</v>
      </c>
      <c r="D1617" s="2968" t="s">
        <v>2433</v>
      </c>
      <c r="E1617" s="2968"/>
      <c r="F1617" s="2968">
        <v>3000</v>
      </c>
      <c r="G1617" s="2968" t="s">
        <v>510</v>
      </c>
      <c r="H1617" s="2968"/>
      <c r="I1617" s="2968"/>
      <c r="J1617" s="2968" t="str">
        <f t="shared" si="51"/>
        <v>LXIT</v>
      </c>
      <c r="K1617" s="2969" t="str">
        <f t="shared" si="50"/>
        <v>LXITLắp xà đỡ ≤ 25kg</v>
      </c>
    </row>
    <row r="1618" spans="1:11" hidden="1">
      <c r="A1618" s="2969" t="s">
        <v>514</v>
      </c>
      <c r="B1618" s="2986" t="s">
        <v>1543</v>
      </c>
      <c r="C1618" s="3012" t="s">
        <v>3155</v>
      </c>
      <c r="D1618" s="2968" t="s">
        <v>2433</v>
      </c>
      <c r="E1618" s="2968"/>
      <c r="F1618" s="2968">
        <v>3000</v>
      </c>
      <c r="G1618" s="2968" t="s">
        <v>510</v>
      </c>
      <c r="H1618" s="2968"/>
      <c r="I1618" s="2968"/>
      <c r="J1618" s="2968" t="str">
        <f t="shared" si="51"/>
        <v>LXITL</v>
      </c>
      <c r="K1618" s="2969" t="str">
        <f t="shared" si="50"/>
        <v>LXITLLắp xà đỡ ≤ 50kg</v>
      </c>
    </row>
    <row r="1619" spans="1:11" hidden="1">
      <c r="A1619" s="2969" t="s">
        <v>5297</v>
      </c>
      <c r="B1619" s="3004" t="s">
        <v>5298</v>
      </c>
      <c r="C1619" s="2969" t="s">
        <v>5299</v>
      </c>
      <c r="D1619" s="2968" t="s">
        <v>2433</v>
      </c>
      <c r="E1619" s="2968"/>
      <c r="F1619" s="2968">
        <v>3000</v>
      </c>
      <c r="G1619" s="2968" t="s">
        <v>510</v>
      </c>
      <c r="H1619" s="2968"/>
      <c r="I1619" s="2968"/>
      <c r="J1619" s="2968" t="str">
        <f t="shared" si="51"/>
        <v>LX8D</v>
      </c>
      <c r="K1619" s="2969" t="str">
        <f t="shared" si="50"/>
        <v>LX8DLắp xà đỡ 0,8m đơn (11,987kg)</v>
      </c>
    </row>
    <row r="1620" spans="1:11" hidden="1">
      <c r="A1620" s="2969" t="s">
        <v>5300</v>
      </c>
      <c r="B1620" s="3004" t="s">
        <v>5301</v>
      </c>
      <c r="C1620" s="2969" t="s">
        <v>5302</v>
      </c>
      <c r="D1620" s="2968" t="s">
        <v>2433</v>
      </c>
      <c r="E1620" s="2968"/>
      <c r="F1620" s="2968">
        <v>3000</v>
      </c>
      <c r="G1620" s="2968" t="s">
        <v>510</v>
      </c>
      <c r="H1620" s="2968">
        <v>120</v>
      </c>
      <c r="I1620" s="2968"/>
      <c r="J1620" s="2968" t="str">
        <f t="shared" si="51"/>
        <v>LX8K</v>
      </c>
      <c r="K1620" s="2969" t="str">
        <f t="shared" si="50"/>
        <v>LX8KLắp xà đỡ 0,8m kép (23,084kg)</v>
      </c>
    </row>
    <row r="1621" spans="1:11" hidden="1">
      <c r="A1621" s="2969" t="s">
        <v>5303</v>
      </c>
      <c r="B1621" s="3004" t="s">
        <v>5304</v>
      </c>
      <c r="C1621" s="2969" t="s">
        <v>5305</v>
      </c>
      <c r="D1621" s="2968" t="s">
        <v>2433</v>
      </c>
      <c r="E1621" s="2968"/>
      <c r="F1621" s="2968">
        <v>3000</v>
      </c>
      <c r="G1621" s="2968" t="s">
        <v>510</v>
      </c>
      <c r="H1621" s="2968">
        <v>150</v>
      </c>
      <c r="I1621" s="2968"/>
      <c r="J1621" s="2968" t="str">
        <f t="shared" si="51"/>
        <v>LX16</v>
      </c>
      <c r="K1621" s="2969" t="str">
        <f t="shared" si="50"/>
        <v>LX16Lắp xà đỡ 1,66m đơn (26,550kg)</v>
      </c>
    </row>
    <row r="1622" spans="1:11" hidden="1">
      <c r="A1622" s="2969" t="s">
        <v>5306</v>
      </c>
      <c r="B1622" s="3004" t="s">
        <v>5307</v>
      </c>
      <c r="C1622" s="2969" t="s">
        <v>5308</v>
      </c>
      <c r="D1622" s="2968" t="s">
        <v>2433</v>
      </c>
      <c r="E1622" s="2968"/>
      <c r="F1622" s="2968">
        <v>3000</v>
      </c>
      <c r="G1622" s="2968" t="s">
        <v>510</v>
      </c>
      <c r="H1622" s="2968">
        <v>185</v>
      </c>
      <c r="I1622" s="2968"/>
      <c r="J1622" s="2968" t="str">
        <f t="shared" si="51"/>
        <v>LX16K</v>
      </c>
      <c r="K1622" s="2969" t="str">
        <f t="shared" si="50"/>
        <v>LX16KLắp xà đỡ 1,66m kép (51,575kg)</v>
      </c>
    </row>
    <row r="1623" spans="1:11" hidden="1">
      <c r="A1623" s="2969" t="s">
        <v>5293</v>
      </c>
      <c r="B1623" s="3004" t="s">
        <v>5066</v>
      </c>
      <c r="C1623" s="2969" t="s">
        <v>5294</v>
      </c>
      <c r="D1623" s="2968" t="s">
        <v>2433</v>
      </c>
      <c r="E1623" s="2968"/>
      <c r="F1623" s="2968">
        <v>3000</v>
      </c>
      <c r="G1623" s="2968" t="s">
        <v>510</v>
      </c>
      <c r="H1623" s="2968">
        <v>240</v>
      </c>
      <c r="I1623" s="2968"/>
      <c r="J1623" s="2968" t="str">
        <f t="shared" si="51"/>
        <v>LXI</v>
      </c>
      <c r="K1623" s="2969" t="str">
        <f t="shared" si="50"/>
        <v>LXILắp xà đỡ 15kg</v>
      </c>
    </row>
    <row r="1624" spans="1:11" hidden="1">
      <c r="A1624" s="2969" t="s">
        <v>5309</v>
      </c>
      <c r="B1624" s="3004" t="s">
        <v>5310</v>
      </c>
      <c r="C1624" s="2969" t="s">
        <v>5311</v>
      </c>
      <c r="D1624" s="2968" t="s">
        <v>2433</v>
      </c>
      <c r="E1624" s="2968"/>
      <c r="F1624" s="2968">
        <v>3000</v>
      </c>
      <c r="G1624" s="2968" t="s">
        <v>510</v>
      </c>
      <c r="H1624" s="2968">
        <v>120</v>
      </c>
      <c r="I1624" s="2968"/>
      <c r="J1624" s="2968" t="str">
        <f t="shared" si="51"/>
        <v>LX20D</v>
      </c>
      <c r="K1624" s="2969" t="str">
        <f t="shared" si="50"/>
        <v>LX20DLắp xà đỡ 2,0m đơn (25,356kg)</v>
      </c>
    </row>
    <row r="1625" spans="1:11" hidden="1">
      <c r="A1625" s="2969" t="s">
        <v>5312</v>
      </c>
      <c r="B1625" s="3004" t="s">
        <v>5313</v>
      </c>
      <c r="C1625" s="2969" t="s">
        <v>5314</v>
      </c>
      <c r="D1625" s="2968" t="s">
        <v>2433</v>
      </c>
      <c r="E1625" s="2968"/>
      <c r="F1625" s="2968">
        <v>3000</v>
      </c>
      <c r="G1625" s="2968" t="s">
        <v>510</v>
      </c>
      <c r="H1625" s="2968">
        <v>150</v>
      </c>
      <c r="I1625" s="2968"/>
      <c r="J1625" s="2968" t="str">
        <f t="shared" si="51"/>
        <v>LX20K</v>
      </c>
      <c r="K1625" s="2969" t="str">
        <f t="shared" si="50"/>
        <v>LX20KLắp xà đỡ 2,0m kép (50,751kg)</v>
      </c>
    </row>
    <row r="1626" spans="1:11" hidden="1">
      <c r="A1626" s="2969" t="s">
        <v>5318</v>
      </c>
      <c r="B1626" s="3004" t="s">
        <v>5319</v>
      </c>
      <c r="C1626" s="2969" t="s">
        <v>5320</v>
      </c>
      <c r="D1626" s="2968" t="s">
        <v>2433</v>
      </c>
      <c r="E1626" s="2968"/>
      <c r="F1626" s="2968">
        <v>3000</v>
      </c>
      <c r="G1626" s="2968" t="s">
        <v>510</v>
      </c>
      <c r="H1626" s="2968">
        <v>185</v>
      </c>
      <c r="I1626" s="2968"/>
      <c r="J1626" s="2968" t="str">
        <f t="shared" si="51"/>
        <v>LX21D</v>
      </c>
      <c r="K1626" s="2969" t="str">
        <f t="shared" si="50"/>
        <v>LX21DLắp xà đỡ 2,1m đơn (29,425kg)</v>
      </c>
    </row>
    <row r="1627" spans="1:11" hidden="1">
      <c r="A1627" s="2969" t="s">
        <v>5321</v>
      </c>
      <c r="B1627" s="3004" t="s">
        <v>5322</v>
      </c>
      <c r="C1627" s="2969" t="s">
        <v>5323</v>
      </c>
      <c r="D1627" s="2968" t="s">
        <v>2433</v>
      </c>
      <c r="E1627" s="2968"/>
      <c r="F1627" s="2968">
        <v>3000</v>
      </c>
      <c r="G1627" s="2968" t="s">
        <v>510</v>
      </c>
      <c r="H1627" s="2968"/>
      <c r="I1627" s="2968"/>
      <c r="J1627" s="2968" t="str">
        <f t="shared" si="51"/>
        <v>LX21K</v>
      </c>
      <c r="K1627" s="2969" t="str">
        <f t="shared" si="50"/>
        <v>LX21KLắp xà đỡ 2,1m kép (58,889kg)</v>
      </c>
    </row>
    <row r="1628" spans="1:11" hidden="1">
      <c r="A1628" s="2969" t="s">
        <v>5324</v>
      </c>
      <c r="B1628" s="3004" t="s">
        <v>5316</v>
      </c>
      <c r="C1628" s="2969" t="s">
        <v>5325</v>
      </c>
      <c r="D1628" s="2968" t="s">
        <v>2433</v>
      </c>
      <c r="E1628" s="2968"/>
      <c r="F1628" s="2968">
        <v>3000</v>
      </c>
      <c r="G1628" s="2968" t="s">
        <v>510</v>
      </c>
      <c r="H1628" s="2968"/>
      <c r="I1628" s="2968"/>
      <c r="J1628" s="2968" t="str">
        <f t="shared" si="51"/>
        <v>LX22D</v>
      </c>
      <c r="K1628" s="2969" t="str">
        <f t="shared" si="50"/>
        <v>LX22DLắp xà đỡ 2,2m đơn (29,759kg)</v>
      </c>
    </row>
    <row r="1629" spans="1:11" hidden="1">
      <c r="A1629" s="2969" t="s">
        <v>5329</v>
      </c>
      <c r="B1629" s="3004" t="s">
        <v>5330</v>
      </c>
      <c r="C1629" s="2969" t="s">
        <v>5331</v>
      </c>
      <c r="D1629" s="2968" t="s">
        <v>2433</v>
      </c>
      <c r="E1629" s="2968"/>
      <c r="F1629" s="2968">
        <v>3000</v>
      </c>
      <c r="G1629" s="2968" t="s">
        <v>510</v>
      </c>
      <c r="H1629" s="2968"/>
      <c r="I1629" s="2968"/>
      <c r="J1629" s="2968" t="str">
        <f t="shared" si="51"/>
        <v>LX24D</v>
      </c>
      <c r="K1629" s="2969" t="str">
        <f t="shared" si="50"/>
        <v>LX24DLắp xà đỡ 2,4m đơn (31,563kg)</v>
      </c>
    </row>
    <row r="1630" spans="1:11" hidden="1">
      <c r="A1630" s="2969" t="s">
        <v>5352</v>
      </c>
      <c r="B1630" s="3004" t="s">
        <v>5353</v>
      </c>
      <c r="C1630" s="2969" t="s">
        <v>5354</v>
      </c>
      <c r="D1630" s="2968" t="s">
        <v>2433</v>
      </c>
      <c r="E1630" s="2968"/>
      <c r="F1630" s="2968">
        <v>3000</v>
      </c>
      <c r="G1630" s="2968" t="s">
        <v>510</v>
      </c>
      <c r="H1630" s="2968"/>
      <c r="I1630" s="2968"/>
      <c r="J1630" s="2968" t="str">
        <f t="shared" si="51"/>
        <v>LXHD24</v>
      </c>
      <c r="K1630" s="2969" t="str">
        <f t="shared" si="50"/>
        <v>LXHD24Lắp xà đỡ 2,4m đơn cột PI (25,8982kg)</v>
      </c>
    </row>
    <row r="1631" spans="1:11" hidden="1">
      <c r="A1631" s="2969" t="s">
        <v>5315</v>
      </c>
      <c r="B1631" s="3004" t="s">
        <v>5316</v>
      </c>
      <c r="C1631" s="2969" t="s">
        <v>5317</v>
      </c>
      <c r="D1631" s="2968" t="s">
        <v>2433</v>
      </c>
      <c r="E1631" s="2968"/>
      <c r="F1631" s="2968">
        <v>3000</v>
      </c>
      <c r="G1631" s="2968" t="s">
        <v>510</v>
      </c>
      <c r="H1631" s="2968"/>
      <c r="I1631" s="2968"/>
      <c r="J1631" s="2968" t="str">
        <f t="shared" si="51"/>
        <v>LXU160D</v>
      </c>
      <c r="K1631" s="2969" t="str">
        <f t="shared" si="50"/>
        <v>LXU160DLắp xà đỡ 2,8m đơn (42,84kg)</v>
      </c>
    </row>
    <row r="1632" spans="1:11" hidden="1">
      <c r="A1632" s="2969" t="s">
        <v>5340</v>
      </c>
      <c r="B1632" s="3004" t="s">
        <v>2259</v>
      </c>
      <c r="C1632" s="2969" t="s">
        <v>5341</v>
      </c>
      <c r="D1632" s="2968" t="s">
        <v>2433</v>
      </c>
      <c r="E1632" s="2968"/>
      <c r="F1632" s="2968">
        <v>3000</v>
      </c>
      <c r="G1632" s="2968" t="s">
        <v>510</v>
      </c>
      <c r="H1632" s="2968"/>
      <c r="I1632" s="2968"/>
      <c r="J1632" s="2968" t="str">
        <f t="shared" si="51"/>
        <v>LXITL-TBA</v>
      </c>
      <c r="K1632" s="2969" t="str">
        <f t="shared" si="50"/>
        <v>LXITL-TBALắp xà đỡ 50kg trong phạm vi trạm</v>
      </c>
    </row>
    <row r="1633" spans="1:11" hidden="1">
      <c r="A1633" s="2969" t="s">
        <v>5289</v>
      </c>
      <c r="B1633" s="3004" t="s">
        <v>5066</v>
      </c>
      <c r="C1633" s="2969" t="s">
        <v>5290</v>
      </c>
      <c r="D1633" s="2968" t="s">
        <v>2433</v>
      </c>
      <c r="E1633" s="2968"/>
      <c r="F1633" s="2968">
        <v>3000</v>
      </c>
      <c r="G1633" s="2968" t="s">
        <v>510</v>
      </c>
      <c r="H1633" s="2968"/>
      <c r="I1633" s="2968"/>
      <c r="J1633" s="2968" t="str">
        <f t="shared" si="51"/>
        <v>LXIco24</v>
      </c>
      <c r="K1633" s="2969" t="str">
        <f t="shared" si="50"/>
        <v>LXIco24Lắp xà đỡ composite dài 2400mm (7,5kg)</v>
      </c>
    </row>
    <row r="1634" spans="1:11" hidden="1">
      <c r="A1634" s="2969" t="s">
        <v>5291</v>
      </c>
      <c r="B1634" s="3004" t="s">
        <v>5066</v>
      </c>
      <c r="C1634" s="2969" t="s">
        <v>5292</v>
      </c>
      <c r="D1634" s="2968" t="s">
        <v>2433</v>
      </c>
      <c r="E1634" s="2968"/>
      <c r="F1634" s="2968">
        <v>3000</v>
      </c>
      <c r="G1634" s="2968" t="s">
        <v>510</v>
      </c>
      <c r="H1634" s="2968"/>
      <c r="I1634" s="2968"/>
      <c r="J1634" s="2968" t="str">
        <f t="shared" si="51"/>
        <v>LXIco26</v>
      </c>
      <c r="K1634" s="2969" t="str">
        <f t="shared" si="50"/>
        <v>LXIco26Lắp xà đỡ composite dài 2600mm (8,5kg)</v>
      </c>
    </row>
    <row r="1635" spans="1:11" hidden="1">
      <c r="A1635" s="2969" t="s">
        <v>5287</v>
      </c>
      <c r="B1635" s="3004" t="s">
        <v>5066</v>
      </c>
      <c r="C1635" s="2969" t="s">
        <v>5288</v>
      </c>
      <c r="D1635" s="2968" t="s">
        <v>2433</v>
      </c>
      <c r="E1635" s="2968"/>
      <c r="F1635" s="2968">
        <v>3000</v>
      </c>
      <c r="G1635" s="2968" t="s">
        <v>510</v>
      </c>
      <c r="H1635" s="2968"/>
      <c r="I1635" s="2968"/>
      <c r="J1635" s="2968" t="str">
        <f t="shared" si="51"/>
        <v>LXIco08</v>
      </c>
      <c r="K1635" s="2969" t="str">
        <f t="shared" si="50"/>
        <v>LXIco08Lắp xà đỡ composite dài 800mm (3kg)</v>
      </c>
    </row>
    <row r="1636" spans="1:11" hidden="1">
      <c r="A1636" s="2969" t="s">
        <v>515</v>
      </c>
      <c r="B1636" s="2986" t="s">
        <v>1867</v>
      </c>
      <c r="C1636" s="3012" t="s">
        <v>3158</v>
      </c>
      <c r="D1636" s="2968" t="s">
        <v>2433</v>
      </c>
      <c r="E1636" s="2968"/>
      <c r="F1636" s="2968">
        <v>3000</v>
      </c>
      <c r="G1636" s="2968" t="s">
        <v>510</v>
      </c>
      <c r="H1636" s="2968"/>
      <c r="I1636" s="2968"/>
      <c r="J1636" s="2968" t="str">
        <f t="shared" si="51"/>
        <v>LXINL</v>
      </c>
      <c r="K1636" s="2969" t="str">
        <f t="shared" si="50"/>
        <v>LXINLLắp xà néo ≤ 100kg</v>
      </c>
    </row>
    <row r="1637" spans="1:11" hidden="1">
      <c r="A1637" s="2969" t="s">
        <v>2002</v>
      </c>
      <c r="B1637" s="2986" t="s">
        <v>815</v>
      </c>
      <c r="C1637" s="3012" t="s">
        <v>3156</v>
      </c>
      <c r="D1637" s="2968" t="s">
        <v>2433</v>
      </c>
      <c r="E1637" s="2968"/>
      <c r="F1637" s="2968">
        <v>3000</v>
      </c>
      <c r="G1637" s="2968" t="s">
        <v>510</v>
      </c>
      <c r="H1637" s="2968"/>
      <c r="I1637" s="2968"/>
      <c r="J1637" s="2968" t="str">
        <f t="shared" si="51"/>
        <v>LXINN</v>
      </c>
      <c r="K1637" s="2969" t="str">
        <f t="shared" si="50"/>
        <v>LXINNLắp xà néo ≤ 25kg</v>
      </c>
    </row>
    <row r="1638" spans="1:11" hidden="1">
      <c r="A1638" s="2969" t="s">
        <v>1993</v>
      </c>
      <c r="B1638" s="2986" t="s">
        <v>1544</v>
      </c>
      <c r="C1638" s="3012" t="s">
        <v>3157</v>
      </c>
      <c r="D1638" s="2968" t="s">
        <v>2433</v>
      </c>
      <c r="E1638" s="2968"/>
      <c r="F1638" s="2968">
        <v>3000</v>
      </c>
      <c r="G1638" s="2968" t="s">
        <v>510</v>
      </c>
      <c r="H1638" s="2968"/>
      <c r="I1638" s="2968"/>
      <c r="J1638" s="2968" t="str">
        <f t="shared" si="51"/>
        <v>LXIN</v>
      </c>
      <c r="K1638" s="2969" t="str">
        <f t="shared" si="50"/>
        <v>LXINLắp xà néo ≤ 50kg</v>
      </c>
    </row>
    <row r="1639" spans="1:11" hidden="1">
      <c r="A1639" s="2969" t="s">
        <v>7097</v>
      </c>
      <c r="B1639" s="3004" t="s">
        <v>7098</v>
      </c>
      <c r="C1639" s="2969" t="s">
        <v>7099</v>
      </c>
      <c r="D1639" s="2968" t="s">
        <v>2433</v>
      </c>
      <c r="E1639" s="2968"/>
      <c r="F1639" s="2968">
        <v>3000</v>
      </c>
      <c r="G1639" s="2968" t="s">
        <v>510</v>
      </c>
      <c r="H1639" s="2968"/>
      <c r="I1639" s="2968"/>
      <c r="J1639" s="2968" t="str">
        <f t="shared" si="51"/>
        <v>LX8KN</v>
      </c>
      <c r="K1639" s="2969" t="str">
        <f t="shared" si="50"/>
        <v>LX8KNLắp xà néo 0,8m kép (23,084kg)</v>
      </c>
    </row>
    <row r="1640" spans="1:11" hidden="1">
      <c r="A1640" s="2969" t="s">
        <v>7100</v>
      </c>
      <c r="B1640" s="3004" t="s">
        <v>7101</v>
      </c>
      <c r="C1640" s="2969" t="s">
        <v>7102</v>
      </c>
      <c r="D1640" s="2968" t="s">
        <v>2433</v>
      </c>
      <c r="E1640" s="2968"/>
      <c r="F1640" s="2968">
        <v>3000</v>
      </c>
      <c r="G1640" s="2968" t="s">
        <v>510</v>
      </c>
      <c r="H1640" s="2968"/>
      <c r="I1640" s="2968"/>
      <c r="J1640" s="2968" t="str">
        <f t="shared" si="51"/>
        <v>LX16KN</v>
      </c>
      <c r="K1640" s="2969" t="str">
        <f t="shared" si="50"/>
        <v>LX16KNLắp xà néo 1,66m kép (51,575kg)</v>
      </c>
    </row>
    <row r="1641" spans="1:11" hidden="1">
      <c r="A1641" s="2969" t="s">
        <v>7103</v>
      </c>
      <c r="B1641" s="3004" t="s">
        <v>7104</v>
      </c>
      <c r="C1641" s="2969" t="s">
        <v>7105</v>
      </c>
      <c r="D1641" s="2968" t="s">
        <v>2433</v>
      </c>
      <c r="E1641" s="2968"/>
      <c r="F1641" s="2968">
        <v>3000</v>
      </c>
      <c r="G1641" s="2968" t="s">
        <v>510</v>
      </c>
      <c r="H1641" s="2968"/>
      <c r="I1641" s="2968"/>
      <c r="J1641" s="2968" t="str">
        <f t="shared" si="51"/>
        <v>LX20KN</v>
      </c>
      <c r="K1641" s="2969" t="str">
        <f t="shared" si="50"/>
        <v>LX20KNLắp xà néo 2,0m kép (50,751kg)</v>
      </c>
    </row>
    <row r="1642" spans="1:11" hidden="1">
      <c r="A1642" s="2969" t="s">
        <v>7106</v>
      </c>
      <c r="B1642" s="3004" t="s">
        <v>7107</v>
      </c>
      <c r="C1642" s="2969" t="s">
        <v>7108</v>
      </c>
      <c r="D1642" s="2968" t="s">
        <v>2433</v>
      </c>
      <c r="E1642" s="2968"/>
      <c r="F1642" s="2968">
        <v>3000</v>
      </c>
      <c r="G1642" s="2968" t="s">
        <v>510</v>
      </c>
      <c r="H1642" s="2968"/>
      <c r="I1642" s="2968"/>
      <c r="J1642" s="2968" t="str">
        <f t="shared" si="51"/>
        <v>LX21KN</v>
      </c>
      <c r="K1642" s="2969" t="str">
        <f t="shared" si="50"/>
        <v>LX21KNLắp xà néo 2,1m kép (58,889kg)</v>
      </c>
    </row>
    <row r="1643" spans="1:11" hidden="1">
      <c r="A1643" s="2969" t="s">
        <v>7109</v>
      </c>
      <c r="B1643" s="3004" t="s">
        <v>7076</v>
      </c>
      <c r="C1643" s="2969" t="s">
        <v>7110</v>
      </c>
      <c r="D1643" s="2968" t="s">
        <v>2433</v>
      </c>
      <c r="E1643" s="2968"/>
      <c r="F1643" s="2968">
        <v>3000</v>
      </c>
      <c r="G1643" s="2968" t="s">
        <v>510</v>
      </c>
      <c r="H1643" s="2968"/>
      <c r="I1643" s="2968"/>
      <c r="J1643" s="2968" t="str">
        <f t="shared" si="51"/>
        <v>LX22KN</v>
      </c>
      <c r="K1643" s="2969" t="str">
        <f t="shared" si="50"/>
        <v>LX22KNLắp xà néo 2,2m kép (58,628kg)</v>
      </c>
    </row>
    <row r="1644" spans="1:11" hidden="1">
      <c r="A1644" s="2969" t="s">
        <v>7111</v>
      </c>
      <c r="B1644" s="3004" t="s">
        <v>7112</v>
      </c>
      <c r="C1644" s="2969" t="s">
        <v>7113</v>
      </c>
      <c r="D1644" s="2968" t="s">
        <v>2433</v>
      </c>
      <c r="E1644" s="2968"/>
      <c r="F1644" s="2968">
        <v>3000</v>
      </c>
      <c r="G1644" s="2968" t="s">
        <v>510</v>
      </c>
      <c r="H1644" s="2968"/>
      <c r="I1644" s="2968"/>
      <c r="J1644" s="2968" t="str">
        <f t="shared" si="51"/>
        <v>LX24KN</v>
      </c>
      <c r="K1644" s="2969" t="str">
        <f t="shared" si="50"/>
        <v>LX24KNLắp xà néo 2,4m kép (63,126kg)</v>
      </c>
    </row>
    <row r="1645" spans="1:11" hidden="1">
      <c r="A1645" s="2969" t="s">
        <v>5355</v>
      </c>
      <c r="B1645" s="3004" t="s">
        <v>5356</v>
      </c>
      <c r="C1645" s="2969" t="s">
        <v>5357</v>
      </c>
      <c r="D1645" s="2968" t="s">
        <v>2433</v>
      </c>
      <c r="E1645" s="2968"/>
      <c r="F1645" s="2968">
        <v>3000</v>
      </c>
      <c r="G1645" s="2968" t="s">
        <v>510</v>
      </c>
      <c r="H1645" s="2968"/>
      <c r="I1645" s="2968"/>
      <c r="J1645" s="2968" t="str">
        <f t="shared" si="51"/>
        <v>LXHK24</v>
      </c>
      <c r="K1645" s="2969" t="str">
        <f t="shared" si="50"/>
        <v>LXHK24Lắp xà néo 2,4m kép cột PI (50,2507kg)</v>
      </c>
    </row>
    <row r="1646" spans="1:11" hidden="1">
      <c r="A1646" s="2969" t="s">
        <v>5362</v>
      </c>
      <c r="B1646" s="3004" t="s">
        <v>5348</v>
      </c>
      <c r="C1646" s="2969" t="s">
        <v>5363</v>
      </c>
      <c r="D1646" s="2968" t="s">
        <v>2433</v>
      </c>
      <c r="E1646" s="2968"/>
      <c r="F1646" s="2968">
        <v>3000</v>
      </c>
      <c r="G1646" s="2968" t="s">
        <v>510</v>
      </c>
      <c r="H1646" s="2968"/>
      <c r="I1646" s="2968"/>
      <c r="J1646" s="2968" t="str">
        <f t="shared" si="51"/>
        <v>LX24DPI</v>
      </c>
      <c r="K1646" s="2969" t="str">
        <f t="shared" si="50"/>
        <v>LX24DPILắp xà pi 2,4m đơn</v>
      </c>
    </row>
    <row r="1647" spans="1:11" hidden="1">
      <c r="A1647" s="2969" t="s">
        <v>5364</v>
      </c>
      <c r="B1647" s="3004" t="s">
        <v>5350</v>
      </c>
      <c r="C1647" s="2969" t="s">
        <v>5365</v>
      </c>
      <c r="D1647" s="2968" t="s">
        <v>2433</v>
      </c>
      <c r="E1647" s="2968"/>
      <c r="F1647" s="2968">
        <v>3000</v>
      </c>
      <c r="G1647" s="2968" t="s">
        <v>510</v>
      </c>
      <c r="H1647" s="2968"/>
      <c r="I1647" s="2968"/>
      <c r="J1647" s="2968" t="str">
        <f t="shared" si="51"/>
        <v>LX24KPI</v>
      </c>
      <c r="K1647" s="2969" t="str">
        <f t="shared" si="50"/>
        <v>LX24KPILắp xà pi 2,4m kép (101,967kg)</v>
      </c>
    </row>
    <row r="1648" spans="1:11" hidden="1">
      <c r="A1648" s="2969" t="s">
        <v>5366</v>
      </c>
      <c r="B1648" s="3004" t="s">
        <v>5367</v>
      </c>
      <c r="C1648" s="2969" t="s">
        <v>5368</v>
      </c>
      <c r="D1648" s="2968" t="s">
        <v>2433</v>
      </c>
      <c r="E1648" s="2968"/>
      <c r="F1648" s="2968">
        <v>3000</v>
      </c>
      <c r="G1648" s="2968" t="s">
        <v>510</v>
      </c>
      <c r="H1648" s="2968"/>
      <c r="I1648" s="2968"/>
      <c r="J1648" s="2968" t="str">
        <f t="shared" si="51"/>
        <v>LX26DPI</v>
      </c>
      <c r="K1648" s="2969" t="str">
        <f t="shared" si="50"/>
        <v>LX26DPILắp xà pi 2,6m đơn (26,236kg)</v>
      </c>
    </row>
    <row r="1649" spans="1:11" hidden="1">
      <c r="A1649" s="2969" t="s">
        <v>5369</v>
      </c>
      <c r="B1649" s="3004" t="s">
        <v>5370</v>
      </c>
      <c r="C1649" s="2969" t="s">
        <v>5371</v>
      </c>
      <c r="D1649" s="2968" t="s">
        <v>2433</v>
      </c>
      <c r="E1649" s="2968"/>
      <c r="F1649" s="2968">
        <v>3000</v>
      </c>
      <c r="G1649" s="2968" t="s">
        <v>510</v>
      </c>
      <c r="H1649" s="2968"/>
      <c r="I1649" s="2968"/>
      <c r="J1649" s="2968" t="str">
        <f t="shared" si="51"/>
        <v>LX26KPI</v>
      </c>
      <c r="K1649" s="2969" t="str">
        <f t="shared" si="50"/>
        <v>LX26KPILắp xà pi 2,6m kép (52,512kg)</v>
      </c>
    </row>
    <row r="1650" spans="1:11" hidden="1">
      <c r="A1650" s="2969" t="s">
        <v>5342</v>
      </c>
      <c r="B1650" s="3004" t="s">
        <v>5343</v>
      </c>
      <c r="C1650" s="2969" t="s">
        <v>5344</v>
      </c>
      <c r="D1650" s="2968" t="s">
        <v>2243</v>
      </c>
      <c r="E1650" s="2968"/>
      <c r="F1650" s="2968">
        <v>3000</v>
      </c>
      <c r="G1650" s="2968" t="s">
        <v>510</v>
      </c>
      <c r="H1650" s="2968"/>
      <c r="I1650" s="2968"/>
      <c r="J1650" s="2968" t="str">
        <f t="shared" si="51"/>
        <v>LXTBA</v>
      </c>
      <c r="K1650" s="2969" t="str">
        <f t="shared" si="50"/>
        <v>LXTBALắp xà thép trong phạm vi trạm</v>
      </c>
    </row>
    <row r="1651" spans="1:11" hidden="1">
      <c r="A1651" s="2969" t="s">
        <v>1874</v>
      </c>
      <c r="B1651" s="2986" t="s">
        <v>1876</v>
      </c>
      <c r="C1651" s="3012" t="s">
        <v>3159</v>
      </c>
      <c r="D1651" s="2968" t="s">
        <v>2433</v>
      </c>
      <c r="E1651" s="2968"/>
      <c r="F1651" s="2968">
        <v>3000</v>
      </c>
      <c r="G1651" s="2968" t="s">
        <v>510</v>
      </c>
      <c r="H1651" s="2968"/>
      <c r="I1651" s="2968"/>
      <c r="J1651" s="2968" t="str">
        <f t="shared" si="51"/>
        <v>LXID</v>
      </c>
      <c r="K1651" s="2969" t="str">
        <f t="shared" si="50"/>
        <v>LXIDLắp xà trụ ghép ≤ 140kg</v>
      </c>
    </row>
    <row r="1652" spans="1:11" hidden="1">
      <c r="A1652" s="2969" t="s">
        <v>1875</v>
      </c>
      <c r="B1652" s="2986" t="s">
        <v>1877</v>
      </c>
      <c r="C1652" s="3012" t="s">
        <v>3160</v>
      </c>
      <c r="D1652" s="2968" t="s">
        <v>2433</v>
      </c>
      <c r="E1652" s="2968"/>
      <c r="F1652" s="2968">
        <v>3000</v>
      </c>
      <c r="G1652" s="2968" t="s">
        <v>510</v>
      </c>
      <c r="H1652" s="2968"/>
      <c r="I1652" s="2968"/>
      <c r="J1652" s="2968" t="str">
        <f t="shared" si="51"/>
        <v>LXIDL</v>
      </c>
      <c r="K1652" s="2969" t="str">
        <f t="shared" si="50"/>
        <v>LXIDLLắp xà trụ ghép ≤ 230kg</v>
      </c>
    </row>
    <row r="1653" spans="1:11" hidden="1">
      <c r="A1653" s="2969" t="s">
        <v>1652</v>
      </c>
      <c r="B1653" s="3016" t="s">
        <v>1647</v>
      </c>
      <c r="C1653" s="2969" t="s">
        <v>1252</v>
      </c>
      <c r="D1653" s="2968" t="s">
        <v>2547</v>
      </c>
      <c r="E1653" s="2968"/>
      <c r="F1653" s="2968">
        <v>2</v>
      </c>
      <c r="G1653" s="2968" t="s">
        <v>6510</v>
      </c>
      <c r="H1653" s="2968"/>
      <c r="I1653" s="2968"/>
      <c r="J1653" s="2968" t="str">
        <f t="shared" si="51"/>
        <v>lbfco100-15</v>
      </c>
      <c r="K1653" s="2969" t="str">
        <f t="shared" si="50"/>
        <v>lbfco100-15LBFCO-24KV-100A</v>
      </c>
    </row>
    <row r="1654" spans="1:11" hidden="1">
      <c r="A1654" s="2969" t="s">
        <v>2120</v>
      </c>
      <c r="B1654" s="3016" t="s">
        <v>433</v>
      </c>
      <c r="C1654" s="2969" t="s">
        <v>1252</v>
      </c>
      <c r="D1654" s="2968" t="s">
        <v>2547</v>
      </c>
      <c r="E1654" s="2968"/>
      <c r="F1654" s="2968">
        <v>2</v>
      </c>
      <c r="G1654" s="2968" t="s">
        <v>6510</v>
      </c>
      <c r="H1654" s="2968"/>
      <c r="I1654" s="2968"/>
      <c r="J1654" s="2968" t="str">
        <f t="shared" si="51"/>
        <v>lbfco100-22</v>
      </c>
      <c r="K1654" s="2969" t="str">
        <f t="shared" si="50"/>
        <v>lbfco100-22LBFCO-24KV-100A</v>
      </c>
    </row>
    <row r="1655" spans="1:11" hidden="1">
      <c r="A1655" s="2969" t="s">
        <v>1653</v>
      </c>
      <c r="B1655" s="3016" t="s">
        <v>1647</v>
      </c>
      <c r="C1655" s="2969" t="s">
        <v>1251</v>
      </c>
      <c r="D1655" s="2968" t="s">
        <v>2547</v>
      </c>
      <c r="E1655" s="2968"/>
      <c r="F1655" s="2968">
        <v>2</v>
      </c>
      <c r="G1655" s="2968" t="s">
        <v>6510</v>
      </c>
      <c r="H1655" s="2968"/>
      <c r="I1655" s="2968"/>
      <c r="J1655" s="2968" t="str">
        <f t="shared" si="51"/>
        <v>LBFCO200-15</v>
      </c>
      <c r="K1655" s="2969" t="str">
        <f t="shared" si="50"/>
        <v>LBFCO200-15LBFCO-24KV-200A</v>
      </c>
    </row>
    <row r="1656" spans="1:11" hidden="1">
      <c r="A1656" s="2969" t="s">
        <v>1650</v>
      </c>
      <c r="B1656" s="3016" t="s">
        <v>433</v>
      </c>
      <c r="C1656" s="2969" t="s">
        <v>1251</v>
      </c>
      <c r="D1656" s="2968" t="s">
        <v>2547</v>
      </c>
      <c r="E1656" s="2968"/>
      <c r="F1656" s="2968">
        <v>2</v>
      </c>
      <c r="G1656" s="2968" t="s">
        <v>6510</v>
      </c>
      <c r="H1656" s="2968"/>
      <c r="I1656" s="2968"/>
      <c r="J1656" s="2968" t="str">
        <f t="shared" si="51"/>
        <v>LBFCO200-22</v>
      </c>
      <c r="K1656" s="2969" t="str">
        <f t="shared" si="50"/>
        <v>LBFCO200-22LBFCO-24KV-200A</v>
      </c>
    </row>
    <row r="1657" spans="1:11">
      <c r="A1657" s="2969" t="s">
        <v>599</v>
      </c>
      <c r="B1657" s="3015" t="s">
        <v>1501</v>
      </c>
      <c r="C1657" s="2969" t="s">
        <v>7329</v>
      </c>
      <c r="D1657" s="2968" t="s">
        <v>2433</v>
      </c>
      <c r="E1657" s="2968"/>
      <c r="F1657" s="2968">
        <v>9</v>
      </c>
      <c r="G1657" s="2968" t="s">
        <v>6510</v>
      </c>
      <c r="H1657" s="2968"/>
      <c r="I1657" s="2968"/>
      <c r="J1657" s="2968" t="str">
        <f t="shared" si="51"/>
        <v>LBS 16</v>
      </c>
      <c r="K1657" s="2969" t="str">
        <f t="shared" si="50"/>
        <v>LBS 16LBS SF6 3pha 24kV 630A - 16kA (MBA cấp nguồn + Phụ kiện)</v>
      </c>
    </row>
    <row r="1658" spans="1:11">
      <c r="A1658" s="2969" t="s">
        <v>533</v>
      </c>
      <c r="B1658" s="3015" t="s">
        <v>1501</v>
      </c>
      <c r="C1658" s="2969" t="s">
        <v>3328</v>
      </c>
      <c r="D1658" s="2968" t="s">
        <v>2433</v>
      </c>
      <c r="E1658" s="2968"/>
      <c r="F1658" s="2968">
        <v>9</v>
      </c>
      <c r="G1658" s="2968" t="s">
        <v>6510</v>
      </c>
      <c r="H1658" s="2968"/>
      <c r="I1658" s="2968"/>
      <c r="J1658" s="2968" t="str">
        <f t="shared" si="51"/>
        <v>LBS treo</v>
      </c>
      <c r="K1658" s="2969" t="str">
        <f t="shared" si="50"/>
        <v>LBS treoLBS SF6 3pha 24kV 630A 12kA + bộ truyền động</v>
      </c>
    </row>
    <row r="1659" spans="1:11" hidden="1">
      <c r="A1659" s="2969" t="s">
        <v>4621</v>
      </c>
      <c r="B1659" s="3004"/>
      <c r="C1659" s="2969" t="s">
        <v>4622</v>
      </c>
      <c r="D1659" s="2968" t="s">
        <v>2547</v>
      </c>
      <c r="E1659" s="2968"/>
      <c r="F1659" s="2968">
        <v>50</v>
      </c>
      <c r="G1659" s="2968" t="s">
        <v>510</v>
      </c>
      <c r="H1659" s="2968"/>
      <c r="I1659" s="2968"/>
      <c r="J1659" s="2968" t="str">
        <f t="shared" si="51"/>
        <v>len</v>
      </c>
      <c r="K1659" s="2969" t="str">
        <f t="shared" si="50"/>
        <v>lenLem yên ngựa</v>
      </c>
    </row>
    <row r="1660" spans="1:11" hidden="1">
      <c r="A1660" s="2969" t="s">
        <v>703</v>
      </c>
      <c r="B1660" s="2986"/>
      <c r="C1660" s="2969" t="s">
        <v>2680</v>
      </c>
      <c r="D1660" s="2968" t="s">
        <v>2547</v>
      </c>
      <c r="E1660" s="2968"/>
      <c r="F1660" s="2968">
        <v>50</v>
      </c>
      <c r="G1660" s="2968" t="s">
        <v>510</v>
      </c>
      <c r="H1660" s="2968"/>
      <c r="I1660" s="2968"/>
      <c r="J1660" s="2968" t="str">
        <f t="shared" si="51"/>
        <v>LD tron</v>
      </c>
      <c r="K1660" s="2969" t="str">
        <f t="shared" si="50"/>
        <v>LD tronLong đền tròn 12-14-16-18</v>
      </c>
    </row>
    <row r="1661" spans="1:11" hidden="1">
      <c r="A1661" s="2969" t="s">
        <v>1515</v>
      </c>
      <c r="B1661" s="2986"/>
      <c r="C1661" s="2969" t="s">
        <v>2681</v>
      </c>
      <c r="D1661" s="2968" t="s">
        <v>2547</v>
      </c>
      <c r="E1661" s="2968"/>
      <c r="F1661" s="2968">
        <v>50</v>
      </c>
      <c r="G1661" s="2968" t="s">
        <v>510</v>
      </c>
      <c r="H1661" s="2968"/>
      <c r="I1661" s="2968"/>
      <c r="J1661" s="2968" t="str">
        <f t="shared" si="51"/>
        <v>LD 40</v>
      </c>
      <c r="K1661" s="2969" t="str">
        <f t="shared" si="50"/>
        <v>LD 40Long đền vuông 14-22 (50x50x3)</v>
      </c>
    </row>
    <row r="1662" spans="1:11" hidden="1">
      <c r="A1662" s="2969" t="s">
        <v>1516</v>
      </c>
      <c r="B1662" s="2986"/>
      <c r="C1662" s="2969" t="s">
        <v>2682</v>
      </c>
      <c r="D1662" s="2968" t="s">
        <v>2547</v>
      </c>
      <c r="E1662" s="2968"/>
      <c r="F1662" s="2968">
        <v>50</v>
      </c>
      <c r="G1662" s="2968" t="s">
        <v>510</v>
      </c>
      <c r="H1662" s="2968"/>
      <c r="I1662" s="2968"/>
      <c r="J1662" s="2968" t="str">
        <f t="shared" si="51"/>
        <v>LD 60</v>
      </c>
      <c r="K1662" s="2969" t="str">
        <f t="shared" si="50"/>
        <v>LD 60Long đền vuông 18-24 (60x60x6)</v>
      </c>
    </row>
    <row r="1663" spans="1:11" hidden="1">
      <c r="A1663" s="2969" t="s">
        <v>785</v>
      </c>
      <c r="B1663" s="3015" t="s">
        <v>665</v>
      </c>
      <c r="C1663" s="2969" t="s">
        <v>1183</v>
      </c>
      <c r="D1663" s="2968" t="s">
        <v>2547</v>
      </c>
      <c r="E1663" s="2968"/>
      <c r="F1663" s="2968">
        <v>50</v>
      </c>
      <c r="G1663" s="2968" t="s">
        <v>6510</v>
      </c>
      <c r="H1663" s="2968"/>
      <c r="I1663" s="2968"/>
      <c r="J1663" s="2968" t="str">
        <f t="shared" si="51"/>
        <v>LTD</v>
      </c>
      <c r="K1663" s="2969" t="str">
        <f t="shared" si="50"/>
        <v>LTDLTD 1P 24KV - 800A</v>
      </c>
    </row>
    <row r="1664" spans="1:11" hidden="1">
      <c r="A1664" s="2969" t="s">
        <v>5227</v>
      </c>
      <c r="B1664" s="3004"/>
      <c r="C1664" s="2969" t="s">
        <v>5228</v>
      </c>
      <c r="D1664" s="2968" t="s">
        <v>2526</v>
      </c>
      <c r="E1664" s="2968"/>
      <c r="F1664" s="2968">
        <v>50</v>
      </c>
      <c r="G1664" s="2968" t="s">
        <v>510</v>
      </c>
      <c r="H1664" s="2968"/>
      <c r="I1664" s="2968"/>
      <c r="J1664" s="2968" t="str">
        <f t="shared" si="51"/>
        <v>B40</v>
      </c>
      <c r="K1664" s="2969" t="str">
        <f t="shared" si="50"/>
        <v>B40Lưới B40 - 1800-3/Zn</v>
      </c>
    </row>
    <row r="1665" spans="1:11" hidden="1">
      <c r="A1665" s="2969" t="s">
        <v>1680</v>
      </c>
      <c r="B1665" s="3004" t="s">
        <v>491</v>
      </c>
      <c r="C1665" s="3012" t="s">
        <v>3635</v>
      </c>
      <c r="D1665" s="2968" t="s">
        <v>2526</v>
      </c>
      <c r="E1665" s="2968"/>
      <c r="F1665" s="2968">
        <v>3000</v>
      </c>
      <c r="G1665" s="2968" t="s">
        <v>510</v>
      </c>
      <c r="H1665" s="2968"/>
      <c r="I1665" s="2968"/>
      <c r="J1665" s="2968" t="str">
        <f t="shared" si="51"/>
        <v>LUONDAY</v>
      </c>
      <c r="K1665" s="2969" t="str">
        <f t="shared" si="50"/>
        <v>LUONDAYLuồn dây lên đèn</v>
      </c>
    </row>
    <row r="1666" spans="1:11" hidden="1">
      <c r="A1666" s="2969" t="s">
        <v>4588</v>
      </c>
      <c r="B1666" s="3004"/>
      <c r="C1666" s="2969" t="s">
        <v>4589</v>
      </c>
      <c r="D1666" s="2968" t="s">
        <v>2547</v>
      </c>
      <c r="E1666" s="2968"/>
      <c r="F1666" s="2968">
        <v>50</v>
      </c>
      <c r="G1666" s="2968" t="s">
        <v>510</v>
      </c>
      <c r="H1666" s="2968"/>
      <c r="I1666" s="2968"/>
      <c r="J1666" s="2968" t="str">
        <f t="shared" si="51"/>
        <v>MANG4</v>
      </c>
      <c r="K1666" s="2969" t="str">
        <f t="shared" si="50"/>
        <v>MANG4Máng che dây chằng dày 0,4x2000</v>
      </c>
    </row>
    <row r="1667" spans="1:11" hidden="1">
      <c r="A1667" s="2969" t="s">
        <v>1996</v>
      </c>
      <c r="B1667" s="3004"/>
      <c r="C1667" s="2969" t="s">
        <v>2902</v>
      </c>
      <c r="D1667" s="2968" t="s">
        <v>2547</v>
      </c>
      <c r="E1667" s="2968"/>
      <c r="F1667" s="2968">
        <v>50</v>
      </c>
      <c r="G1667" s="2968" t="s">
        <v>510</v>
      </c>
      <c r="H1667" s="2968"/>
      <c r="I1667" s="2968"/>
      <c r="J1667" s="2968" t="str">
        <f t="shared" si="51"/>
        <v>MANG</v>
      </c>
      <c r="K1667" s="2969" t="str">
        <f t="shared" ref="K1667:K1730" si="52">A1667&amp;C1667</f>
        <v>MANGMáng che dây chằng dày 1,6mm</v>
      </c>
    </row>
    <row r="1668" spans="1:11" hidden="1">
      <c r="A1668" s="2969" t="s">
        <v>1014</v>
      </c>
      <c r="B1668" s="2986"/>
      <c r="C1668" s="2969" t="s">
        <v>3026</v>
      </c>
      <c r="D1668" s="2968" t="s">
        <v>2547</v>
      </c>
      <c r="E1668" s="2968"/>
      <c r="F1668" s="2968">
        <v>50</v>
      </c>
      <c r="G1668" s="2968" t="s">
        <v>510</v>
      </c>
      <c r="H1668" s="2968"/>
      <c r="I1668" s="2968"/>
      <c r="J1668" s="2968" t="str">
        <f t="shared" ref="J1668:J1731" si="53">A1668</f>
        <v>costk114</v>
      </c>
      <c r="K1668" s="2969" t="str">
        <f t="shared" si="52"/>
        <v>costk114Măng sông STK 114</v>
      </c>
    </row>
    <row r="1669" spans="1:11" hidden="1">
      <c r="A1669" s="2969" t="s">
        <v>667</v>
      </c>
      <c r="B1669" s="3004"/>
      <c r="C1669" s="2969" t="s">
        <v>3027</v>
      </c>
      <c r="D1669" s="2968" t="s">
        <v>2547</v>
      </c>
      <c r="E1669" s="2968"/>
      <c r="F1669" s="2968">
        <v>50</v>
      </c>
      <c r="G1669" s="2968" t="s">
        <v>510</v>
      </c>
      <c r="H1669" s="2968"/>
      <c r="I1669" s="2968"/>
      <c r="J1669" s="2968" t="str">
        <f t="shared" si="53"/>
        <v>costk90</v>
      </c>
      <c r="K1669" s="2969" t="str">
        <f t="shared" si="52"/>
        <v>costk90Măng sông STK 90</v>
      </c>
    </row>
    <row r="1670" spans="1:11" hidden="1">
      <c r="A1670" s="2969" t="s">
        <v>5281</v>
      </c>
      <c r="B1670" s="3004" t="s">
        <v>5282</v>
      </c>
      <c r="C1670" s="2969" t="s">
        <v>5283</v>
      </c>
      <c r="D1670" s="2968" t="s">
        <v>5284</v>
      </c>
      <c r="E1670" s="2968"/>
      <c r="F1670" s="2968">
        <v>3000</v>
      </c>
      <c r="G1670" s="2968" t="s">
        <v>510</v>
      </c>
      <c r="H1670" s="2968"/>
      <c r="I1670" s="2968"/>
      <c r="J1670" s="2968" t="str">
        <f t="shared" si="53"/>
        <v>C20mMB</v>
      </c>
      <c r="K1670" s="2969" t="str">
        <f t="shared" si="52"/>
        <v>C20mMBMặt bích nối cột bêt tông loại 200x200x5, 04 lỗ D16</v>
      </c>
    </row>
    <row r="1671" spans="1:11" hidden="1">
      <c r="A1671" s="2969" t="s">
        <v>1480</v>
      </c>
      <c r="B1671" s="3004"/>
      <c r="C1671" s="2969" t="s">
        <v>2903</v>
      </c>
      <c r="D1671" s="2968" t="s">
        <v>2547</v>
      </c>
      <c r="E1671" s="2968"/>
      <c r="F1671" s="2968">
        <v>50</v>
      </c>
      <c r="G1671" s="2968" t="s">
        <v>510</v>
      </c>
      <c r="H1671" s="2968"/>
      <c r="I1671" s="2968"/>
      <c r="J1671" s="2968" t="str">
        <f t="shared" si="53"/>
        <v>MND</v>
      </c>
      <c r="K1671" s="2969" t="str">
        <f t="shared" si="52"/>
        <v>MNDMắt nối đơn</v>
      </c>
    </row>
    <row r="1672" spans="1:11" hidden="1">
      <c r="A1672" s="2969" t="s">
        <v>1481</v>
      </c>
      <c r="B1672" s="3004"/>
      <c r="C1672" s="2969" t="s">
        <v>2904</v>
      </c>
      <c r="D1672" s="2968" t="s">
        <v>2547</v>
      </c>
      <c r="E1672" s="2968"/>
      <c r="F1672" s="2968">
        <v>50</v>
      </c>
      <c r="G1672" s="2968" t="s">
        <v>510</v>
      </c>
      <c r="H1672" s="2968"/>
      <c r="I1672" s="2968"/>
      <c r="J1672" s="2968" t="str">
        <f t="shared" si="53"/>
        <v>MNTG</v>
      </c>
      <c r="K1672" s="2969" t="str">
        <f t="shared" si="52"/>
        <v xml:space="preserve">MNTGMắt nối t/ gian </v>
      </c>
    </row>
    <row r="1673" spans="1:11" hidden="1">
      <c r="A1673" s="2969" t="s">
        <v>501</v>
      </c>
      <c r="B1673" s="2986" t="s">
        <v>1850</v>
      </c>
      <c r="C1673" s="3012" t="s">
        <v>3294</v>
      </c>
      <c r="D1673" s="2968" t="s">
        <v>3285</v>
      </c>
      <c r="E1673" s="2968"/>
      <c r="F1673" s="2968">
        <v>1</v>
      </c>
      <c r="G1673" s="2968" t="s">
        <v>6510</v>
      </c>
      <c r="H1673" s="2968"/>
      <c r="I1673" s="2968"/>
      <c r="J1673" s="2968" t="str">
        <f t="shared" si="53"/>
        <v>T1001</v>
      </c>
      <c r="K1673" s="2969" t="str">
        <f t="shared" si="52"/>
        <v>T1001Máy biến áp 12,7/0,22-0,44kV  100kVA</v>
      </c>
    </row>
    <row r="1674" spans="1:11" hidden="1">
      <c r="A1674" s="2969" t="s">
        <v>819</v>
      </c>
      <c r="B1674" s="3004" t="s">
        <v>776</v>
      </c>
      <c r="C1674" s="3012" t="s">
        <v>3291</v>
      </c>
      <c r="D1674" s="2968" t="s">
        <v>3285</v>
      </c>
      <c r="E1674" s="2968"/>
      <c r="F1674" s="2968">
        <v>1</v>
      </c>
      <c r="G1674" s="2968" t="s">
        <v>6510</v>
      </c>
      <c r="H1674" s="2968"/>
      <c r="I1674" s="2968"/>
      <c r="J1674" s="2968" t="str">
        <f t="shared" si="53"/>
        <v>TR151</v>
      </c>
      <c r="K1674" s="2969" t="str">
        <f t="shared" si="52"/>
        <v>TR151Máy biến áp 12,7/0,22-0,44kV  15kVA</v>
      </c>
    </row>
    <row r="1675" spans="1:11" hidden="1">
      <c r="A1675" s="2969" t="s">
        <v>1206</v>
      </c>
      <c r="B1675" s="3004" t="s">
        <v>776</v>
      </c>
      <c r="C1675" s="3012" t="s">
        <v>3292</v>
      </c>
      <c r="D1675" s="2968" t="s">
        <v>3285</v>
      </c>
      <c r="E1675" s="2968"/>
      <c r="F1675" s="2968">
        <v>1</v>
      </c>
      <c r="G1675" s="2968" t="s">
        <v>6510</v>
      </c>
      <c r="H1675" s="2968"/>
      <c r="I1675" s="2968"/>
      <c r="J1675" s="2968" t="str">
        <f t="shared" si="53"/>
        <v>TR251</v>
      </c>
      <c r="K1675" s="2969" t="str">
        <f t="shared" si="52"/>
        <v>TR251Máy biến áp 12,7/0,22-0,44kV  25kVA</v>
      </c>
    </row>
    <row r="1676" spans="1:11" hidden="1">
      <c r="A1676" s="2969" t="s">
        <v>1207</v>
      </c>
      <c r="B1676" s="3004" t="s">
        <v>1738</v>
      </c>
      <c r="C1676" s="3012" t="s">
        <v>3293</v>
      </c>
      <c r="D1676" s="2968" t="s">
        <v>3285</v>
      </c>
      <c r="E1676" s="2968"/>
      <c r="F1676" s="2968">
        <v>1</v>
      </c>
      <c r="G1676" s="2968" t="s">
        <v>6510</v>
      </c>
      <c r="H1676" s="2968"/>
      <c r="I1676" s="2968"/>
      <c r="J1676" s="2968" t="str">
        <f t="shared" si="53"/>
        <v>TR371</v>
      </c>
      <c r="K1676" s="2969" t="str">
        <f t="shared" si="52"/>
        <v>TR371Máy biến áp 12,7/0,22-0,44kV  37,5kVA</v>
      </c>
    </row>
    <row r="1677" spans="1:11" hidden="1">
      <c r="A1677" s="2969" t="s">
        <v>1209</v>
      </c>
      <c r="B1677" s="3004" t="s">
        <v>213</v>
      </c>
      <c r="C1677" s="3012" t="s">
        <v>4454</v>
      </c>
      <c r="D1677" s="2968" t="s">
        <v>3285</v>
      </c>
      <c r="E1677" s="2968"/>
      <c r="F1677" s="2968">
        <v>1</v>
      </c>
      <c r="G1677" s="2968" t="s">
        <v>6510</v>
      </c>
      <c r="H1677" s="2968"/>
      <c r="I1677" s="2968"/>
      <c r="J1677" s="2968" t="str">
        <f t="shared" si="53"/>
        <v>TR751</v>
      </c>
      <c r="K1677" s="2969" t="str">
        <f t="shared" si="52"/>
        <v>TR751Máy biến áp 12,7/0,23-0,46kV  75kVA</v>
      </c>
    </row>
    <row r="1678" spans="1:11" hidden="1">
      <c r="A1678" s="2969" t="s">
        <v>1208</v>
      </c>
      <c r="B1678" s="3004" t="s">
        <v>1646</v>
      </c>
      <c r="C1678" s="3012" t="s">
        <v>4683</v>
      </c>
      <c r="D1678" s="2968" t="s">
        <v>3285</v>
      </c>
      <c r="E1678" s="2968"/>
      <c r="F1678" s="2968">
        <v>1</v>
      </c>
      <c r="G1678" s="2968" t="s">
        <v>6510</v>
      </c>
      <c r="H1678" s="2968"/>
      <c r="I1678" s="2968"/>
      <c r="J1678" s="2968" t="str">
        <f t="shared" si="53"/>
        <v>TR501</v>
      </c>
      <c r="K1678" s="2969" t="str">
        <f t="shared" si="52"/>
        <v>TR501Máy biến áp 12,7/0,23-0,46kV 50kVA</v>
      </c>
    </row>
    <row r="1679" spans="1:11" hidden="1">
      <c r="A1679" s="3012" t="s">
        <v>1975</v>
      </c>
      <c r="B1679" s="3017" t="s">
        <v>1854</v>
      </c>
      <c r="C1679" s="3012" t="s">
        <v>3304</v>
      </c>
      <c r="D1679" s="2968" t="s">
        <v>3285</v>
      </c>
      <c r="E1679" s="2968"/>
      <c r="F1679" s="2968">
        <v>1</v>
      </c>
      <c r="G1679" s="2968" t="s">
        <v>6510</v>
      </c>
      <c r="H1679" s="2968"/>
      <c r="I1679" s="2968"/>
      <c r="J1679" s="2968" t="str">
        <f t="shared" si="53"/>
        <v>TR1000</v>
      </c>
      <c r="K1679" s="2969" t="str">
        <f t="shared" si="52"/>
        <v>TR1000Máy biến áp 15(22)/0,4kV- 1000kVA</v>
      </c>
    </row>
    <row r="1680" spans="1:11" hidden="1">
      <c r="A1680" s="3012" t="s">
        <v>248</v>
      </c>
      <c r="B1680" s="3017" t="s">
        <v>925</v>
      </c>
      <c r="C1680" s="3012" t="s">
        <v>3295</v>
      </c>
      <c r="D1680" s="2968" t="s">
        <v>3285</v>
      </c>
      <c r="E1680" s="2968"/>
      <c r="F1680" s="2968">
        <v>1</v>
      </c>
      <c r="G1680" s="2968" t="s">
        <v>6510</v>
      </c>
      <c r="H1680" s="2968"/>
      <c r="I1680" s="2968"/>
      <c r="J1680" s="2968" t="str">
        <f t="shared" si="53"/>
        <v>TR100</v>
      </c>
      <c r="K1680" s="2969" t="str">
        <f t="shared" si="52"/>
        <v>TR100Máy biến áp 15(22)/0,4kV- 100kVA</v>
      </c>
    </row>
    <row r="1681" spans="1:11" hidden="1">
      <c r="A1681" s="3012" t="s">
        <v>691</v>
      </c>
      <c r="B1681" s="3017" t="s">
        <v>1854</v>
      </c>
      <c r="C1681" s="3012" t="s">
        <v>3305</v>
      </c>
      <c r="D1681" s="2968" t="s">
        <v>3285</v>
      </c>
      <c r="E1681" s="2968"/>
      <c r="F1681" s="2968">
        <v>1</v>
      </c>
      <c r="G1681" s="2968" t="s">
        <v>6510</v>
      </c>
      <c r="H1681" s="2968"/>
      <c r="I1681" s="2968"/>
      <c r="J1681" s="2968" t="str">
        <f t="shared" si="53"/>
        <v>TR1250</v>
      </c>
      <c r="K1681" s="2969" t="str">
        <f t="shared" si="52"/>
        <v>TR1250Máy biến áp 15(22)/0,4kV- 1250kVA</v>
      </c>
    </row>
    <row r="1682" spans="1:11" hidden="1">
      <c r="A1682" s="3012" t="s">
        <v>1408</v>
      </c>
      <c r="B1682" s="3017" t="s">
        <v>1854</v>
      </c>
      <c r="C1682" s="3012" t="s">
        <v>3306</v>
      </c>
      <c r="D1682" s="2968" t="s">
        <v>3285</v>
      </c>
      <c r="E1682" s="2968"/>
      <c r="F1682" s="2968">
        <v>1</v>
      </c>
      <c r="G1682" s="2968" t="s">
        <v>6510</v>
      </c>
      <c r="H1682" s="2968"/>
      <c r="I1682" s="2968"/>
      <c r="J1682" s="2968" t="str">
        <f t="shared" si="53"/>
        <v>TR1500</v>
      </c>
      <c r="K1682" s="2969" t="str">
        <f t="shared" si="52"/>
        <v>TR1500Máy biến áp 15(22)/0,4kV- 1500kVA</v>
      </c>
    </row>
    <row r="1683" spans="1:11" hidden="1">
      <c r="A1683" s="3012" t="s">
        <v>1448</v>
      </c>
      <c r="B1683" s="3017" t="s">
        <v>1854</v>
      </c>
      <c r="C1683" s="3012" t="s">
        <v>3307</v>
      </c>
      <c r="D1683" s="2968" t="s">
        <v>3285</v>
      </c>
      <c r="E1683" s="2968"/>
      <c r="F1683" s="2968">
        <v>1</v>
      </c>
      <c r="G1683" s="2968" t="s">
        <v>6510</v>
      </c>
      <c r="H1683" s="2968"/>
      <c r="I1683" s="2968"/>
      <c r="J1683" s="2968" t="str">
        <f t="shared" si="53"/>
        <v>TR1600</v>
      </c>
      <c r="K1683" s="2969" t="str">
        <f t="shared" si="52"/>
        <v>TR1600Máy biến áp 15(22)/0,4kV- 1600kVA</v>
      </c>
    </row>
    <row r="1684" spans="1:11" hidden="1">
      <c r="A1684" s="3012" t="s">
        <v>1498</v>
      </c>
      <c r="B1684" s="3017" t="s">
        <v>1851</v>
      </c>
      <c r="C1684" s="3012" t="s">
        <v>3296</v>
      </c>
      <c r="D1684" s="2968" t="s">
        <v>3285</v>
      </c>
      <c r="E1684" s="2968"/>
      <c r="F1684" s="2968">
        <v>1</v>
      </c>
      <c r="G1684" s="2968" t="s">
        <v>6510</v>
      </c>
      <c r="H1684" s="2968"/>
      <c r="I1684" s="2968"/>
      <c r="J1684" s="2968" t="str">
        <f t="shared" si="53"/>
        <v>TR160</v>
      </c>
      <c r="K1684" s="2969" t="str">
        <f t="shared" si="52"/>
        <v>TR160Máy biến áp 15(22)/0,4kV- 160kVA</v>
      </c>
    </row>
    <row r="1685" spans="1:11" hidden="1">
      <c r="A1685" s="3012" t="s">
        <v>1238</v>
      </c>
      <c r="B1685" s="3017" t="s">
        <v>1851</v>
      </c>
      <c r="C1685" s="3012" t="s">
        <v>3297</v>
      </c>
      <c r="D1685" s="2968" t="s">
        <v>3285</v>
      </c>
      <c r="E1685" s="2968"/>
      <c r="F1685" s="2968">
        <v>1</v>
      </c>
      <c r="G1685" s="2968" t="s">
        <v>6510</v>
      </c>
      <c r="H1685" s="2968"/>
      <c r="I1685" s="2968"/>
      <c r="J1685" s="2968" t="str">
        <f t="shared" si="53"/>
        <v>TR180</v>
      </c>
      <c r="K1685" s="2969" t="str">
        <f t="shared" si="52"/>
        <v>TR180Máy biến áp 15(22)/0,4kV- 180kVA</v>
      </c>
    </row>
    <row r="1686" spans="1:11" hidden="1">
      <c r="A1686" s="3012" t="s">
        <v>897</v>
      </c>
      <c r="B1686" s="3017" t="s">
        <v>1854</v>
      </c>
      <c r="C1686" s="3012" t="s">
        <v>3308</v>
      </c>
      <c r="D1686" s="2968" t="s">
        <v>3285</v>
      </c>
      <c r="E1686" s="2968"/>
      <c r="F1686" s="2968">
        <v>1</v>
      </c>
      <c r="G1686" s="2968" t="s">
        <v>6510</v>
      </c>
      <c r="H1686" s="2968"/>
      <c r="I1686" s="2968"/>
      <c r="J1686" s="2968" t="str">
        <f t="shared" si="53"/>
        <v>TR2000</v>
      </c>
      <c r="K1686" s="2969" t="str">
        <f t="shared" si="52"/>
        <v>TR2000Máy biến áp 15(22)/0,4kV- 2000kVA</v>
      </c>
    </row>
    <row r="1687" spans="1:11" hidden="1">
      <c r="A1687" s="3012" t="s">
        <v>1417</v>
      </c>
      <c r="B1687" s="3017" t="s">
        <v>1854</v>
      </c>
      <c r="C1687" s="3012" t="s">
        <v>3309</v>
      </c>
      <c r="D1687" s="2968" t="s">
        <v>3285</v>
      </c>
      <c r="E1687" s="2968"/>
      <c r="F1687" s="2968">
        <v>1</v>
      </c>
      <c r="G1687" s="2968" t="s">
        <v>6510</v>
      </c>
      <c r="H1687" s="2968"/>
      <c r="I1687" s="2968"/>
      <c r="J1687" s="2968" t="str">
        <f t="shared" si="53"/>
        <v>TR2500</v>
      </c>
      <c r="K1687" s="2969" t="str">
        <f t="shared" si="52"/>
        <v>TR2500Máy biến áp 15(22)/0,4kV- 2500kVA</v>
      </c>
    </row>
    <row r="1688" spans="1:11" hidden="1">
      <c r="A1688" s="3012" t="s">
        <v>2064</v>
      </c>
      <c r="B1688" s="3017" t="s">
        <v>1852</v>
      </c>
      <c r="C1688" s="3012" t="s">
        <v>3298</v>
      </c>
      <c r="D1688" s="2968" t="s">
        <v>3285</v>
      </c>
      <c r="E1688" s="2968"/>
      <c r="F1688" s="2968">
        <v>1</v>
      </c>
      <c r="G1688" s="2968" t="s">
        <v>6510</v>
      </c>
      <c r="H1688" s="2968"/>
      <c r="I1688" s="2968"/>
      <c r="J1688" s="2968" t="str">
        <f t="shared" si="53"/>
        <v>TR250</v>
      </c>
      <c r="K1688" s="2969" t="str">
        <f t="shared" si="52"/>
        <v>TR250Máy biến áp 15(22)/0,4kV- 250kVA</v>
      </c>
    </row>
    <row r="1689" spans="1:11" hidden="1">
      <c r="A1689" s="3012" t="s">
        <v>1418</v>
      </c>
      <c r="B1689" s="3017" t="s">
        <v>1854</v>
      </c>
      <c r="C1689" s="3012" t="s">
        <v>3310</v>
      </c>
      <c r="D1689" s="2968" t="s">
        <v>3285</v>
      </c>
      <c r="E1689" s="2968"/>
      <c r="F1689" s="2968">
        <v>1</v>
      </c>
      <c r="G1689" s="2968" t="s">
        <v>6510</v>
      </c>
      <c r="H1689" s="2968"/>
      <c r="I1689" s="2968"/>
      <c r="J1689" s="2968" t="str">
        <f t="shared" si="53"/>
        <v>TR3000</v>
      </c>
      <c r="K1689" s="2969" t="str">
        <f t="shared" si="52"/>
        <v>TR3000Máy biến áp 15(22)/0,4kV- 3000kVA</v>
      </c>
    </row>
    <row r="1690" spans="1:11" hidden="1">
      <c r="A1690" s="3012" t="s">
        <v>434</v>
      </c>
      <c r="B1690" s="3017" t="s">
        <v>1852</v>
      </c>
      <c r="C1690" s="3012" t="s">
        <v>3299</v>
      </c>
      <c r="D1690" s="2968" t="s">
        <v>3285</v>
      </c>
      <c r="E1690" s="2968"/>
      <c r="F1690" s="2968">
        <v>1</v>
      </c>
      <c r="G1690" s="2968" t="s">
        <v>6510</v>
      </c>
      <c r="H1690" s="2968"/>
      <c r="I1690" s="2968"/>
      <c r="J1690" s="2968" t="str">
        <f t="shared" si="53"/>
        <v>TR320</v>
      </c>
      <c r="K1690" s="2969" t="str">
        <f t="shared" si="52"/>
        <v>TR320Máy biến áp 15(22)/0,4kV- 320kVA</v>
      </c>
    </row>
    <row r="1691" spans="1:11" hidden="1">
      <c r="A1691" s="3012" t="s">
        <v>1419</v>
      </c>
      <c r="B1691" s="3017" t="s">
        <v>1854</v>
      </c>
      <c r="C1691" s="3012" t="s">
        <v>3311</v>
      </c>
      <c r="D1691" s="2968" t="s">
        <v>3285</v>
      </c>
      <c r="E1691" s="2968"/>
      <c r="F1691" s="2968">
        <v>1</v>
      </c>
      <c r="G1691" s="2968" t="s">
        <v>6510</v>
      </c>
      <c r="H1691" s="2968"/>
      <c r="I1691" s="2968"/>
      <c r="J1691" s="2968" t="str">
        <f t="shared" si="53"/>
        <v>TR4000</v>
      </c>
      <c r="K1691" s="2969" t="str">
        <f t="shared" si="52"/>
        <v>TR4000Máy biến áp 15(22)/0,4kV- 4000kVA</v>
      </c>
    </row>
    <row r="1692" spans="1:11" hidden="1">
      <c r="A1692" s="3012" t="s">
        <v>63</v>
      </c>
      <c r="B1692" s="3017" t="s">
        <v>1852</v>
      </c>
      <c r="C1692" s="3012" t="s">
        <v>3300</v>
      </c>
      <c r="D1692" s="2968" t="s">
        <v>3285</v>
      </c>
      <c r="E1692" s="2968"/>
      <c r="F1692" s="2968">
        <v>1</v>
      </c>
      <c r="G1692" s="2968" t="s">
        <v>6510</v>
      </c>
      <c r="H1692" s="2968"/>
      <c r="I1692" s="2968"/>
      <c r="J1692" s="2968" t="str">
        <f t="shared" si="53"/>
        <v>TR400</v>
      </c>
      <c r="K1692" s="2969" t="str">
        <f t="shared" si="52"/>
        <v>TR400Máy biến áp 15(22)/0,4kV- 400kVA</v>
      </c>
    </row>
    <row r="1693" spans="1:11" hidden="1">
      <c r="A1693" s="3012" t="s">
        <v>840</v>
      </c>
      <c r="B1693" s="3017" t="s">
        <v>1853</v>
      </c>
      <c r="C1693" s="3012" t="s">
        <v>3301</v>
      </c>
      <c r="D1693" s="2968" t="s">
        <v>3285</v>
      </c>
      <c r="E1693" s="2968"/>
      <c r="F1693" s="2968">
        <v>1</v>
      </c>
      <c r="G1693" s="2968" t="s">
        <v>6510</v>
      </c>
      <c r="H1693" s="2968"/>
      <c r="I1693" s="2968"/>
      <c r="J1693" s="2968" t="str">
        <f t="shared" si="53"/>
        <v>TR560</v>
      </c>
      <c r="K1693" s="2969" t="str">
        <f t="shared" si="52"/>
        <v>TR560Máy biến áp 15(22)/0,4kV- 560kVA</v>
      </c>
    </row>
    <row r="1694" spans="1:11" hidden="1">
      <c r="A1694" s="3012" t="s">
        <v>874</v>
      </c>
      <c r="B1694" s="3017" t="s">
        <v>1853</v>
      </c>
      <c r="C1694" s="3012" t="s">
        <v>3302</v>
      </c>
      <c r="D1694" s="2968" t="s">
        <v>3285</v>
      </c>
      <c r="E1694" s="2968"/>
      <c r="F1694" s="2968">
        <v>1</v>
      </c>
      <c r="G1694" s="2968" t="s">
        <v>6510</v>
      </c>
      <c r="H1694" s="2968"/>
      <c r="I1694" s="2968"/>
      <c r="J1694" s="2968" t="str">
        <f t="shared" si="53"/>
        <v>TR630</v>
      </c>
      <c r="K1694" s="2969" t="str">
        <f t="shared" si="52"/>
        <v>TR630Máy biến áp 15(22)/0,4kV- 630kVA</v>
      </c>
    </row>
    <row r="1695" spans="1:11" hidden="1">
      <c r="A1695" s="3012" t="s">
        <v>2161</v>
      </c>
      <c r="B1695" s="3017" t="s">
        <v>1854</v>
      </c>
      <c r="C1695" s="3012" t="s">
        <v>3303</v>
      </c>
      <c r="D1695" s="2968" t="s">
        <v>3285</v>
      </c>
      <c r="E1695" s="2968"/>
      <c r="F1695" s="2968">
        <v>1</v>
      </c>
      <c r="G1695" s="2968" t="s">
        <v>6510</v>
      </c>
      <c r="H1695" s="2968"/>
      <c r="I1695" s="2968"/>
      <c r="J1695" s="2968" t="str">
        <f t="shared" si="53"/>
        <v>TR750</v>
      </c>
      <c r="K1695" s="2969" t="str">
        <f t="shared" si="52"/>
        <v>TR750Máy biến áp 15(22)/0,4kV- 750kVA</v>
      </c>
    </row>
    <row r="1696" spans="1:11" hidden="1">
      <c r="A1696" s="2969" t="s">
        <v>1499</v>
      </c>
      <c r="B1696" s="3004" t="s">
        <v>648</v>
      </c>
      <c r="C1696" s="3012" t="s">
        <v>3312</v>
      </c>
      <c r="D1696" s="2968" t="s">
        <v>3285</v>
      </c>
      <c r="E1696" s="2968"/>
      <c r="F1696" s="2968">
        <v>1</v>
      </c>
      <c r="G1696" s="2968" t="s">
        <v>6510</v>
      </c>
      <c r="H1696" s="2968"/>
      <c r="I1696" s="2968"/>
      <c r="J1696" s="2968" t="str">
        <f t="shared" si="53"/>
        <v>TR1601</v>
      </c>
      <c r="K1696" s="2969" t="str">
        <f t="shared" si="52"/>
        <v>TR1601Máy biến áp 22/0,4kV  160kVA</v>
      </c>
    </row>
    <row r="1697" spans="1:11" hidden="1">
      <c r="A1697" s="2969" t="s">
        <v>1237</v>
      </c>
      <c r="B1697" s="3004" t="s">
        <v>648</v>
      </c>
      <c r="C1697" s="3012" t="s">
        <v>3313</v>
      </c>
      <c r="D1697" s="2968" t="s">
        <v>3285</v>
      </c>
      <c r="E1697" s="2968"/>
      <c r="F1697" s="2968">
        <v>1</v>
      </c>
      <c r="G1697" s="2968" t="s">
        <v>6510</v>
      </c>
      <c r="H1697" s="2968"/>
      <c r="I1697" s="2968"/>
      <c r="J1697" s="2968" t="str">
        <f t="shared" si="53"/>
        <v>TR1801</v>
      </c>
      <c r="K1697" s="2969" t="str">
        <f t="shared" si="52"/>
        <v>TR1801Máy biến áp 22/0,4kV  180kVA</v>
      </c>
    </row>
    <row r="1698" spans="1:11" hidden="1">
      <c r="A1698" s="2969" t="s">
        <v>611</v>
      </c>
      <c r="B1698" s="3004" t="s">
        <v>649</v>
      </c>
      <c r="C1698" s="3012" t="s">
        <v>3320</v>
      </c>
      <c r="D1698" s="2968" t="s">
        <v>3285</v>
      </c>
      <c r="E1698" s="2968"/>
      <c r="F1698" s="2968">
        <v>1</v>
      </c>
      <c r="G1698" s="2968" t="s">
        <v>6510</v>
      </c>
      <c r="H1698" s="2968"/>
      <c r="I1698" s="2968"/>
      <c r="J1698" s="2968" t="str">
        <f t="shared" si="53"/>
        <v>TR10001</v>
      </c>
      <c r="K1698" s="2969" t="str">
        <f t="shared" si="52"/>
        <v>TR10001Máy biến áp 22/0,4kV- 1000kVA</v>
      </c>
    </row>
    <row r="1699" spans="1:11" hidden="1">
      <c r="A1699" s="2969" t="s">
        <v>1409</v>
      </c>
      <c r="B1699" s="3004" t="s">
        <v>649</v>
      </c>
      <c r="C1699" s="3012" t="s">
        <v>3321</v>
      </c>
      <c r="D1699" s="2968" t="s">
        <v>3285</v>
      </c>
      <c r="E1699" s="2968"/>
      <c r="F1699" s="2968">
        <v>1</v>
      </c>
      <c r="G1699" s="2968" t="s">
        <v>6510</v>
      </c>
      <c r="H1699" s="2968"/>
      <c r="I1699" s="2968"/>
      <c r="J1699" s="2968" t="str">
        <f t="shared" si="53"/>
        <v>TR12501</v>
      </c>
      <c r="K1699" s="2969" t="str">
        <f t="shared" si="52"/>
        <v>TR12501Máy biến áp 22/0,4kV- 1250kVA</v>
      </c>
    </row>
    <row r="1700" spans="1:11" hidden="1">
      <c r="A1700" s="2969" t="s">
        <v>305</v>
      </c>
      <c r="B1700" s="3004" t="s">
        <v>649</v>
      </c>
      <c r="C1700" s="3012" t="s">
        <v>3322</v>
      </c>
      <c r="D1700" s="2968" t="s">
        <v>3285</v>
      </c>
      <c r="E1700" s="2968"/>
      <c r="F1700" s="2968">
        <v>1</v>
      </c>
      <c r="G1700" s="2968" t="s">
        <v>6510</v>
      </c>
      <c r="H1700" s="2968"/>
      <c r="I1700" s="2968"/>
      <c r="J1700" s="2968" t="str">
        <f t="shared" si="53"/>
        <v>TR15001</v>
      </c>
      <c r="K1700" s="2969" t="str">
        <f t="shared" si="52"/>
        <v>TR15001Máy biến áp 22/0,4kV- 1500kVA</v>
      </c>
    </row>
    <row r="1701" spans="1:11" hidden="1">
      <c r="A1701" s="2969" t="s">
        <v>1449</v>
      </c>
      <c r="B1701" s="3004" t="s">
        <v>649</v>
      </c>
      <c r="C1701" s="3012" t="s">
        <v>3323</v>
      </c>
      <c r="D1701" s="2968" t="s">
        <v>3285</v>
      </c>
      <c r="E1701" s="2968"/>
      <c r="F1701" s="2968">
        <v>1</v>
      </c>
      <c r="G1701" s="2968" t="s">
        <v>6510</v>
      </c>
      <c r="H1701" s="2968"/>
      <c r="I1701" s="2968"/>
      <c r="J1701" s="2968" t="str">
        <f t="shared" si="53"/>
        <v>TR16001</v>
      </c>
      <c r="K1701" s="2969" t="str">
        <f t="shared" si="52"/>
        <v>TR16001Máy biến áp 22/0,4kV- 1600kVA</v>
      </c>
    </row>
    <row r="1702" spans="1:11" hidden="1">
      <c r="A1702" s="2969" t="s">
        <v>2147</v>
      </c>
      <c r="B1702" s="3004" t="s">
        <v>649</v>
      </c>
      <c r="C1702" s="3012" t="s">
        <v>3324</v>
      </c>
      <c r="D1702" s="2968" t="s">
        <v>3285</v>
      </c>
      <c r="E1702" s="2968"/>
      <c r="F1702" s="2968">
        <v>1</v>
      </c>
      <c r="G1702" s="2968" t="s">
        <v>6510</v>
      </c>
      <c r="H1702" s="2968"/>
      <c r="I1702" s="2968"/>
      <c r="J1702" s="2968" t="str">
        <f t="shared" si="53"/>
        <v>TR20001</v>
      </c>
      <c r="K1702" s="2969" t="str">
        <f t="shared" si="52"/>
        <v>TR20001Máy biến áp 22/0,4kV- 2000kVA</v>
      </c>
    </row>
    <row r="1703" spans="1:11" hidden="1">
      <c r="A1703" s="2969" t="s">
        <v>48</v>
      </c>
      <c r="B1703" s="3004" t="s">
        <v>649</v>
      </c>
      <c r="C1703" s="3012" t="s">
        <v>3325</v>
      </c>
      <c r="D1703" s="2968" t="s">
        <v>3285</v>
      </c>
      <c r="E1703" s="2968"/>
      <c r="F1703" s="2968">
        <v>1</v>
      </c>
      <c r="G1703" s="2968" t="s">
        <v>6510</v>
      </c>
      <c r="H1703" s="2968"/>
      <c r="I1703" s="2968"/>
      <c r="J1703" s="2968" t="str">
        <f t="shared" si="53"/>
        <v>TR25001</v>
      </c>
      <c r="K1703" s="2969" t="str">
        <f t="shared" si="52"/>
        <v>TR25001Máy biến áp 22/0,4kV- 2500kVA</v>
      </c>
    </row>
    <row r="1704" spans="1:11" hidden="1">
      <c r="A1704" s="2969" t="s">
        <v>778</v>
      </c>
      <c r="B1704" s="3004" t="s">
        <v>1739</v>
      </c>
      <c r="C1704" s="3012" t="s">
        <v>3314</v>
      </c>
      <c r="D1704" s="2968" t="s">
        <v>3285</v>
      </c>
      <c r="E1704" s="2968"/>
      <c r="F1704" s="2968">
        <v>1</v>
      </c>
      <c r="G1704" s="2968" t="s">
        <v>6510</v>
      </c>
      <c r="H1704" s="2968"/>
      <c r="I1704" s="2968"/>
      <c r="J1704" s="2968" t="str">
        <f t="shared" si="53"/>
        <v>TR2501</v>
      </c>
      <c r="K1704" s="2969" t="str">
        <f t="shared" si="52"/>
        <v>TR2501Máy biến áp 22/0,4kV- 250kVA</v>
      </c>
    </row>
    <row r="1705" spans="1:11" hidden="1">
      <c r="A1705" s="2969" t="s">
        <v>1275</v>
      </c>
      <c r="B1705" s="3004" t="s">
        <v>649</v>
      </c>
      <c r="C1705" s="3012" t="s">
        <v>3326</v>
      </c>
      <c r="D1705" s="2968" t="s">
        <v>3285</v>
      </c>
      <c r="E1705" s="2968"/>
      <c r="F1705" s="2968">
        <v>1</v>
      </c>
      <c r="G1705" s="2968" t="s">
        <v>6510</v>
      </c>
      <c r="H1705" s="2968"/>
      <c r="I1705" s="2968"/>
      <c r="J1705" s="2968" t="str">
        <f t="shared" si="53"/>
        <v>TR30001</v>
      </c>
      <c r="K1705" s="2969" t="str">
        <f t="shared" si="52"/>
        <v>TR30001Máy biến áp 22/0,4kV- 3000kVA</v>
      </c>
    </row>
    <row r="1706" spans="1:11" hidden="1">
      <c r="A1706" s="2969" t="s">
        <v>483</v>
      </c>
      <c r="B1706" s="3004" t="s">
        <v>687</v>
      </c>
      <c r="C1706" s="3012" t="s">
        <v>3315</v>
      </c>
      <c r="D1706" s="2968" t="s">
        <v>3285</v>
      </c>
      <c r="E1706" s="2968"/>
      <c r="F1706" s="2968">
        <v>1</v>
      </c>
      <c r="G1706" s="2968" t="s">
        <v>6510</v>
      </c>
      <c r="H1706" s="2968"/>
      <c r="I1706" s="2968"/>
      <c r="J1706" s="2968" t="str">
        <f t="shared" si="53"/>
        <v>TR3201</v>
      </c>
      <c r="K1706" s="2969" t="str">
        <f t="shared" si="52"/>
        <v>TR3201Máy biến áp 22/0,4kV- 320kVA</v>
      </c>
    </row>
    <row r="1707" spans="1:11" hidden="1">
      <c r="A1707" s="2969" t="s">
        <v>801</v>
      </c>
      <c r="B1707" s="3004" t="s">
        <v>649</v>
      </c>
      <c r="C1707" s="3012" t="s">
        <v>3327</v>
      </c>
      <c r="D1707" s="2968" t="s">
        <v>3285</v>
      </c>
      <c r="E1707" s="2968"/>
      <c r="F1707" s="2968">
        <v>1</v>
      </c>
      <c r="G1707" s="2968" t="s">
        <v>6510</v>
      </c>
      <c r="H1707" s="2968"/>
      <c r="I1707" s="2968"/>
      <c r="J1707" s="2968" t="str">
        <f t="shared" si="53"/>
        <v>TR40001</v>
      </c>
      <c r="K1707" s="2969" t="str">
        <f t="shared" si="52"/>
        <v>TR40001Máy biến áp 22/0,4kV- 4000kVA</v>
      </c>
    </row>
    <row r="1708" spans="1:11" hidden="1">
      <c r="A1708" s="2969" t="s">
        <v>65</v>
      </c>
      <c r="B1708" s="3004" t="s">
        <v>2090</v>
      </c>
      <c r="C1708" s="3012" t="s">
        <v>3316</v>
      </c>
      <c r="D1708" s="2968" t="s">
        <v>3285</v>
      </c>
      <c r="E1708" s="2968"/>
      <c r="F1708" s="2968">
        <v>1</v>
      </c>
      <c r="G1708" s="2968" t="s">
        <v>6510</v>
      </c>
      <c r="H1708" s="2968"/>
      <c r="I1708" s="2968"/>
      <c r="J1708" s="2968" t="str">
        <f t="shared" si="53"/>
        <v>TR4001</v>
      </c>
      <c r="K1708" s="2969" t="str">
        <f t="shared" si="52"/>
        <v>TR4001Máy biến áp 22/0,4kV- 400kVA</v>
      </c>
    </row>
    <row r="1709" spans="1:11" hidden="1">
      <c r="A1709" s="2969" t="s">
        <v>873</v>
      </c>
      <c r="B1709" s="3004" t="s">
        <v>2090</v>
      </c>
      <c r="C1709" s="3012" t="s">
        <v>3317</v>
      </c>
      <c r="D1709" s="2968" t="s">
        <v>3285</v>
      </c>
      <c r="E1709" s="2968"/>
      <c r="F1709" s="2968">
        <v>1</v>
      </c>
      <c r="G1709" s="2968" t="s">
        <v>6510</v>
      </c>
      <c r="H1709" s="2968"/>
      <c r="I1709" s="2968"/>
      <c r="J1709" s="2968" t="str">
        <f t="shared" si="53"/>
        <v>TR5601</v>
      </c>
      <c r="K1709" s="2969" t="str">
        <f t="shared" si="52"/>
        <v>TR5601Máy biến áp 22/0,4kV- 560kVA</v>
      </c>
    </row>
    <row r="1710" spans="1:11" hidden="1">
      <c r="A1710" s="2969" t="s">
        <v>875</v>
      </c>
      <c r="B1710" s="3004" t="s">
        <v>2090</v>
      </c>
      <c r="C1710" s="3012" t="s">
        <v>3318</v>
      </c>
      <c r="D1710" s="2968" t="s">
        <v>3285</v>
      </c>
      <c r="E1710" s="2968"/>
      <c r="F1710" s="2968">
        <v>1</v>
      </c>
      <c r="G1710" s="2968" t="s">
        <v>6510</v>
      </c>
      <c r="H1710" s="2968"/>
      <c r="I1710" s="2968"/>
      <c r="J1710" s="2968" t="str">
        <f t="shared" si="53"/>
        <v>TR6301</v>
      </c>
      <c r="K1710" s="2969" t="str">
        <f t="shared" si="52"/>
        <v>TR6301Máy biến áp 22/0,4kV- 630kVA</v>
      </c>
    </row>
    <row r="1711" spans="1:11" hidden="1">
      <c r="A1711" s="2969" t="s">
        <v>610</v>
      </c>
      <c r="B1711" s="3004" t="s">
        <v>649</v>
      </c>
      <c r="C1711" s="3012" t="s">
        <v>3319</v>
      </c>
      <c r="D1711" s="2968" t="s">
        <v>3285</v>
      </c>
      <c r="E1711" s="2968"/>
      <c r="F1711" s="2968">
        <v>1</v>
      </c>
      <c r="G1711" s="2968" t="s">
        <v>6510</v>
      </c>
      <c r="H1711" s="2968"/>
      <c r="I1711" s="2968"/>
      <c r="J1711" s="2968" t="str">
        <f t="shared" si="53"/>
        <v>TR7501</v>
      </c>
      <c r="K1711" s="2969" t="str">
        <f t="shared" si="52"/>
        <v>TR7501Máy biến áp 22/0,4kV- 750kVA</v>
      </c>
    </row>
    <row r="1712" spans="1:11" hidden="1">
      <c r="A1712" s="2969" t="s">
        <v>7114</v>
      </c>
      <c r="B1712" s="3004" t="s">
        <v>5509</v>
      </c>
      <c r="C1712" s="2969" t="s">
        <v>7115</v>
      </c>
      <c r="D1712" s="2968" t="s">
        <v>3285</v>
      </c>
      <c r="E1712" s="2968"/>
      <c r="F1712" s="2968">
        <v>1</v>
      </c>
      <c r="G1712" s="2968" t="s">
        <v>6510</v>
      </c>
      <c r="H1712" s="2968"/>
      <c r="I1712" s="2968"/>
      <c r="J1712" s="2968" t="str">
        <f t="shared" si="53"/>
        <v>TR800</v>
      </c>
      <c r="K1712" s="2969" t="str">
        <f t="shared" si="52"/>
        <v>TR800Máy biến áp 22/0,4kV- 800kVA</v>
      </c>
    </row>
    <row r="1713" spans="1:11" hidden="1">
      <c r="A1713" s="2969" t="s">
        <v>1620</v>
      </c>
      <c r="B1713" s="3004" t="s">
        <v>776</v>
      </c>
      <c r="C1713" s="3012" t="s">
        <v>3284</v>
      </c>
      <c r="D1713" s="2968" t="s">
        <v>3285</v>
      </c>
      <c r="E1713" s="2968"/>
      <c r="F1713" s="2968">
        <v>1</v>
      </c>
      <c r="G1713" s="2968" t="s">
        <v>6510</v>
      </c>
      <c r="H1713" s="2968"/>
      <c r="I1713" s="2968"/>
      <c r="J1713" s="2968" t="str">
        <f t="shared" si="53"/>
        <v>TR15</v>
      </c>
      <c r="K1713" s="2969" t="str">
        <f t="shared" si="52"/>
        <v>TR15Máy biến áp 8,6(12,7)/0,22- 0,44kV  15kVA</v>
      </c>
    </row>
    <row r="1714" spans="1:11" hidden="1">
      <c r="A1714" s="2969" t="s">
        <v>931</v>
      </c>
      <c r="B1714" s="3004" t="s">
        <v>776</v>
      </c>
      <c r="C1714" s="3012" t="s">
        <v>3286</v>
      </c>
      <c r="D1714" s="2968" t="s">
        <v>3285</v>
      </c>
      <c r="E1714" s="2968"/>
      <c r="F1714" s="2968">
        <v>1</v>
      </c>
      <c r="G1714" s="2968" t="s">
        <v>6510</v>
      </c>
      <c r="H1714" s="2968"/>
      <c r="I1714" s="2968"/>
      <c r="J1714" s="2968" t="str">
        <f t="shared" si="53"/>
        <v>TR25</v>
      </c>
      <c r="K1714" s="2969" t="str">
        <f t="shared" si="52"/>
        <v>TR25Máy biến áp 8,6(12,7)/0,22- 0,44kV  25kVA</v>
      </c>
    </row>
    <row r="1715" spans="1:11" hidden="1">
      <c r="A1715" s="2969" t="s">
        <v>500</v>
      </c>
      <c r="B1715" s="2986" t="s">
        <v>1850</v>
      </c>
      <c r="C1715" s="3012" t="s">
        <v>3290</v>
      </c>
      <c r="D1715" s="2968" t="s">
        <v>3285</v>
      </c>
      <c r="E1715" s="2968"/>
      <c r="F1715" s="2968">
        <v>1</v>
      </c>
      <c r="G1715" s="2968" t="s">
        <v>6510</v>
      </c>
      <c r="H1715" s="2968"/>
      <c r="I1715" s="2968"/>
      <c r="J1715" s="2968" t="str">
        <f t="shared" si="53"/>
        <v>T100</v>
      </c>
      <c r="K1715" s="2969" t="str">
        <f t="shared" si="52"/>
        <v>T100Máy biến áp 8,6(12,7)/0,22-0,44kV- 100kVA</v>
      </c>
    </row>
    <row r="1716" spans="1:11" hidden="1">
      <c r="A1716" s="2969" t="s">
        <v>1645</v>
      </c>
      <c r="B1716" s="3004" t="s">
        <v>1646</v>
      </c>
      <c r="C1716" s="3012" t="s">
        <v>3287</v>
      </c>
      <c r="D1716" s="2968" t="s">
        <v>3285</v>
      </c>
      <c r="E1716" s="2968"/>
      <c r="F1716" s="2968">
        <v>1</v>
      </c>
      <c r="G1716" s="2968" t="s">
        <v>6510</v>
      </c>
      <c r="H1716" s="2968"/>
      <c r="I1716" s="2968"/>
      <c r="J1716" s="2968" t="str">
        <f t="shared" si="53"/>
        <v>TR37</v>
      </c>
      <c r="K1716" s="2969" t="str">
        <f t="shared" si="52"/>
        <v>TR37Máy biến áp 8,6(12,7)/0,22-0,44kV- 37,5kVA</v>
      </c>
    </row>
    <row r="1717" spans="1:11" hidden="1">
      <c r="A1717" s="2969" t="s">
        <v>942</v>
      </c>
      <c r="B1717" s="3004" t="s">
        <v>1646</v>
      </c>
      <c r="C1717" s="3012" t="s">
        <v>3288</v>
      </c>
      <c r="D1717" s="2968" t="s">
        <v>3285</v>
      </c>
      <c r="E1717" s="2968"/>
      <c r="F1717" s="2968">
        <v>1</v>
      </c>
      <c r="G1717" s="2968" t="s">
        <v>6510</v>
      </c>
      <c r="H1717" s="2968"/>
      <c r="I1717" s="2968"/>
      <c r="J1717" s="2968" t="str">
        <f t="shared" si="53"/>
        <v>TR50</v>
      </c>
      <c r="K1717" s="2969" t="str">
        <f t="shared" si="52"/>
        <v>TR50Máy biến áp 8,6(12,7)/0,22-0,44kV- 50kVA</v>
      </c>
    </row>
    <row r="1718" spans="1:11" hidden="1">
      <c r="A1718" s="2969" t="s">
        <v>1825</v>
      </c>
      <c r="B1718" s="3004" t="s">
        <v>213</v>
      </c>
      <c r="C1718" s="3012" t="s">
        <v>3289</v>
      </c>
      <c r="D1718" s="2968" t="s">
        <v>3285</v>
      </c>
      <c r="E1718" s="2968"/>
      <c r="F1718" s="2968">
        <v>1</v>
      </c>
      <c r="G1718" s="2968" t="s">
        <v>6510</v>
      </c>
      <c r="H1718" s="2968"/>
      <c r="I1718" s="2968"/>
      <c r="J1718" s="2968" t="str">
        <f t="shared" si="53"/>
        <v>TR75</v>
      </c>
      <c r="K1718" s="2969" t="str">
        <f t="shared" si="52"/>
        <v>TR75Máy biến áp 8,6(12,7)/0,22-0,44kV- 75kVA</v>
      </c>
    </row>
    <row r="1719" spans="1:11" hidden="1">
      <c r="A1719" s="2969" t="s">
        <v>937</v>
      </c>
      <c r="B1719" s="3004" t="s">
        <v>1855</v>
      </c>
      <c r="C1719" s="3012" t="s">
        <v>4797</v>
      </c>
      <c r="D1719" s="2968" t="s">
        <v>3285</v>
      </c>
      <c r="E1719" s="2968"/>
      <c r="F1719" s="2968">
        <v>1</v>
      </c>
      <c r="G1719" s="2968" t="s">
        <v>6510</v>
      </c>
      <c r="H1719" s="2968"/>
      <c r="I1719" s="2968"/>
      <c r="J1719" s="2968" t="str">
        <f t="shared" si="53"/>
        <v>TR1001</v>
      </c>
      <c r="K1719" s="2969" t="str">
        <f t="shared" si="52"/>
        <v>TR1001MBA 1 PHA 12,7/0,22-0,44KV -100KVA ( TC Amorphous)</v>
      </c>
    </row>
    <row r="1720" spans="1:11" hidden="1">
      <c r="A1720" s="2969" t="s">
        <v>80</v>
      </c>
      <c r="B1720" s="3015" t="s">
        <v>1509</v>
      </c>
      <c r="C1720" s="2969" t="s">
        <v>4800</v>
      </c>
      <c r="D1720" s="2968" t="s">
        <v>2547</v>
      </c>
      <c r="E1720" s="2968"/>
      <c r="F1720" s="2968">
        <v>4</v>
      </c>
      <c r="G1720" s="2968" t="s">
        <v>6510</v>
      </c>
      <c r="H1720" s="2968"/>
      <c r="I1720" s="2968"/>
      <c r="J1720" s="2968" t="str">
        <f t="shared" si="53"/>
        <v>ATM50</v>
      </c>
      <c r="K1720" s="2969" t="str">
        <f t="shared" si="52"/>
        <v xml:space="preserve">ATM50MCCB - 3P-400V-63A-25KA  Icu=Ics </v>
      </c>
    </row>
    <row r="1721" spans="1:11" hidden="1">
      <c r="A1721" s="2969" t="s">
        <v>7116</v>
      </c>
      <c r="B1721" s="3004" t="s">
        <v>7117</v>
      </c>
      <c r="C1721" s="2969" t="s">
        <v>7118</v>
      </c>
      <c r="D1721" s="2968" t="s">
        <v>2547</v>
      </c>
      <c r="E1721" s="2968"/>
      <c r="F1721" s="2968">
        <v>4</v>
      </c>
      <c r="G1721" s="2968" t="s">
        <v>6510</v>
      </c>
      <c r="H1721" s="2968"/>
      <c r="I1721" s="2968"/>
      <c r="J1721" s="2968" t="str">
        <f t="shared" si="53"/>
        <v>ATM160</v>
      </c>
      <c r="K1721" s="2969" t="str">
        <f t="shared" si="52"/>
        <v>ATM160MCCB 3 cực 400V - 160A - 35KA (100-160A)</v>
      </c>
    </row>
    <row r="1722" spans="1:11" hidden="1">
      <c r="A1722" s="2969" t="s">
        <v>653</v>
      </c>
      <c r="B1722" s="3015" t="s">
        <v>822</v>
      </c>
      <c r="C1722" s="2969" t="s">
        <v>3395</v>
      </c>
      <c r="D1722" s="2968" t="s">
        <v>2547</v>
      </c>
      <c r="E1722" s="2968"/>
      <c r="F1722" s="2968">
        <v>4</v>
      </c>
      <c r="G1722" s="2968" t="s">
        <v>6510</v>
      </c>
      <c r="H1722" s="2968"/>
      <c r="I1722" s="2968"/>
      <c r="J1722" s="2968" t="str">
        <f t="shared" si="53"/>
        <v>ATM1000</v>
      </c>
      <c r="K1722" s="2969" t="str">
        <f t="shared" si="52"/>
        <v>ATM1000MCCB 3 cực 400V -1000A - 50KA</v>
      </c>
    </row>
    <row r="1723" spans="1:11" hidden="1">
      <c r="A1723" s="2969" t="s">
        <v>1372</v>
      </c>
      <c r="B1723" s="3015" t="s">
        <v>822</v>
      </c>
      <c r="C1723" s="2969" t="s">
        <v>3396</v>
      </c>
      <c r="D1723" s="2968" t="s">
        <v>2547</v>
      </c>
      <c r="E1723" s="2968"/>
      <c r="F1723" s="2968">
        <v>4</v>
      </c>
      <c r="G1723" s="2968" t="s">
        <v>6510</v>
      </c>
      <c r="H1723" s="2968"/>
      <c r="I1723" s="2968"/>
      <c r="J1723" s="2968" t="str">
        <f t="shared" si="53"/>
        <v>ATM1250</v>
      </c>
      <c r="K1723" s="2969" t="str">
        <f t="shared" si="52"/>
        <v>ATM1250MCCB 3 cực 400V -1250A - 85KA</v>
      </c>
    </row>
    <row r="1724" spans="1:11" hidden="1">
      <c r="A1724" s="2969" t="s">
        <v>1415</v>
      </c>
      <c r="B1724" s="3015" t="s">
        <v>1509</v>
      </c>
      <c r="C1724" s="2969" t="s">
        <v>4473</v>
      </c>
      <c r="D1724" s="2968" t="s">
        <v>2547</v>
      </c>
      <c r="E1724" s="2968"/>
      <c r="F1724" s="2968">
        <v>4</v>
      </c>
      <c r="G1724" s="2968" t="s">
        <v>6510</v>
      </c>
      <c r="H1724" s="2968"/>
      <c r="I1724" s="2968"/>
      <c r="J1724" s="2968" t="str">
        <f t="shared" si="53"/>
        <v>ATM125</v>
      </c>
      <c r="K1724" s="2969" t="str">
        <f t="shared" si="52"/>
        <v>ATM125MCCB 3 cực 400V -125A - 30KA</v>
      </c>
    </row>
    <row r="1725" spans="1:11" hidden="1">
      <c r="A1725" s="2969" t="s">
        <v>1843</v>
      </c>
      <c r="B1725" s="3015" t="s">
        <v>1509</v>
      </c>
      <c r="C1725" s="2969" t="s">
        <v>3390</v>
      </c>
      <c r="D1725" s="2968" t="s">
        <v>2547</v>
      </c>
      <c r="E1725" s="2968"/>
      <c r="F1725" s="2968">
        <v>4</v>
      </c>
      <c r="G1725" s="2968" t="s">
        <v>6510</v>
      </c>
      <c r="H1725" s="2968"/>
      <c r="I1725" s="2968"/>
      <c r="J1725" s="2968" t="str">
        <f t="shared" si="53"/>
        <v>ATM150</v>
      </c>
      <c r="K1725" s="2969" t="str">
        <f t="shared" si="52"/>
        <v>ATM150MCCB 3 cực 400V -150A - 35KA</v>
      </c>
    </row>
    <row r="1726" spans="1:11" hidden="1">
      <c r="A1726" s="2969" t="s">
        <v>1373</v>
      </c>
      <c r="B1726" s="3015" t="s">
        <v>822</v>
      </c>
      <c r="C1726" s="2969" t="s">
        <v>3397</v>
      </c>
      <c r="D1726" s="2968" t="s">
        <v>2547</v>
      </c>
      <c r="E1726" s="2968"/>
      <c r="F1726" s="2968">
        <v>4</v>
      </c>
      <c r="G1726" s="2968" t="s">
        <v>6510</v>
      </c>
      <c r="H1726" s="2968"/>
      <c r="I1726" s="2968"/>
      <c r="J1726" s="2968" t="str">
        <f t="shared" si="53"/>
        <v>ATM1600</v>
      </c>
      <c r="K1726" s="2969" t="str">
        <f t="shared" si="52"/>
        <v>ATM1600MCCB 3 cực 400V -1600A - 85KA</v>
      </c>
    </row>
    <row r="1727" spans="1:11" hidden="1">
      <c r="A1727" s="2969" t="s">
        <v>1423</v>
      </c>
      <c r="B1727" s="3015" t="s">
        <v>1509</v>
      </c>
      <c r="C1727" s="2969" t="s">
        <v>3391</v>
      </c>
      <c r="D1727" s="2968" t="s">
        <v>2547</v>
      </c>
      <c r="E1727" s="2968"/>
      <c r="F1727" s="2968">
        <v>4</v>
      </c>
      <c r="G1727" s="2968" t="s">
        <v>6510</v>
      </c>
      <c r="H1727" s="2968"/>
      <c r="I1727" s="2968"/>
      <c r="J1727" s="2968" t="str">
        <f t="shared" si="53"/>
        <v>ATM200</v>
      </c>
      <c r="K1727" s="2969" t="str">
        <f t="shared" si="52"/>
        <v>ATM200MCCB 3 cực 400V -200A - 35KA</v>
      </c>
    </row>
    <row r="1728" spans="1:11" hidden="1">
      <c r="A1728" s="2969" t="s">
        <v>5598</v>
      </c>
      <c r="B1728" s="3004"/>
      <c r="C1728" s="2969" t="s">
        <v>5599</v>
      </c>
      <c r="D1728" s="2968" t="s">
        <v>2547</v>
      </c>
      <c r="E1728" s="2968"/>
      <c r="F1728" s="2968">
        <v>4</v>
      </c>
      <c r="G1728" s="2968" t="s">
        <v>6510</v>
      </c>
      <c r="H1728" s="2968"/>
      <c r="I1728" s="2968"/>
      <c r="J1728" s="2968" t="str">
        <f t="shared" si="53"/>
        <v>ATM300</v>
      </c>
      <c r="K1728" s="2969" t="str">
        <f t="shared" si="52"/>
        <v>ATM300MCCB 3 cực 400V -300A - 36KA</v>
      </c>
    </row>
    <row r="1729" spans="1:11" hidden="1">
      <c r="A1729" s="2969" t="s">
        <v>304</v>
      </c>
      <c r="B1729" s="3015" t="s">
        <v>541</v>
      </c>
      <c r="C1729" s="2969" t="s">
        <v>4678</v>
      </c>
      <c r="D1729" s="2968" t="s">
        <v>2547</v>
      </c>
      <c r="E1729" s="2968"/>
      <c r="F1729" s="2968">
        <v>4</v>
      </c>
      <c r="G1729" s="2968" t="s">
        <v>6510</v>
      </c>
      <c r="H1729" s="2968"/>
      <c r="I1729" s="2968"/>
      <c r="J1729" s="2968" t="str">
        <f t="shared" si="53"/>
        <v>ATM500</v>
      </c>
      <c r="K1729" s="2969" t="str">
        <f t="shared" si="52"/>
        <v>ATM500MCCB 3 cực 400V -500A - 50KA</v>
      </c>
    </row>
    <row r="1730" spans="1:11" hidden="1">
      <c r="A1730" s="2969" t="s">
        <v>540</v>
      </c>
      <c r="B1730" s="3015" t="s">
        <v>541</v>
      </c>
      <c r="C1730" s="2969" t="s">
        <v>3392</v>
      </c>
      <c r="D1730" s="2968" t="s">
        <v>2547</v>
      </c>
      <c r="E1730" s="2968"/>
      <c r="F1730" s="2968">
        <v>4</v>
      </c>
      <c r="G1730" s="2968" t="s">
        <v>6510</v>
      </c>
      <c r="H1730" s="2968"/>
      <c r="I1730" s="2968"/>
      <c r="J1730" s="2968" t="str">
        <f t="shared" si="53"/>
        <v>ATM600</v>
      </c>
      <c r="K1730" s="2969" t="str">
        <f t="shared" si="52"/>
        <v>ATM600MCCB 3 cực 400V -600A - 35KA</v>
      </c>
    </row>
    <row r="1731" spans="1:11" hidden="1">
      <c r="A1731" s="2969" t="s">
        <v>956</v>
      </c>
      <c r="B1731" s="3015" t="s">
        <v>541</v>
      </c>
      <c r="C1731" s="2969" t="s">
        <v>3393</v>
      </c>
      <c r="D1731" s="2968" t="s">
        <v>2547</v>
      </c>
      <c r="E1731" s="2968"/>
      <c r="F1731" s="2968">
        <v>4</v>
      </c>
      <c r="G1731" s="2968" t="s">
        <v>6510</v>
      </c>
      <c r="H1731" s="2968"/>
      <c r="I1731" s="2968"/>
      <c r="J1731" s="2968" t="str">
        <f t="shared" si="53"/>
        <v>ATM630</v>
      </c>
      <c r="K1731" s="2969" t="str">
        <f t="shared" ref="K1731:K1794" si="54">A1731&amp;C1731</f>
        <v>ATM630MCCB 3 cực 400V -630A - 35KA</v>
      </c>
    </row>
    <row r="1732" spans="1:11" hidden="1">
      <c r="A1732" s="2969" t="s">
        <v>652</v>
      </c>
      <c r="B1732" s="3015" t="s">
        <v>541</v>
      </c>
      <c r="C1732" s="2969" t="s">
        <v>3394</v>
      </c>
      <c r="D1732" s="2968" t="s">
        <v>2547</v>
      </c>
      <c r="E1732" s="2968"/>
      <c r="F1732" s="2968">
        <v>4</v>
      </c>
      <c r="G1732" s="2968" t="s">
        <v>6510</v>
      </c>
      <c r="H1732" s="2968"/>
      <c r="I1732" s="2968"/>
      <c r="J1732" s="2968" t="str">
        <f t="shared" ref="J1732:J1795" si="55">A1732</f>
        <v>ATM800</v>
      </c>
      <c r="K1732" s="2969" t="str">
        <f t="shared" si="54"/>
        <v>ATM800MCCB 3 cực 400V -800A - 50KA</v>
      </c>
    </row>
    <row r="1733" spans="1:11" hidden="1">
      <c r="A1733" s="2969" t="s">
        <v>790</v>
      </c>
      <c r="B1733" s="3015" t="s">
        <v>1509</v>
      </c>
      <c r="C1733" s="2969" t="s">
        <v>3389</v>
      </c>
      <c r="D1733" s="2968" t="s">
        <v>2547</v>
      </c>
      <c r="E1733" s="2968"/>
      <c r="F1733" s="2968">
        <v>4</v>
      </c>
      <c r="G1733" s="2968" t="s">
        <v>6510</v>
      </c>
      <c r="H1733" s="2968"/>
      <c r="I1733" s="2968"/>
      <c r="J1733" s="2968" t="str">
        <f t="shared" si="55"/>
        <v>ATM100</v>
      </c>
      <c r="K1733" s="2969" t="str">
        <f t="shared" si="54"/>
        <v>ATM100MCCB 3 cực 400V-100A - 30KA</v>
      </c>
    </row>
    <row r="1734" spans="1:11" hidden="1">
      <c r="A1734" s="2969" t="s">
        <v>5592</v>
      </c>
      <c r="B1734" s="3004"/>
      <c r="C1734" s="2969" t="s">
        <v>5593</v>
      </c>
      <c r="D1734" s="2968" t="s">
        <v>2547</v>
      </c>
      <c r="E1734" s="2968"/>
      <c r="F1734" s="2968">
        <v>4</v>
      </c>
      <c r="G1734" s="2968" t="s">
        <v>6510</v>
      </c>
      <c r="H1734" s="2968"/>
      <c r="I1734" s="2968"/>
      <c r="J1734" s="2968" t="str">
        <f t="shared" si="55"/>
        <v>ATM63</v>
      </c>
      <c r="K1734" s="2969" t="str">
        <f t="shared" si="54"/>
        <v>ATM63MCCB 3 cực 400V-63A - 7,5KA</v>
      </c>
    </row>
    <row r="1735" spans="1:11" hidden="1">
      <c r="A1735" s="2969" t="s">
        <v>81</v>
      </c>
      <c r="B1735" s="3015" t="s">
        <v>1509</v>
      </c>
      <c r="C1735" s="2969" t="s">
        <v>3388</v>
      </c>
      <c r="D1735" s="2968" t="s">
        <v>2547</v>
      </c>
      <c r="E1735" s="2968"/>
      <c r="F1735" s="2968">
        <v>4</v>
      </c>
      <c r="G1735" s="2968" t="s">
        <v>6510</v>
      </c>
      <c r="H1735" s="2968"/>
      <c r="I1735" s="2968"/>
      <c r="J1735" s="2968" t="str">
        <f t="shared" si="55"/>
        <v>ATM75</v>
      </c>
      <c r="K1735" s="2969" t="str">
        <f t="shared" si="54"/>
        <v>ATM75MCCB 3 cực 400V-75A - 10KA</v>
      </c>
    </row>
    <row r="1736" spans="1:11" hidden="1">
      <c r="A1736" s="2969" t="s">
        <v>1720</v>
      </c>
      <c r="B1736" s="3015" t="s">
        <v>1509</v>
      </c>
      <c r="C1736" s="2969" t="s">
        <v>3387</v>
      </c>
      <c r="D1736" s="2968" t="s">
        <v>2547</v>
      </c>
      <c r="E1736" s="2968"/>
      <c r="F1736" s="2968">
        <v>4</v>
      </c>
      <c r="G1736" s="2968" t="s">
        <v>6510</v>
      </c>
      <c r="H1736" s="2968"/>
      <c r="I1736" s="2968"/>
      <c r="J1736" s="2968" t="str">
        <f t="shared" si="55"/>
        <v>ATM80</v>
      </c>
      <c r="K1736" s="2969" t="str">
        <f t="shared" si="54"/>
        <v>ATM80MCCB 3 cực 400V-80A - 10KA</v>
      </c>
    </row>
    <row r="1737" spans="1:11" hidden="1">
      <c r="A1737" s="2969" t="s">
        <v>7119</v>
      </c>
      <c r="B1737" s="3004" t="s">
        <v>5603</v>
      </c>
      <c r="C1737" s="2969" t="s">
        <v>7120</v>
      </c>
      <c r="D1737" s="2968" t="s">
        <v>2547</v>
      </c>
      <c r="E1737" s="2968"/>
      <c r="F1737" s="2968">
        <v>4</v>
      </c>
      <c r="G1737" s="2968" t="s">
        <v>6510</v>
      </c>
      <c r="H1737" s="2968"/>
      <c r="I1737" s="2968"/>
      <c r="J1737" s="2968" t="str">
        <f t="shared" si="55"/>
        <v>ATM1000L</v>
      </c>
      <c r="K1737" s="2969" t="str">
        <f t="shared" si="54"/>
        <v>ATM1000LMCCB 3 cực 600V - 1000A - 65KA</v>
      </c>
    </row>
    <row r="1738" spans="1:11" hidden="1">
      <c r="A1738" s="2969" t="s">
        <v>7121</v>
      </c>
      <c r="B1738" s="3004" t="s">
        <v>5603</v>
      </c>
      <c r="C1738" s="2969" t="s">
        <v>7122</v>
      </c>
      <c r="D1738" s="2968" t="s">
        <v>2547</v>
      </c>
      <c r="E1738" s="2968"/>
      <c r="F1738" s="2968">
        <v>4</v>
      </c>
      <c r="G1738" s="2968" t="s">
        <v>6510</v>
      </c>
      <c r="H1738" s="2968"/>
      <c r="I1738" s="2968"/>
      <c r="J1738" s="2968" t="str">
        <f t="shared" si="55"/>
        <v>ATM1200</v>
      </c>
      <c r="K1738" s="2969" t="str">
        <f t="shared" si="54"/>
        <v>ATM1200MCCB 3 cực 600V - 1200A - 65KA</v>
      </c>
    </row>
    <row r="1739" spans="1:11" hidden="1">
      <c r="A1739" s="2969" t="s">
        <v>7123</v>
      </c>
      <c r="B1739" s="3004" t="s">
        <v>7124</v>
      </c>
      <c r="C1739" s="2969" t="s">
        <v>7125</v>
      </c>
      <c r="D1739" s="2968" t="s">
        <v>2547</v>
      </c>
      <c r="E1739" s="2968"/>
      <c r="F1739" s="2968">
        <v>4</v>
      </c>
      <c r="G1739" s="2968" t="s">
        <v>6510</v>
      </c>
      <c r="H1739" s="2968"/>
      <c r="I1739" s="2968"/>
      <c r="J1739" s="2968" t="str">
        <f t="shared" si="55"/>
        <v>ATM320</v>
      </c>
      <c r="K1739" s="2969" t="str">
        <f t="shared" si="54"/>
        <v>ATM320MCCB 3 cực 600V - 320A - 35KA (200-320A)</v>
      </c>
    </row>
    <row r="1740" spans="1:11" hidden="1">
      <c r="A1740" s="2969" t="s">
        <v>1556</v>
      </c>
      <c r="B1740" s="3015" t="s">
        <v>1509</v>
      </c>
      <c r="C1740" s="2969" t="s">
        <v>4390</v>
      </c>
      <c r="D1740" s="2968" t="s">
        <v>2547</v>
      </c>
      <c r="E1740" s="2968"/>
      <c r="F1740" s="2968">
        <v>4</v>
      </c>
      <c r="G1740" s="2968" t="s">
        <v>6510</v>
      </c>
      <c r="H1740" s="2968"/>
      <c r="I1740" s="2968"/>
      <c r="J1740" s="2968" t="str">
        <f t="shared" si="55"/>
        <v>ATM250</v>
      </c>
      <c r="K1740" s="2969" t="str">
        <f t="shared" si="54"/>
        <v xml:space="preserve">ATM250MCCB 3 cực 600V -250A - 36KA </v>
      </c>
    </row>
    <row r="1741" spans="1:11" hidden="1">
      <c r="A1741" s="2969" t="s">
        <v>982</v>
      </c>
      <c r="B1741" s="3015" t="s">
        <v>1878</v>
      </c>
      <c r="C1741" s="2969" t="s">
        <v>4442</v>
      </c>
      <c r="D1741" s="2968" t="s">
        <v>2547</v>
      </c>
      <c r="E1741" s="2968"/>
      <c r="F1741" s="2968">
        <v>4</v>
      </c>
      <c r="G1741" s="2968" t="s">
        <v>6510</v>
      </c>
      <c r="H1741" s="2968"/>
      <c r="I1741" s="2968"/>
      <c r="J1741" s="2968" t="str">
        <f t="shared" si="55"/>
        <v>ATM400</v>
      </c>
      <c r="K1741" s="2969" t="str">
        <f t="shared" si="54"/>
        <v>ATM400MCCB 3 cực 690V - 400A - 50KA</v>
      </c>
    </row>
    <row r="1742" spans="1:11" hidden="1">
      <c r="A1742" s="2969" t="s">
        <v>5803</v>
      </c>
      <c r="B1742" s="3004"/>
      <c r="C1742" s="2969" t="s">
        <v>5804</v>
      </c>
      <c r="D1742" s="2968" t="s">
        <v>2547</v>
      </c>
      <c r="E1742" s="2968"/>
      <c r="F1742" s="2968">
        <v>50</v>
      </c>
      <c r="G1742" s="2968" t="s">
        <v>510</v>
      </c>
      <c r="H1742" s="2968"/>
      <c r="I1742" s="2968"/>
      <c r="J1742" s="2968" t="str">
        <f t="shared" si="55"/>
        <v>Diabaohieuhopnoi</v>
      </c>
      <c r="K1742" s="2969" t="str">
        <f t="shared" si="54"/>
        <v>DiabaohieuhopnoiMốc báo hiệu hộp nối cáp ngầm</v>
      </c>
    </row>
    <row r="1743" spans="1:11" hidden="1">
      <c r="A1743" s="2969" t="s">
        <v>2019</v>
      </c>
      <c r="B1743" s="2986"/>
      <c r="C1743" s="2969" t="s">
        <v>2837</v>
      </c>
      <c r="D1743" s="2968" t="s">
        <v>2547</v>
      </c>
      <c r="E1743" s="2968"/>
      <c r="F1743" s="2968">
        <v>50</v>
      </c>
      <c r="G1743" s="2968" t="s">
        <v>355</v>
      </c>
      <c r="H1743" s="2968"/>
      <c r="I1743" s="2968"/>
      <c r="J1743" s="2968" t="str">
        <f t="shared" si="55"/>
        <v xml:space="preserve">MTREO </v>
      </c>
      <c r="K1743" s="2969" t="str">
        <f t="shared" si="54"/>
        <v xml:space="preserve">MTREO Móc đơn treo cáp </v>
      </c>
    </row>
    <row r="1744" spans="1:11" hidden="1">
      <c r="A1744" s="2969" t="s">
        <v>2203</v>
      </c>
      <c r="B1744" s="2986"/>
      <c r="C1744" s="2969" t="s">
        <v>2836</v>
      </c>
      <c r="D1744" s="2968" t="s">
        <v>2547</v>
      </c>
      <c r="E1744" s="2968"/>
      <c r="F1744" s="2968">
        <v>50</v>
      </c>
      <c r="G1744" s="2968" t="s">
        <v>355</v>
      </c>
      <c r="H1744" s="2968"/>
      <c r="I1744" s="2968"/>
      <c r="J1744" s="2968" t="str">
        <f t="shared" si="55"/>
        <v>MOCDUNG</v>
      </c>
      <c r="K1744" s="2969" t="str">
        <f t="shared" si="54"/>
        <v xml:space="preserve">MOCDUNGMóc dừng </v>
      </c>
    </row>
    <row r="1745" spans="1:11" hidden="1">
      <c r="A1745" s="2969" t="s">
        <v>7126</v>
      </c>
      <c r="B1745" s="3004"/>
      <c r="C1745" s="2969" t="s">
        <v>2835</v>
      </c>
      <c r="D1745" s="2968" t="s">
        <v>2547</v>
      </c>
      <c r="E1745" s="2968"/>
      <c r="F1745" s="2968">
        <v>50</v>
      </c>
      <c r="G1745" s="2968" t="s">
        <v>355</v>
      </c>
      <c r="H1745" s="2968"/>
      <c r="I1745" s="2968"/>
      <c r="J1745" s="2968" t="str">
        <f t="shared" si="55"/>
        <v>MT-A</v>
      </c>
      <c r="K1745" s="2969" t="str">
        <f t="shared" si="54"/>
        <v>MT-AMóc treo chữ A</v>
      </c>
    </row>
    <row r="1746" spans="1:11" hidden="1">
      <c r="A1746" s="2969" t="s">
        <v>1729</v>
      </c>
      <c r="B1746" s="2986"/>
      <c r="C1746" s="2969" t="s">
        <v>2835</v>
      </c>
      <c r="D1746" s="2968" t="s">
        <v>2547</v>
      </c>
      <c r="E1746" s="2968"/>
      <c r="F1746" s="2968">
        <v>50</v>
      </c>
      <c r="G1746" s="2968" t="s">
        <v>355</v>
      </c>
      <c r="H1746" s="2968"/>
      <c r="I1746" s="2968"/>
      <c r="J1746" s="2968" t="str">
        <f t="shared" si="55"/>
        <v>MTREO A</v>
      </c>
      <c r="K1746" s="2969" t="str">
        <f t="shared" si="54"/>
        <v>MTREO AMóc treo chữ A</v>
      </c>
    </row>
    <row r="1747" spans="1:11" hidden="1">
      <c r="A1747" s="2969" t="s">
        <v>1482</v>
      </c>
      <c r="B1747" s="3004"/>
      <c r="C1747" s="2969" t="s">
        <v>2905</v>
      </c>
      <c r="D1747" s="2968" t="s">
        <v>2547</v>
      </c>
      <c r="E1747" s="2968"/>
      <c r="F1747" s="2968">
        <v>50</v>
      </c>
      <c r="G1747" s="2968" t="s">
        <v>355</v>
      </c>
      <c r="H1747" s="2968"/>
      <c r="I1747" s="2968"/>
      <c r="J1747" s="2968" t="str">
        <f t="shared" si="55"/>
        <v>MT</v>
      </c>
      <c r="K1747" s="2969" t="str">
        <f t="shared" si="54"/>
        <v xml:space="preserve">MTMóc treo chữ U </v>
      </c>
    </row>
    <row r="1748" spans="1:11" hidden="1">
      <c r="A1748" s="2969" t="s">
        <v>7127</v>
      </c>
      <c r="B1748" s="3004"/>
      <c r="C1748" s="2969" t="s">
        <v>7128</v>
      </c>
      <c r="D1748" s="2968" t="s">
        <v>2547</v>
      </c>
      <c r="E1748" s="2968"/>
      <c r="F1748" s="2968">
        <v>50</v>
      </c>
      <c r="G1748" s="2968" t="s">
        <v>355</v>
      </c>
      <c r="H1748" s="2968"/>
      <c r="I1748" s="2968"/>
      <c r="J1748" s="2968" t="str">
        <f t="shared" si="55"/>
        <v>MT-D</v>
      </c>
      <c r="K1748" s="2969" t="str">
        <f t="shared" si="54"/>
        <v>MT-DMóc treo chữ U D16-100</v>
      </c>
    </row>
    <row r="1749" spans="1:11" hidden="1">
      <c r="A1749" s="2969" t="s">
        <v>1248</v>
      </c>
      <c r="B1749" s="3004"/>
      <c r="C1749" s="2969" t="s">
        <v>2906</v>
      </c>
      <c r="D1749" s="2968" t="s">
        <v>2547</v>
      </c>
      <c r="E1749" s="2968"/>
      <c r="F1749" s="2968">
        <v>50</v>
      </c>
      <c r="G1749" s="2968" t="s">
        <v>355</v>
      </c>
      <c r="H1749" s="2968"/>
      <c r="I1749" s="2968"/>
      <c r="J1749" s="2968" t="str">
        <f t="shared" si="55"/>
        <v>MT61A</v>
      </c>
      <c r="K1749" s="2969" t="str">
        <f t="shared" si="54"/>
        <v>MT61AMóc treo CK61A</v>
      </c>
    </row>
    <row r="1750" spans="1:11" hidden="1">
      <c r="A1750" s="2969" t="s">
        <v>6341</v>
      </c>
      <c r="B1750" s="3004"/>
      <c r="C1750" s="2969" t="s">
        <v>6342</v>
      </c>
      <c r="D1750" s="2968" t="s">
        <v>2321</v>
      </c>
      <c r="E1750" s="2968"/>
      <c r="F1750" s="2968">
        <v>2000</v>
      </c>
      <c r="G1750" s="2968" t="s">
        <v>6579</v>
      </c>
      <c r="H1750" s="2968"/>
      <c r="I1750" s="2968"/>
      <c r="J1750" s="2968" t="str">
        <f t="shared" si="55"/>
        <v>MTuBu</v>
      </c>
      <c r="K1750" s="2969" t="str">
        <f t="shared" si="54"/>
        <v>MTuBuMóng bê tông M200 nền tủ bù</v>
      </c>
    </row>
    <row r="1751" spans="1:11" hidden="1">
      <c r="A1751" s="2969" t="s">
        <v>6371</v>
      </c>
      <c r="B1751" s="3004"/>
      <c r="C1751" s="2969" t="s">
        <v>6372</v>
      </c>
      <c r="D1751" s="2968" t="s">
        <v>2321</v>
      </c>
      <c r="E1751" s="2968"/>
      <c r="F1751" s="2968">
        <v>2000</v>
      </c>
      <c r="G1751" s="2968" t="s">
        <v>6579</v>
      </c>
      <c r="H1751" s="2968"/>
      <c r="I1751" s="2968"/>
      <c r="J1751" s="2968" t="str">
        <f t="shared" si="55"/>
        <v>M-TBA</v>
      </c>
      <c r="K1751" s="2969" t="str">
        <f t="shared" si="54"/>
        <v>M-TBAMóng bê tông nền trạm biến áp</v>
      </c>
    </row>
    <row r="1752" spans="1:11" hidden="1">
      <c r="A1752" s="2969" t="s">
        <v>2300</v>
      </c>
      <c r="B1752" s="3004"/>
      <c r="C1752" s="2969" t="s">
        <v>2358</v>
      </c>
      <c r="D1752" s="2968" t="s">
        <v>2321</v>
      </c>
      <c r="E1752" s="2968"/>
      <c r="F1752" s="2968">
        <v>2000</v>
      </c>
      <c r="G1752" s="2968" t="s">
        <v>6579</v>
      </c>
      <c r="H1752" s="2968"/>
      <c r="I1752" s="2968"/>
      <c r="J1752" s="2968" t="str">
        <f t="shared" si="55"/>
        <v>M12BT ĐÔI</v>
      </c>
      <c r="K1752" s="2969" t="str">
        <f t="shared" si="54"/>
        <v>M12BT ĐÔIMóng bê tông trụ đôi 12m</v>
      </c>
    </row>
    <row r="1753" spans="1:11" hidden="1">
      <c r="A1753" s="2969" t="s">
        <v>7129</v>
      </c>
      <c r="B1753" s="3004" t="s">
        <v>7130</v>
      </c>
      <c r="C1753" s="2969" t="s">
        <v>2358</v>
      </c>
      <c r="D1753" s="2968" t="s">
        <v>2321</v>
      </c>
      <c r="E1753" s="2968"/>
      <c r="F1753" s="2968">
        <v>2000</v>
      </c>
      <c r="G1753" s="2968" t="s">
        <v>6579</v>
      </c>
      <c r="H1753" s="2968"/>
      <c r="I1753" s="2968"/>
      <c r="J1753" s="2968" t="str">
        <f t="shared" si="55"/>
        <v>M12BTD</v>
      </c>
      <c r="K1753" s="2969" t="str">
        <f t="shared" si="54"/>
        <v>M12BTDMóng bê tông trụ đôi 12m</v>
      </c>
    </row>
    <row r="1754" spans="1:11" hidden="1">
      <c r="A1754" s="2969" t="s">
        <v>7131</v>
      </c>
      <c r="B1754" s="3004"/>
      <c r="C1754" s="2969" t="s">
        <v>7132</v>
      </c>
      <c r="D1754" s="2968" t="s">
        <v>2321</v>
      </c>
      <c r="E1754" s="2968"/>
      <c r="F1754" s="2968">
        <v>2000</v>
      </c>
      <c r="G1754" s="2968" t="s">
        <v>6579</v>
      </c>
      <c r="H1754" s="2968"/>
      <c r="I1754" s="2968"/>
      <c r="J1754" s="2968" t="str">
        <f t="shared" si="55"/>
        <v>M12BTD-D</v>
      </c>
      <c r="K1754" s="2969" t="str">
        <f t="shared" si="54"/>
        <v>M12BTD-DMóng bê tông trụ đôi 12m (Vướng đá)</v>
      </c>
    </row>
    <row r="1755" spans="1:11" hidden="1">
      <c r="A1755" s="2969" t="s">
        <v>2258</v>
      </c>
      <c r="B1755" s="3004"/>
      <c r="C1755" s="2969" t="s">
        <v>2361</v>
      </c>
      <c r="D1755" s="2968" t="s">
        <v>2321</v>
      </c>
      <c r="E1755" s="2968"/>
      <c r="F1755" s="2968">
        <v>2000</v>
      </c>
      <c r="G1755" s="2968" t="s">
        <v>6579</v>
      </c>
      <c r="H1755" s="2968"/>
      <c r="I1755" s="2968"/>
      <c r="J1755" s="2968" t="str">
        <f t="shared" si="55"/>
        <v>M12BT P500</v>
      </c>
      <c r="K1755" s="2969" t="str">
        <f t="shared" si="54"/>
        <v>M12BT P500Móng bê tông trụ đôi 12m tim 500</v>
      </c>
    </row>
    <row r="1756" spans="1:11" hidden="1">
      <c r="A1756" s="2969" t="s">
        <v>6403</v>
      </c>
      <c r="B1756" s="3004"/>
      <c r="C1756" s="2969" t="s">
        <v>6404</v>
      </c>
      <c r="D1756" s="2968" t="s">
        <v>2321</v>
      </c>
      <c r="E1756" s="2968"/>
      <c r="F1756" s="2968">
        <v>2000</v>
      </c>
      <c r="G1756" s="2968" t="s">
        <v>6579</v>
      </c>
      <c r="H1756" s="2968"/>
      <c r="I1756" s="2968"/>
      <c r="J1756" s="2968" t="str">
        <f t="shared" si="55"/>
        <v>M14BT Đôi</v>
      </c>
      <c r="K1756" s="2969" t="str">
        <f t="shared" si="54"/>
        <v>M14BT ĐôiMóng bê tông trụ đôi 14m</v>
      </c>
    </row>
    <row r="1757" spans="1:11" hidden="1">
      <c r="A1757" s="2969" t="s">
        <v>7133</v>
      </c>
      <c r="B1757" s="3004"/>
      <c r="C1757" s="2969" t="s">
        <v>6404</v>
      </c>
      <c r="D1757" s="2968" t="s">
        <v>2321</v>
      </c>
      <c r="E1757" s="2968"/>
      <c r="F1757" s="2968">
        <v>2000</v>
      </c>
      <c r="G1757" s="2968" t="s">
        <v>6579</v>
      </c>
      <c r="H1757" s="2968"/>
      <c r="I1757" s="2968"/>
      <c r="J1757" s="2968" t="str">
        <f t="shared" si="55"/>
        <v>M14BTD</v>
      </c>
      <c r="K1757" s="2969" t="str">
        <f t="shared" si="54"/>
        <v>M14BTDMóng bê tông trụ đôi 14m</v>
      </c>
    </row>
    <row r="1758" spans="1:11" hidden="1">
      <c r="A1758" s="2969" t="s">
        <v>7134</v>
      </c>
      <c r="B1758" s="3004"/>
      <c r="C1758" s="2969" t="s">
        <v>7135</v>
      </c>
      <c r="D1758" s="2968" t="s">
        <v>2321</v>
      </c>
      <c r="E1758" s="2968"/>
      <c r="F1758" s="2968">
        <v>2000</v>
      </c>
      <c r="G1758" s="2968" t="s">
        <v>6579</v>
      </c>
      <c r="H1758" s="2968"/>
      <c r="I1758" s="2968"/>
      <c r="J1758" s="2968" t="str">
        <f t="shared" si="55"/>
        <v>M14BTD-D</v>
      </c>
      <c r="K1758" s="2969" t="str">
        <f t="shared" si="54"/>
        <v>M14BTD-DMóng bê tông trụ đôi 14m (Vướng đá)</v>
      </c>
    </row>
    <row r="1759" spans="1:11" hidden="1">
      <c r="A1759" s="2969" t="s">
        <v>4063</v>
      </c>
      <c r="B1759" s="3004"/>
      <c r="C1759" s="2969" t="s">
        <v>4223</v>
      </c>
      <c r="D1759" s="2968" t="s">
        <v>2321</v>
      </c>
      <c r="E1759" s="2968"/>
      <c r="F1759" s="2968">
        <v>2000</v>
      </c>
      <c r="G1759" s="2968" t="s">
        <v>6579</v>
      </c>
      <c r="H1759" s="2968"/>
      <c r="I1759" s="2968"/>
      <c r="J1759" s="2968" t="str">
        <f t="shared" si="55"/>
        <v>M7BT Đôi</v>
      </c>
      <c r="K1759" s="2969" t="str">
        <f t="shared" si="54"/>
        <v>M7BT ĐôiMóng bê tông trụ đôi 7,5m</v>
      </c>
    </row>
    <row r="1760" spans="1:11" hidden="1">
      <c r="A1760" s="2969" t="s">
        <v>7136</v>
      </c>
      <c r="B1760" s="3004"/>
      <c r="C1760" s="2969" t="s">
        <v>7137</v>
      </c>
      <c r="D1760" s="2968" t="s">
        <v>2321</v>
      </c>
      <c r="E1760" s="2968"/>
      <c r="F1760" s="2968">
        <v>2000</v>
      </c>
      <c r="G1760" s="2968" t="s">
        <v>6579</v>
      </c>
      <c r="H1760" s="2968"/>
      <c r="I1760" s="2968"/>
      <c r="J1760" s="2968" t="str">
        <f t="shared" si="55"/>
        <v>M8BTD</v>
      </c>
      <c r="K1760" s="2969" t="str">
        <f t="shared" si="54"/>
        <v>M8BTDMóng bê tông trụ đôi 8,4m</v>
      </c>
    </row>
    <row r="1761" spans="1:11" hidden="1">
      <c r="A1761" s="2969" t="s">
        <v>7138</v>
      </c>
      <c r="B1761" s="3004"/>
      <c r="C1761" s="2969" t="s">
        <v>7139</v>
      </c>
      <c r="D1761" s="2968" t="s">
        <v>2321</v>
      </c>
      <c r="E1761" s="2968"/>
      <c r="F1761" s="2968">
        <v>2000</v>
      </c>
      <c r="G1761" s="2968" t="s">
        <v>6579</v>
      </c>
      <c r="H1761" s="2968"/>
      <c r="I1761" s="2968"/>
      <c r="J1761" s="2968" t="str">
        <f t="shared" si="55"/>
        <v>M8BTD-D</v>
      </c>
      <c r="K1761" s="2969" t="str">
        <f t="shared" si="54"/>
        <v>M8BTD-DMóng bê tông trụ đôi 8,5m (Vướng đá)</v>
      </c>
    </row>
    <row r="1762" spans="1:11" hidden="1">
      <c r="A1762" s="2969" t="s">
        <v>7140</v>
      </c>
      <c r="B1762" s="3004"/>
      <c r="C1762" s="2969" t="s">
        <v>2338</v>
      </c>
      <c r="D1762" s="2968" t="s">
        <v>2321</v>
      </c>
      <c r="E1762" s="2968"/>
      <c r="F1762" s="2968">
        <v>2000</v>
      </c>
      <c r="G1762" s="2968" t="s">
        <v>6579</v>
      </c>
      <c r="H1762" s="2968"/>
      <c r="I1762" s="2968"/>
      <c r="J1762" s="2968" t="str">
        <f t="shared" si="55"/>
        <v>M10BT</v>
      </c>
      <c r="K1762" s="2969" t="str">
        <f t="shared" si="54"/>
        <v>M10BTMóng bê tông trụ đơn 10.5m</v>
      </c>
    </row>
    <row r="1763" spans="1:11" hidden="1">
      <c r="A1763" s="2969" t="s">
        <v>2297</v>
      </c>
      <c r="B1763" s="3004"/>
      <c r="C1763" s="2969" t="s">
        <v>2338</v>
      </c>
      <c r="D1763" s="2968" t="s">
        <v>2321</v>
      </c>
      <c r="E1763" s="2968"/>
      <c r="F1763" s="2968">
        <v>2000</v>
      </c>
      <c r="G1763" s="2968" t="s">
        <v>6579</v>
      </c>
      <c r="H1763" s="2968"/>
      <c r="I1763" s="2968"/>
      <c r="J1763" s="2968" t="str">
        <f t="shared" si="55"/>
        <v>M10BT ĐƠN</v>
      </c>
      <c r="K1763" s="2969" t="str">
        <f t="shared" si="54"/>
        <v>M10BT ĐƠNMóng bê tông trụ đơn 10.5m</v>
      </c>
    </row>
    <row r="1764" spans="1:11" hidden="1">
      <c r="A1764" s="2969" t="s">
        <v>7141</v>
      </c>
      <c r="B1764" s="3004"/>
      <c r="C1764" s="2969" t="s">
        <v>2357</v>
      </c>
      <c r="D1764" s="2968" t="s">
        <v>2321</v>
      </c>
      <c r="E1764" s="2968"/>
      <c r="F1764" s="2968">
        <v>2000</v>
      </c>
      <c r="G1764" s="2968" t="s">
        <v>6579</v>
      </c>
      <c r="H1764" s="2968"/>
      <c r="I1764" s="2968"/>
      <c r="J1764" s="2968" t="str">
        <f t="shared" si="55"/>
        <v>M12BT</v>
      </c>
      <c r="K1764" s="2969" t="str">
        <f t="shared" si="54"/>
        <v>M12BTMóng bê tông trụ đơn 12m</v>
      </c>
    </row>
    <row r="1765" spans="1:11" hidden="1">
      <c r="A1765" s="2969" t="s">
        <v>2299</v>
      </c>
      <c r="B1765" s="3004"/>
      <c r="C1765" s="2969" t="s">
        <v>2357</v>
      </c>
      <c r="D1765" s="2968" t="s">
        <v>2321</v>
      </c>
      <c r="E1765" s="2968"/>
      <c r="F1765" s="2968">
        <v>2000</v>
      </c>
      <c r="G1765" s="2968" t="s">
        <v>6579</v>
      </c>
      <c r="H1765" s="2968"/>
      <c r="I1765" s="2968"/>
      <c r="J1765" s="2968" t="str">
        <f t="shared" si="55"/>
        <v>M12BT ĐƠN</v>
      </c>
      <c r="K1765" s="2969" t="str">
        <f t="shared" si="54"/>
        <v>M12BT ĐƠNMóng bê tông trụ đơn 12m</v>
      </c>
    </row>
    <row r="1766" spans="1:11" hidden="1">
      <c r="A1766" s="2969" t="s">
        <v>7142</v>
      </c>
      <c r="B1766" s="3004"/>
      <c r="C1766" s="2969" t="s">
        <v>7143</v>
      </c>
      <c r="D1766" s="2968" t="s">
        <v>2321</v>
      </c>
      <c r="E1766" s="2968"/>
      <c r="F1766" s="2968">
        <v>2000</v>
      </c>
      <c r="G1766" s="2968" t="s">
        <v>6579</v>
      </c>
      <c r="H1766" s="2968"/>
      <c r="I1766" s="2968"/>
      <c r="J1766" s="2968" t="str">
        <f t="shared" si="55"/>
        <v>M12BT-GC</v>
      </c>
      <c r="K1766" s="2969" t="str">
        <f t="shared" si="54"/>
        <v>M12BT-GCMóng bê tông trụ đơn 12m (Gia cố bê tông)</v>
      </c>
    </row>
    <row r="1767" spans="1:11" hidden="1">
      <c r="A1767" s="2969" t="s">
        <v>7144</v>
      </c>
      <c r="B1767" s="3004"/>
      <c r="C1767" s="2969" t="s">
        <v>7145</v>
      </c>
      <c r="D1767" s="2968" t="s">
        <v>2321</v>
      </c>
      <c r="E1767" s="2968"/>
      <c r="F1767" s="2968">
        <v>2000</v>
      </c>
      <c r="G1767" s="2968" t="s">
        <v>6579</v>
      </c>
      <c r="H1767" s="2968"/>
      <c r="I1767" s="2968"/>
      <c r="J1767" s="2968" t="str">
        <f t="shared" si="55"/>
        <v>M12BT-D</v>
      </c>
      <c r="K1767" s="2969" t="str">
        <f t="shared" si="54"/>
        <v>M12BT-DMóng bê tông trụ đơn 12m (Vướng đá)</v>
      </c>
    </row>
    <row r="1768" spans="1:11" hidden="1">
      <c r="A1768" s="2969" t="s">
        <v>7146</v>
      </c>
      <c r="B1768" s="3004"/>
      <c r="C1768" s="2969" t="s">
        <v>2365</v>
      </c>
      <c r="D1768" s="2968" t="s">
        <v>2321</v>
      </c>
      <c r="E1768" s="2968"/>
      <c r="F1768" s="2968">
        <v>2000</v>
      </c>
      <c r="G1768" s="2968" t="s">
        <v>6579</v>
      </c>
      <c r="H1768" s="2968"/>
      <c r="I1768" s="2968"/>
      <c r="J1768" s="2968" t="str">
        <f t="shared" si="55"/>
        <v>M14BT</v>
      </c>
      <c r="K1768" s="2969" t="str">
        <f t="shared" si="54"/>
        <v>M14BTMóng bê tông trụ đơn 14m</v>
      </c>
    </row>
    <row r="1769" spans="1:11" hidden="1">
      <c r="A1769" s="2969" t="s">
        <v>2301</v>
      </c>
      <c r="B1769" s="3004"/>
      <c r="C1769" s="2969" t="s">
        <v>2365</v>
      </c>
      <c r="D1769" s="2968" t="s">
        <v>2321</v>
      </c>
      <c r="E1769" s="2968"/>
      <c r="F1769" s="2968">
        <v>2000</v>
      </c>
      <c r="G1769" s="2968" t="s">
        <v>6579</v>
      </c>
      <c r="H1769" s="2968"/>
      <c r="I1769" s="2968"/>
      <c r="J1769" s="2968" t="str">
        <f t="shared" si="55"/>
        <v>M14BT ĐƠN</v>
      </c>
      <c r="K1769" s="2969" t="str">
        <f t="shared" si="54"/>
        <v>M14BT ĐƠNMóng bê tông trụ đơn 14m</v>
      </c>
    </row>
    <row r="1770" spans="1:11" hidden="1">
      <c r="A1770" s="2969" t="s">
        <v>7147</v>
      </c>
      <c r="B1770" s="3004"/>
      <c r="C1770" s="2969" t="s">
        <v>7148</v>
      </c>
      <c r="D1770" s="2968" t="s">
        <v>2321</v>
      </c>
      <c r="E1770" s="2968"/>
      <c r="F1770" s="2968">
        <v>2000</v>
      </c>
      <c r="G1770" s="2968" t="s">
        <v>6579</v>
      </c>
      <c r="H1770" s="2968"/>
      <c r="I1770" s="2968"/>
      <c r="J1770" s="2968" t="str">
        <f t="shared" si="55"/>
        <v>M14BT-D</v>
      </c>
      <c r="K1770" s="2969" t="str">
        <f t="shared" si="54"/>
        <v>M14BT-DMóng bê tông trụ đơn 14m (Vướng đá)</v>
      </c>
    </row>
    <row r="1771" spans="1:11" hidden="1">
      <c r="A1771" s="2969" t="s">
        <v>7149</v>
      </c>
      <c r="B1771" s="3004"/>
      <c r="C1771" s="2969" t="s">
        <v>2329</v>
      </c>
      <c r="D1771" s="2968" t="s">
        <v>2321</v>
      </c>
      <c r="E1771" s="2968"/>
      <c r="F1771" s="2968">
        <v>2000</v>
      </c>
      <c r="G1771" s="2968" t="s">
        <v>6579</v>
      </c>
      <c r="H1771" s="2968"/>
      <c r="I1771" s="2968"/>
      <c r="J1771" s="2968" t="str">
        <f t="shared" si="55"/>
        <v>M8BT</v>
      </c>
      <c r="K1771" s="2969" t="str">
        <f t="shared" si="54"/>
        <v>M8BTMóng bê tông trụ đơn 8,4m</v>
      </c>
    </row>
    <row r="1772" spans="1:11" hidden="1">
      <c r="A1772" s="2969" t="s">
        <v>2309</v>
      </c>
      <c r="B1772" s="3004"/>
      <c r="C1772" s="2969" t="s">
        <v>2329</v>
      </c>
      <c r="D1772" s="2968" t="s">
        <v>2321</v>
      </c>
      <c r="E1772" s="2968"/>
      <c r="F1772" s="2968">
        <v>2000</v>
      </c>
      <c r="G1772" s="2968" t="s">
        <v>6579</v>
      </c>
      <c r="H1772" s="2968"/>
      <c r="I1772" s="2968"/>
      <c r="J1772" s="2968" t="str">
        <f t="shared" si="55"/>
        <v>M8BT Đơn</v>
      </c>
      <c r="K1772" s="2969" t="str">
        <f t="shared" si="54"/>
        <v>M8BT ĐơnMóng bê tông trụ đơn 8,4m</v>
      </c>
    </row>
    <row r="1773" spans="1:11" hidden="1">
      <c r="A1773" s="2969" t="s">
        <v>7150</v>
      </c>
      <c r="B1773" s="3004"/>
      <c r="C1773" s="2969" t="s">
        <v>7151</v>
      </c>
      <c r="D1773" s="2968" t="s">
        <v>2321</v>
      </c>
      <c r="E1773" s="2968"/>
      <c r="F1773" s="2968">
        <v>2000</v>
      </c>
      <c r="G1773" s="2968" t="s">
        <v>6579</v>
      </c>
      <c r="H1773" s="2968"/>
      <c r="I1773" s="2968"/>
      <c r="J1773" s="2968" t="str">
        <f t="shared" si="55"/>
        <v>M8BT-D</v>
      </c>
      <c r="K1773" s="2969" t="str">
        <f t="shared" si="54"/>
        <v>M8BT-DMóng bê tông trụ đơn 8,5m (Vướng đá)</v>
      </c>
    </row>
    <row r="1774" spans="1:11" hidden="1">
      <c r="A1774" s="2969" t="s">
        <v>311</v>
      </c>
      <c r="B1774" s="3004"/>
      <c r="C1774" s="2969" t="s">
        <v>2373</v>
      </c>
      <c r="D1774" s="2968" t="s">
        <v>2321</v>
      </c>
      <c r="E1774" s="2968"/>
      <c r="F1774" s="2968">
        <v>2000</v>
      </c>
      <c r="G1774" s="2968" t="s">
        <v>6579</v>
      </c>
      <c r="H1774" s="2968"/>
      <c r="I1774" s="2968"/>
      <c r="J1774" s="2968" t="str">
        <f t="shared" si="55"/>
        <v>BTCL-14-500</v>
      </c>
      <c r="K1774" s="2969" t="str">
        <f t="shared" si="54"/>
        <v>BTCL-14-500Móng BTCL-14-500</v>
      </c>
    </row>
    <row r="1775" spans="1:11" hidden="1">
      <c r="A1775" s="2969" t="s">
        <v>741</v>
      </c>
      <c r="B1775" s="3004"/>
      <c r="C1775" s="2969" t="s">
        <v>2359</v>
      </c>
      <c r="D1775" s="2968" t="s">
        <v>2321</v>
      </c>
      <c r="E1775" s="2968"/>
      <c r="F1775" s="2968">
        <v>2000</v>
      </c>
      <c r="G1775" s="2968" t="s">
        <v>6579</v>
      </c>
      <c r="H1775" s="2968"/>
      <c r="I1775" s="2968"/>
      <c r="J1775" s="2968" t="str">
        <f t="shared" si="55"/>
        <v>M12 CN</v>
      </c>
      <c r="K1775" s="2969" t="str">
        <f t="shared" si="54"/>
        <v>M12 CNMóng chống ngập nước</v>
      </c>
    </row>
    <row r="1776" spans="1:11" hidden="1">
      <c r="A1776" s="2969" t="s">
        <v>1043</v>
      </c>
      <c r="B1776" s="3004"/>
      <c r="C1776" s="2969" t="s">
        <v>2570</v>
      </c>
      <c r="D1776" s="2968" t="s">
        <v>2321</v>
      </c>
      <c r="E1776" s="2968"/>
      <c r="F1776" s="2968">
        <v>2000</v>
      </c>
      <c r="G1776" s="2968" t="s">
        <v>6579</v>
      </c>
      <c r="H1776" s="2968"/>
      <c r="I1776" s="2968"/>
      <c r="J1776" s="2968" t="str">
        <f t="shared" si="55"/>
        <v>MCBH1212</v>
      </c>
      <c r="K1776" s="2969" t="str">
        <f t="shared" si="54"/>
        <v>MCBH1212Móng cột báo hiệu 1.2mx1.2m</v>
      </c>
    </row>
    <row r="1777" spans="1:11" hidden="1">
      <c r="A1777" s="2969" t="s">
        <v>1623</v>
      </c>
      <c r="B1777" s="2986"/>
      <c r="C1777" s="2969" t="s">
        <v>2688</v>
      </c>
      <c r="D1777" s="2968" t="s">
        <v>2689</v>
      </c>
      <c r="E1777" s="2968"/>
      <c r="F1777" s="2968">
        <v>50</v>
      </c>
      <c r="G1777" s="2968" t="s">
        <v>6579</v>
      </c>
      <c r="H1777" s="2968"/>
      <c r="I1777" s="2968"/>
      <c r="J1777" s="2968" t="str">
        <f t="shared" si="55"/>
        <v>MongTB</v>
      </c>
      <c r="K1777" s="2969" t="str">
        <f t="shared" si="54"/>
        <v>MongTBMóng đặt tủ bù (0,2x0,2x0,4)x4 móng</v>
      </c>
    </row>
    <row r="1778" spans="1:11" hidden="1">
      <c r="A1778" s="2969" t="s">
        <v>12</v>
      </c>
      <c r="B1778" s="3004"/>
      <c r="C1778" s="2969" t="s">
        <v>2335</v>
      </c>
      <c r="D1778" s="2968" t="s">
        <v>2321</v>
      </c>
      <c r="E1778" s="2968"/>
      <c r="F1778" s="2968">
        <v>2000</v>
      </c>
      <c r="G1778" s="2968" t="s">
        <v>6579</v>
      </c>
      <c r="H1778" s="2968"/>
      <c r="I1778" s="2968"/>
      <c r="J1778" s="2968" t="str">
        <f t="shared" si="55"/>
        <v>M10</v>
      </c>
      <c r="K1778" s="2969" t="str">
        <f t="shared" si="54"/>
        <v>M10Móng M10</v>
      </c>
    </row>
    <row r="1779" spans="1:11" hidden="1">
      <c r="A1779" s="2969" t="s">
        <v>829</v>
      </c>
      <c r="B1779" s="3004"/>
      <c r="C1779" s="2969" t="s">
        <v>2343</v>
      </c>
      <c r="D1779" s="2968" t="s">
        <v>2321</v>
      </c>
      <c r="E1779" s="2968"/>
      <c r="F1779" s="2968">
        <v>2000</v>
      </c>
      <c r="G1779" s="2968" t="s">
        <v>6579</v>
      </c>
      <c r="H1779" s="2968"/>
      <c r="I1779" s="2968"/>
      <c r="J1779" s="2968" t="str">
        <f t="shared" si="55"/>
        <v>M10-2a</v>
      </c>
      <c r="K1779" s="2969" t="str">
        <f t="shared" si="54"/>
        <v>M10-2aMóng M10-2a</v>
      </c>
    </row>
    <row r="1780" spans="1:11" hidden="1">
      <c r="A1780" s="2969" t="s">
        <v>757</v>
      </c>
      <c r="B1780" s="3004"/>
      <c r="C1780" s="2969" t="s">
        <v>2344</v>
      </c>
      <c r="D1780" s="2968" t="s">
        <v>2321</v>
      </c>
      <c r="E1780" s="2968"/>
      <c r="F1780" s="2968">
        <v>2000</v>
      </c>
      <c r="G1780" s="2968" t="s">
        <v>6579</v>
      </c>
      <c r="H1780" s="2968"/>
      <c r="I1780" s="2968"/>
      <c r="J1780" s="2968" t="str">
        <f t="shared" si="55"/>
        <v>M10-2b</v>
      </c>
      <c r="K1780" s="2969" t="str">
        <f t="shared" si="54"/>
        <v>M10-2bMóng M10-2b</v>
      </c>
    </row>
    <row r="1781" spans="1:11" hidden="1">
      <c r="A1781" s="2969" t="s">
        <v>285</v>
      </c>
      <c r="B1781" s="3004"/>
      <c r="C1781" s="2969" t="s">
        <v>2342</v>
      </c>
      <c r="D1781" s="2968" t="s">
        <v>2321</v>
      </c>
      <c r="E1781" s="2968"/>
      <c r="F1781" s="2968">
        <v>2000</v>
      </c>
      <c r="G1781" s="2968" t="s">
        <v>6579</v>
      </c>
      <c r="H1781" s="2968"/>
      <c r="I1781" s="2968"/>
      <c r="J1781" s="2968" t="str">
        <f t="shared" si="55"/>
        <v>M10-2bn</v>
      </c>
      <c r="K1781" s="2969" t="str">
        <f t="shared" si="54"/>
        <v>M10-2bnMóng M10-2bn</v>
      </c>
    </row>
    <row r="1782" spans="1:11" hidden="1">
      <c r="A1782" s="2969" t="s">
        <v>692</v>
      </c>
      <c r="B1782" s="3004"/>
      <c r="C1782" s="2969" t="s">
        <v>2336</v>
      </c>
      <c r="D1782" s="2968" t="s">
        <v>2321</v>
      </c>
      <c r="E1782" s="2968"/>
      <c r="F1782" s="2968">
        <v>2000</v>
      </c>
      <c r="G1782" s="2968" t="s">
        <v>6579</v>
      </c>
      <c r="H1782" s="2968"/>
      <c r="I1782" s="2968"/>
      <c r="J1782" s="2968" t="str">
        <f t="shared" si="55"/>
        <v>M10a</v>
      </c>
      <c r="K1782" s="2969" t="str">
        <f t="shared" si="54"/>
        <v xml:space="preserve">M10aMóng M10a </v>
      </c>
    </row>
    <row r="1783" spans="1:11" hidden="1">
      <c r="A1783" s="2969" t="s">
        <v>100</v>
      </c>
      <c r="B1783" s="3004"/>
      <c r="C1783" s="2969" t="s">
        <v>2339</v>
      </c>
      <c r="D1783" s="2968" t="s">
        <v>2321</v>
      </c>
      <c r="E1783" s="2968"/>
      <c r="F1783" s="2968">
        <v>2000</v>
      </c>
      <c r="G1783" s="2968" t="s">
        <v>6579</v>
      </c>
      <c r="H1783" s="2968"/>
      <c r="I1783" s="2968"/>
      <c r="J1783" s="2968" t="str">
        <f t="shared" si="55"/>
        <v>M10aa</v>
      </c>
      <c r="K1783" s="2969" t="str">
        <f t="shared" si="54"/>
        <v>M10aaMóng M10aa</v>
      </c>
    </row>
    <row r="1784" spans="1:11" hidden="1">
      <c r="A1784" s="2969" t="s">
        <v>990</v>
      </c>
      <c r="B1784" s="3004"/>
      <c r="C1784" s="2969" t="s">
        <v>2337</v>
      </c>
      <c r="D1784" s="2968" t="s">
        <v>2321</v>
      </c>
      <c r="E1784" s="2968"/>
      <c r="F1784" s="2968">
        <v>2000</v>
      </c>
      <c r="G1784" s="2968" t="s">
        <v>6579</v>
      </c>
      <c r="H1784" s="2968"/>
      <c r="I1784" s="2968"/>
      <c r="J1784" s="2968" t="str">
        <f t="shared" si="55"/>
        <v>M10b</v>
      </c>
      <c r="K1784" s="2969" t="str">
        <f t="shared" si="54"/>
        <v>M10bMóng M10b</v>
      </c>
    </row>
    <row r="1785" spans="1:11" hidden="1">
      <c r="A1785" s="2969" t="s">
        <v>830</v>
      </c>
      <c r="B1785" s="3004"/>
      <c r="C1785" s="2969" t="s">
        <v>2340</v>
      </c>
      <c r="D1785" s="2968" t="s">
        <v>2321</v>
      </c>
      <c r="E1785" s="2968"/>
      <c r="F1785" s="2968">
        <v>2000</v>
      </c>
      <c r="G1785" s="2968" t="s">
        <v>6579</v>
      </c>
      <c r="H1785" s="2968"/>
      <c r="I1785" s="2968"/>
      <c r="J1785" s="2968" t="str">
        <f t="shared" si="55"/>
        <v>M10ba</v>
      </c>
      <c r="K1785" s="2969" t="str">
        <f t="shared" si="54"/>
        <v>M10baMóng M10ba</v>
      </c>
    </row>
    <row r="1786" spans="1:11" hidden="1">
      <c r="A1786" s="2969" t="s">
        <v>831</v>
      </c>
      <c r="B1786" s="3004"/>
      <c r="C1786" s="2969" t="s">
        <v>2341</v>
      </c>
      <c r="D1786" s="2968" t="s">
        <v>2321</v>
      </c>
      <c r="E1786" s="2968"/>
      <c r="F1786" s="2968">
        <v>2000</v>
      </c>
      <c r="G1786" s="2968" t="s">
        <v>6579</v>
      </c>
      <c r="H1786" s="2968"/>
      <c r="I1786" s="2968"/>
      <c r="J1786" s="2968" t="str">
        <f t="shared" si="55"/>
        <v>M10bb</v>
      </c>
      <c r="K1786" s="2969" t="str">
        <f t="shared" si="54"/>
        <v>M10bbMóng M10bb</v>
      </c>
    </row>
    <row r="1787" spans="1:11" hidden="1">
      <c r="A1787" s="2969" t="s">
        <v>7152</v>
      </c>
      <c r="B1787" s="3004"/>
      <c r="C1787" s="2969" t="s">
        <v>7153</v>
      </c>
      <c r="D1787" s="2968" t="s">
        <v>2321</v>
      </c>
      <c r="E1787" s="2968"/>
      <c r="F1787" s="2968">
        <v>2000</v>
      </c>
      <c r="G1787" s="2968" t="s">
        <v>6579</v>
      </c>
      <c r="H1787" s="2968"/>
      <c r="I1787" s="2968"/>
      <c r="J1787" s="2968" t="str">
        <f t="shared" si="55"/>
        <v>M10BTD</v>
      </c>
      <c r="K1787" s="2969" t="str">
        <f t="shared" si="54"/>
        <v>M10BTDMóng M10BT đôi</v>
      </c>
    </row>
    <row r="1788" spans="1:11" hidden="1">
      <c r="A1788" s="2969" t="s">
        <v>218</v>
      </c>
      <c r="B1788" s="3004"/>
      <c r="C1788" s="2969" t="s">
        <v>2345</v>
      </c>
      <c r="D1788" s="2968" t="s">
        <v>2321</v>
      </c>
      <c r="E1788" s="2968"/>
      <c r="F1788" s="2968">
        <v>2000</v>
      </c>
      <c r="G1788" s="2968" t="s">
        <v>6579</v>
      </c>
      <c r="H1788" s="2968"/>
      <c r="I1788" s="2968"/>
      <c r="J1788" s="2968" t="str">
        <f t="shared" si="55"/>
        <v>M12</v>
      </c>
      <c r="K1788" s="2969" t="str">
        <f t="shared" si="54"/>
        <v>M12Móng M12</v>
      </c>
    </row>
    <row r="1789" spans="1:11" hidden="1">
      <c r="A1789" s="2969" t="s">
        <v>2298</v>
      </c>
      <c r="B1789" s="3004"/>
      <c r="C1789" s="2969" t="s">
        <v>2356</v>
      </c>
      <c r="D1789" s="2968" t="s">
        <v>2321</v>
      </c>
      <c r="E1789" s="2968"/>
      <c r="F1789" s="2968">
        <v>2000</v>
      </c>
      <c r="G1789" s="2968" t="s">
        <v>6579</v>
      </c>
      <c r="H1789" s="2968"/>
      <c r="I1789" s="2968"/>
      <c r="J1789" s="2968" t="str">
        <f t="shared" si="55"/>
        <v>M12 PĐ</v>
      </c>
      <c r="K1789" s="2969" t="str">
        <f t="shared" si="54"/>
        <v>M12 PĐMóng M12 phá đá</v>
      </c>
    </row>
    <row r="1790" spans="1:11" hidden="1">
      <c r="A1790" s="2969" t="s">
        <v>7154</v>
      </c>
      <c r="B1790" s="3004"/>
      <c r="C1790" s="2969" t="s">
        <v>7155</v>
      </c>
      <c r="D1790" s="2968" t="s">
        <v>2321</v>
      </c>
      <c r="E1790" s="2968"/>
      <c r="F1790" s="2968">
        <v>2000</v>
      </c>
      <c r="G1790" s="2968" t="s">
        <v>6579</v>
      </c>
      <c r="H1790" s="2968"/>
      <c r="I1790" s="2968"/>
      <c r="J1790" s="2968" t="str">
        <f t="shared" si="55"/>
        <v>M12D</v>
      </c>
      <c r="K1790" s="2969" t="str">
        <f t="shared" si="54"/>
        <v>M12DMóng M12 phá đá chân móng</v>
      </c>
    </row>
    <row r="1791" spans="1:11" hidden="1">
      <c r="A1791" s="2969" t="s">
        <v>643</v>
      </c>
      <c r="B1791" s="3004"/>
      <c r="C1791" s="2969" t="s">
        <v>2352</v>
      </c>
      <c r="D1791" s="2968" t="s">
        <v>2321</v>
      </c>
      <c r="E1791" s="2968"/>
      <c r="F1791" s="2968">
        <v>2000</v>
      </c>
      <c r="G1791" s="2968" t="s">
        <v>6579</v>
      </c>
      <c r="H1791" s="2968"/>
      <c r="I1791" s="2968"/>
      <c r="J1791" s="2968" t="str">
        <f t="shared" si="55"/>
        <v>M12-2a</v>
      </c>
      <c r="K1791" s="2969" t="str">
        <f t="shared" si="54"/>
        <v>M12-2aMóng M12-2a</v>
      </c>
    </row>
    <row r="1792" spans="1:11" hidden="1">
      <c r="A1792" s="2969" t="s">
        <v>1896</v>
      </c>
      <c r="B1792" s="3004"/>
      <c r="C1792" s="2969" t="s">
        <v>2353</v>
      </c>
      <c r="D1792" s="2968" t="s">
        <v>2321</v>
      </c>
      <c r="E1792" s="2968"/>
      <c r="F1792" s="2968">
        <v>2000</v>
      </c>
      <c r="G1792" s="2968" t="s">
        <v>6579</v>
      </c>
      <c r="H1792" s="2968"/>
      <c r="I1792" s="2968"/>
      <c r="J1792" s="2968" t="str">
        <f t="shared" si="55"/>
        <v>M12-2b</v>
      </c>
      <c r="K1792" s="2969" t="str">
        <f t="shared" si="54"/>
        <v>M12-2bMóng M12-2b</v>
      </c>
    </row>
    <row r="1793" spans="1:11" hidden="1">
      <c r="A1793" s="2969" t="s">
        <v>509</v>
      </c>
      <c r="B1793" s="3004"/>
      <c r="C1793" s="2969" t="s">
        <v>2351</v>
      </c>
      <c r="D1793" s="2968" t="s">
        <v>2321</v>
      </c>
      <c r="E1793" s="2968"/>
      <c r="F1793" s="2968">
        <v>2000</v>
      </c>
      <c r="G1793" s="2968" t="s">
        <v>6579</v>
      </c>
      <c r="H1793" s="2968"/>
      <c r="I1793" s="2968"/>
      <c r="J1793" s="2968" t="str">
        <f t="shared" si="55"/>
        <v>M12-2bn</v>
      </c>
      <c r="K1793" s="2969" t="str">
        <f t="shared" si="54"/>
        <v>M12-2bnMóng M12-2bn</v>
      </c>
    </row>
    <row r="1794" spans="1:11" hidden="1">
      <c r="A1794" s="2969" t="s">
        <v>302</v>
      </c>
      <c r="B1794" s="3004"/>
      <c r="C1794" s="2969" t="s">
        <v>2346</v>
      </c>
      <c r="D1794" s="2968" t="s">
        <v>2321</v>
      </c>
      <c r="E1794" s="2968"/>
      <c r="F1794" s="2968">
        <v>2000</v>
      </c>
      <c r="G1794" s="2968" t="s">
        <v>6579</v>
      </c>
      <c r="H1794" s="2968"/>
      <c r="I1794" s="2968"/>
      <c r="J1794" s="2968" t="str">
        <f t="shared" si="55"/>
        <v>M12a</v>
      </c>
      <c r="K1794" s="2969" t="str">
        <f t="shared" si="54"/>
        <v>M12aMóng M12a</v>
      </c>
    </row>
    <row r="1795" spans="1:11" hidden="1">
      <c r="A1795" s="2969" t="s">
        <v>303</v>
      </c>
      <c r="B1795" s="3004"/>
      <c r="C1795" s="2969" t="s">
        <v>2348</v>
      </c>
      <c r="D1795" s="2968" t="s">
        <v>2321</v>
      </c>
      <c r="E1795" s="2968"/>
      <c r="F1795" s="2968">
        <v>2000</v>
      </c>
      <c r="G1795" s="2968" t="s">
        <v>6579</v>
      </c>
      <c r="H1795" s="2968"/>
      <c r="I1795" s="2968"/>
      <c r="J1795" s="2968" t="str">
        <f t="shared" si="55"/>
        <v>M12aa</v>
      </c>
      <c r="K1795" s="2969" t="str">
        <f t="shared" ref="K1795:K1858" si="56">A1795&amp;C1795</f>
        <v>M12aaMóng M12aa</v>
      </c>
    </row>
    <row r="1796" spans="1:11" hidden="1">
      <c r="A1796" s="2969" t="s">
        <v>2257</v>
      </c>
      <c r="B1796" s="3004"/>
      <c r="C1796" s="2969" t="s">
        <v>2347</v>
      </c>
      <c r="D1796" s="2968" t="s">
        <v>2321</v>
      </c>
      <c r="E1796" s="2968"/>
      <c r="F1796" s="2968">
        <v>2000</v>
      </c>
      <c r="G1796" s="2968" t="s">
        <v>6579</v>
      </c>
      <c r="H1796" s="2968"/>
      <c r="I1796" s="2968"/>
      <c r="J1796" s="2968" t="str">
        <f t="shared" ref="J1796:J1859" si="57">A1796</f>
        <v>M12b</v>
      </c>
      <c r="K1796" s="2969" t="str">
        <f t="shared" si="56"/>
        <v>M12bMóng M12b</v>
      </c>
    </row>
    <row r="1797" spans="1:11" hidden="1">
      <c r="A1797" s="2969" t="s">
        <v>498</v>
      </c>
      <c r="B1797" s="3004"/>
      <c r="C1797" s="2969" t="s">
        <v>2355</v>
      </c>
      <c r="D1797" s="2968" t="s">
        <v>2321</v>
      </c>
      <c r="E1797" s="2968"/>
      <c r="F1797" s="2968">
        <v>2000</v>
      </c>
      <c r="G1797" s="2968" t="s">
        <v>6579</v>
      </c>
      <c r="H1797" s="2968"/>
      <c r="I1797" s="2968"/>
      <c r="J1797" s="2968" t="str">
        <f t="shared" si="57"/>
        <v>M12b-2a(hh)</v>
      </c>
      <c r="K1797" s="2969" t="str">
        <f t="shared" si="56"/>
        <v>M12b-2a(hh)Móng M12b-2a(hh)</v>
      </c>
    </row>
    <row r="1798" spans="1:11" hidden="1">
      <c r="A1798" s="2969" t="s">
        <v>635</v>
      </c>
      <c r="B1798" s="3004"/>
      <c r="C1798" s="2969" t="s">
        <v>2349</v>
      </c>
      <c r="D1798" s="2968" t="s">
        <v>2321</v>
      </c>
      <c r="E1798" s="2968"/>
      <c r="F1798" s="2968">
        <v>2000</v>
      </c>
      <c r="G1798" s="2968" t="s">
        <v>6579</v>
      </c>
      <c r="H1798" s="2968"/>
      <c r="I1798" s="2968"/>
      <c r="J1798" s="2968" t="str">
        <f t="shared" si="57"/>
        <v>M12ba</v>
      </c>
      <c r="K1798" s="2969" t="str">
        <f t="shared" si="56"/>
        <v>M12baMóng M12ba</v>
      </c>
    </row>
    <row r="1799" spans="1:11" hidden="1">
      <c r="A1799" s="2969" t="s">
        <v>2175</v>
      </c>
      <c r="B1799" s="3004"/>
      <c r="C1799" s="2969" t="s">
        <v>2354</v>
      </c>
      <c r="D1799" s="2968" t="s">
        <v>2321</v>
      </c>
      <c r="E1799" s="2968"/>
      <c r="F1799" s="2968">
        <v>2000</v>
      </c>
      <c r="G1799" s="2968" t="s">
        <v>6579</v>
      </c>
      <c r="H1799" s="2968"/>
      <c r="I1799" s="2968"/>
      <c r="J1799" s="2968" t="str">
        <f t="shared" si="57"/>
        <v>M12b-aa(hh)</v>
      </c>
      <c r="K1799" s="2969" t="str">
        <f t="shared" si="56"/>
        <v>M12b-aa(hh)Móng M12b-aa(hh)</v>
      </c>
    </row>
    <row r="1800" spans="1:11" hidden="1">
      <c r="A1800" s="2969" t="s">
        <v>644</v>
      </c>
      <c r="B1800" s="3004"/>
      <c r="C1800" s="2969" t="s">
        <v>2350</v>
      </c>
      <c r="D1800" s="2968" t="s">
        <v>2321</v>
      </c>
      <c r="E1800" s="2968"/>
      <c r="F1800" s="2968">
        <v>2000</v>
      </c>
      <c r="G1800" s="2968" t="s">
        <v>6579</v>
      </c>
      <c r="H1800" s="2968"/>
      <c r="I1800" s="2968"/>
      <c r="J1800" s="2968" t="str">
        <f t="shared" si="57"/>
        <v>M12bb</v>
      </c>
      <c r="K1800" s="2969" t="str">
        <f t="shared" si="56"/>
        <v>M12bbMóng M12bb</v>
      </c>
    </row>
    <row r="1801" spans="1:11" hidden="1">
      <c r="A1801" s="2969" t="s">
        <v>777</v>
      </c>
      <c r="B1801" s="3004"/>
      <c r="C1801" s="2969" t="s">
        <v>2362</v>
      </c>
      <c r="D1801" s="2968" t="s">
        <v>2321</v>
      </c>
      <c r="E1801" s="2968"/>
      <c r="F1801" s="2968">
        <v>2000</v>
      </c>
      <c r="G1801" s="2968" t="s">
        <v>6579</v>
      </c>
      <c r="H1801" s="2968"/>
      <c r="I1801" s="2968"/>
      <c r="J1801" s="2968" t="str">
        <f t="shared" si="57"/>
        <v>M14</v>
      </c>
      <c r="K1801" s="2969" t="str">
        <f t="shared" si="56"/>
        <v>M14Móng M14</v>
      </c>
    </row>
    <row r="1802" spans="1:11" hidden="1">
      <c r="A1802" s="2969" t="s">
        <v>647</v>
      </c>
      <c r="B1802" s="3004"/>
      <c r="C1802" s="2969" t="s">
        <v>2370</v>
      </c>
      <c r="D1802" s="2968" t="s">
        <v>2321</v>
      </c>
      <c r="E1802" s="2968"/>
      <c r="F1802" s="2968">
        <v>2000</v>
      </c>
      <c r="G1802" s="2968" t="s">
        <v>6579</v>
      </c>
      <c r="H1802" s="2968"/>
      <c r="I1802" s="2968"/>
      <c r="J1802" s="2968" t="str">
        <f t="shared" si="57"/>
        <v>M14-2a</v>
      </c>
      <c r="K1802" s="2969" t="str">
        <f t="shared" si="56"/>
        <v>M14-2aMóng M14-2a</v>
      </c>
    </row>
    <row r="1803" spans="1:11" hidden="1">
      <c r="A1803" s="2969" t="s">
        <v>1638</v>
      </c>
      <c r="B1803" s="3004"/>
      <c r="C1803" s="2969" t="s">
        <v>2371</v>
      </c>
      <c r="D1803" s="2968" t="s">
        <v>2321</v>
      </c>
      <c r="E1803" s="2968"/>
      <c r="F1803" s="2968">
        <v>2000</v>
      </c>
      <c r="G1803" s="2968" t="s">
        <v>6579</v>
      </c>
      <c r="H1803" s="2968"/>
      <c r="I1803" s="2968"/>
      <c r="J1803" s="2968" t="str">
        <f t="shared" si="57"/>
        <v>M14-2b</v>
      </c>
      <c r="K1803" s="2969" t="str">
        <f t="shared" si="56"/>
        <v>M14-2bMóng M14-2b</v>
      </c>
    </row>
    <row r="1804" spans="1:11" hidden="1">
      <c r="A1804" s="2969" t="s">
        <v>284</v>
      </c>
      <c r="B1804" s="3004"/>
      <c r="C1804" s="2969" t="s">
        <v>2369</v>
      </c>
      <c r="D1804" s="2968" t="s">
        <v>2321</v>
      </c>
      <c r="E1804" s="2968"/>
      <c r="F1804" s="2968">
        <v>2000</v>
      </c>
      <c r="G1804" s="2968" t="s">
        <v>6579</v>
      </c>
      <c r="H1804" s="2968"/>
      <c r="I1804" s="2968"/>
      <c r="J1804" s="2968" t="str">
        <f t="shared" si="57"/>
        <v>M14-2bn</v>
      </c>
      <c r="K1804" s="2969" t="str">
        <f t="shared" si="56"/>
        <v>M14-2bnMóng M14-2bn</v>
      </c>
    </row>
    <row r="1805" spans="1:11" hidden="1">
      <c r="A1805" s="2969" t="s">
        <v>983</v>
      </c>
      <c r="B1805" s="3004"/>
      <c r="C1805" s="2969" t="s">
        <v>2372</v>
      </c>
      <c r="D1805" s="2968" t="s">
        <v>2321</v>
      </c>
      <c r="E1805" s="2968"/>
      <c r="F1805" s="2968">
        <v>2000</v>
      </c>
      <c r="G1805" s="2968" t="s">
        <v>6579</v>
      </c>
      <c r="H1805" s="2968"/>
      <c r="I1805" s="2968"/>
      <c r="J1805" s="2968" t="str">
        <f t="shared" si="57"/>
        <v>M14-4b</v>
      </c>
      <c r="K1805" s="2969" t="str">
        <f t="shared" si="56"/>
        <v>M14-4bMóng M14-4b</v>
      </c>
    </row>
    <row r="1806" spans="1:11" hidden="1">
      <c r="A1806" s="2969" t="s">
        <v>645</v>
      </c>
      <c r="B1806" s="3004"/>
      <c r="C1806" s="2969" t="s">
        <v>2363</v>
      </c>
      <c r="D1806" s="2968" t="s">
        <v>2321</v>
      </c>
      <c r="E1806" s="2968"/>
      <c r="F1806" s="2968">
        <v>2000</v>
      </c>
      <c r="G1806" s="2968" t="s">
        <v>6579</v>
      </c>
      <c r="H1806" s="2968"/>
      <c r="I1806" s="2968"/>
      <c r="J1806" s="2968" t="str">
        <f t="shared" si="57"/>
        <v>M14a</v>
      </c>
      <c r="K1806" s="2969" t="str">
        <f t="shared" si="56"/>
        <v>M14aMóng M14a</v>
      </c>
    </row>
    <row r="1807" spans="1:11" hidden="1">
      <c r="A1807" s="2969" t="s">
        <v>646</v>
      </c>
      <c r="B1807" s="3004"/>
      <c r="C1807" s="2969" t="s">
        <v>2366</v>
      </c>
      <c r="D1807" s="2968" t="s">
        <v>2321</v>
      </c>
      <c r="E1807" s="2968"/>
      <c r="F1807" s="2968">
        <v>2000</v>
      </c>
      <c r="G1807" s="2968" t="s">
        <v>6579</v>
      </c>
      <c r="H1807" s="2968"/>
      <c r="I1807" s="2968"/>
      <c r="J1807" s="2968" t="str">
        <f t="shared" si="57"/>
        <v>M14aa</v>
      </c>
      <c r="K1807" s="2969" t="str">
        <f t="shared" si="56"/>
        <v>M14aaMóng M14aa</v>
      </c>
    </row>
    <row r="1808" spans="1:11" hidden="1">
      <c r="A1808" s="2969" t="s">
        <v>747</v>
      </c>
      <c r="B1808" s="3004"/>
      <c r="C1808" s="2969" t="s">
        <v>2364</v>
      </c>
      <c r="D1808" s="2968" t="s">
        <v>2321</v>
      </c>
      <c r="E1808" s="2968"/>
      <c r="F1808" s="2968">
        <v>2000</v>
      </c>
      <c r="G1808" s="2968" t="s">
        <v>6579</v>
      </c>
      <c r="H1808" s="2968"/>
      <c r="I1808" s="2968"/>
      <c r="J1808" s="2968" t="str">
        <f t="shared" si="57"/>
        <v>M14b</v>
      </c>
      <c r="K1808" s="2969" t="str">
        <f t="shared" si="56"/>
        <v>M14bMóng M14b</v>
      </c>
    </row>
    <row r="1809" spans="1:11" hidden="1">
      <c r="A1809" s="2969" t="s">
        <v>481</v>
      </c>
      <c r="B1809" s="3004"/>
      <c r="C1809" s="2969" t="s">
        <v>2367</v>
      </c>
      <c r="D1809" s="2968" t="s">
        <v>2321</v>
      </c>
      <c r="E1809" s="2968"/>
      <c r="F1809" s="2968">
        <v>2000</v>
      </c>
      <c r="G1809" s="2968" t="s">
        <v>6579</v>
      </c>
      <c r="H1809" s="2968"/>
      <c r="I1809" s="2968"/>
      <c r="J1809" s="2968" t="str">
        <f t="shared" si="57"/>
        <v>M14ba</v>
      </c>
      <c r="K1809" s="2969" t="str">
        <f t="shared" si="56"/>
        <v>M14baMóng M14ba</v>
      </c>
    </row>
    <row r="1810" spans="1:11" hidden="1">
      <c r="A1810" s="2969" t="s">
        <v>482</v>
      </c>
      <c r="B1810" s="3004"/>
      <c r="C1810" s="2969" t="s">
        <v>2368</v>
      </c>
      <c r="D1810" s="2968" t="s">
        <v>2321</v>
      </c>
      <c r="E1810" s="2968"/>
      <c r="F1810" s="2968">
        <v>2000</v>
      </c>
      <c r="G1810" s="2968" t="s">
        <v>6579</v>
      </c>
      <c r="H1810" s="2968"/>
      <c r="I1810" s="2968"/>
      <c r="J1810" s="2968" t="str">
        <f t="shared" si="57"/>
        <v>M14bb</v>
      </c>
      <c r="K1810" s="2969" t="str">
        <f t="shared" si="56"/>
        <v>M14bbMóng M14bb</v>
      </c>
    </row>
    <row r="1811" spans="1:11" hidden="1">
      <c r="A1811" s="2969" t="s">
        <v>7156</v>
      </c>
      <c r="B1811" s="3004"/>
      <c r="C1811" s="2969" t="s">
        <v>7157</v>
      </c>
      <c r="D1811" s="2968" t="s">
        <v>2321</v>
      </c>
      <c r="E1811" s="2968"/>
      <c r="F1811" s="2968">
        <v>2000</v>
      </c>
      <c r="G1811" s="2968" t="s">
        <v>6579</v>
      </c>
      <c r="H1811" s="2968"/>
      <c r="I1811" s="2968"/>
      <c r="J1811" s="2968" t="str">
        <f t="shared" si="57"/>
        <v>M20</v>
      </c>
      <c r="K1811" s="2969" t="str">
        <f t="shared" si="56"/>
        <v>M20Móng M20</v>
      </c>
    </row>
    <row r="1812" spans="1:11" hidden="1">
      <c r="A1812" s="2969" t="s">
        <v>888</v>
      </c>
      <c r="B1812" s="3004"/>
      <c r="C1812" s="2969" t="s">
        <v>2374</v>
      </c>
      <c r="D1812" s="2968" t="s">
        <v>2321</v>
      </c>
      <c r="E1812" s="2968"/>
      <c r="F1812" s="2968">
        <v>2000</v>
      </c>
      <c r="G1812" s="2968" t="s">
        <v>6579</v>
      </c>
      <c r="H1812" s="2968"/>
      <c r="I1812" s="2968"/>
      <c r="J1812" s="2968" t="str">
        <f t="shared" si="57"/>
        <v>M20-4b</v>
      </c>
      <c r="K1812" s="2969" t="str">
        <f t="shared" si="56"/>
        <v>M20-4bMóng M20-4b</v>
      </c>
    </row>
    <row r="1813" spans="1:11" hidden="1">
      <c r="A1813" s="2969" t="s">
        <v>87</v>
      </c>
      <c r="B1813" s="3004"/>
      <c r="C1813" s="2969" t="s">
        <v>2320</v>
      </c>
      <c r="D1813" s="2968" t="s">
        <v>2321</v>
      </c>
      <c r="E1813" s="2968"/>
      <c r="F1813" s="2968">
        <v>2000</v>
      </c>
      <c r="G1813" s="2968" t="s">
        <v>6579</v>
      </c>
      <c r="H1813" s="2968"/>
      <c r="I1813" s="2968"/>
      <c r="J1813" s="2968" t="str">
        <f t="shared" si="57"/>
        <v>M7</v>
      </c>
      <c r="K1813" s="2969" t="str">
        <f t="shared" si="56"/>
        <v>M7Móng M7</v>
      </c>
    </row>
    <row r="1814" spans="1:11" hidden="1">
      <c r="A1814" s="2969" t="s">
        <v>442</v>
      </c>
      <c r="B1814" s="3004"/>
      <c r="C1814" s="2969" t="s">
        <v>2326</v>
      </c>
      <c r="D1814" s="2968" t="s">
        <v>2321</v>
      </c>
      <c r="E1814" s="2968"/>
      <c r="F1814" s="2968">
        <v>2000</v>
      </c>
      <c r="G1814" s="2968" t="s">
        <v>6579</v>
      </c>
      <c r="H1814" s="2968"/>
      <c r="I1814" s="2968"/>
      <c r="J1814" s="2968" t="str">
        <f t="shared" si="57"/>
        <v>M7-2a</v>
      </c>
      <c r="K1814" s="2969" t="str">
        <f t="shared" si="56"/>
        <v>M7-2aMóng M7-2a</v>
      </c>
    </row>
    <row r="1815" spans="1:11" hidden="1">
      <c r="A1815" s="2969" t="s">
        <v>102</v>
      </c>
      <c r="B1815" s="3004"/>
      <c r="C1815" s="2969" t="s">
        <v>2322</v>
      </c>
      <c r="D1815" s="2968" t="s">
        <v>2321</v>
      </c>
      <c r="E1815" s="2968"/>
      <c r="F1815" s="2968">
        <v>2000</v>
      </c>
      <c r="G1815" s="2968" t="s">
        <v>6579</v>
      </c>
      <c r="H1815" s="2968"/>
      <c r="I1815" s="2968"/>
      <c r="J1815" s="2968" t="str">
        <f t="shared" si="57"/>
        <v>M7a</v>
      </c>
      <c r="K1815" s="2969" t="str">
        <f t="shared" si="56"/>
        <v>M7aMóng M7a</v>
      </c>
    </row>
    <row r="1816" spans="1:11" hidden="1">
      <c r="A1816" s="2969" t="s">
        <v>758</v>
      </c>
      <c r="B1816" s="3004"/>
      <c r="C1816" s="2969" t="s">
        <v>2324</v>
      </c>
      <c r="D1816" s="2968" t="s">
        <v>2321</v>
      </c>
      <c r="E1816" s="2968"/>
      <c r="F1816" s="2968">
        <v>2000</v>
      </c>
      <c r="G1816" s="2968" t="s">
        <v>6579</v>
      </c>
      <c r="H1816" s="2968"/>
      <c r="I1816" s="2968"/>
      <c r="J1816" s="2968" t="str">
        <f t="shared" si="57"/>
        <v>M7aa</v>
      </c>
      <c r="K1816" s="2969" t="str">
        <f t="shared" si="56"/>
        <v>M7aaMóng M7aa</v>
      </c>
    </row>
    <row r="1817" spans="1:11" hidden="1">
      <c r="A1817" s="2969" t="s">
        <v>759</v>
      </c>
      <c r="B1817" s="3004"/>
      <c r="C1817" s="2969" t="s">
        <v>2323</v>
      </c>
      <c r="D1817" s="2968" t="s">
        <v>2321</v>
      </c>
      <c r="E1817" s="2968"/>
      <c r="F1817" s="2968">
        <v>2000</v>
      </c>
      <c r="G1817" s="2968" t="s">
        <v>6579</v>
      </c>
      <c r="H1817" s="2968"/>
      <c r="I1817" s="2968"/>
      <c r="J1817" s="2968" t="str">
        <f t="shared" si="57"/>
        <v>M7b</v>
      </c>
      <c r="K1817" s="2969" t="str">
        <f t="shared" si="56"/>
        <v>M7bMóng M7b</v>
      </c>
    </row>
    <row r="1818" spans="1:11" hidden="1">
      <c r="A1818" s="2969" t="s">
        <v>441</v>
      </c>
      <c r="B1818" s="3004"/>
      <c r="C1818" s="2969" t="s">
        <v>2325</v>
      </c>
      <c r="D1818" s="2968" t="s">
        <v>2321</v>
      </c>
      <c r="E1818" s="2968"/>
      <c r="F1818" s="2968">
        <v>2000</v>
      </c>
      <c r="G1818" s="2968" t="s">
        <v>6579</v>
      </c>
      <c r="H1818" s="2968"/>
      <c r="I1818" s="2968"/>
      <c r="J1818" s="2968" t="str">
        <f t="shared" si="57"/>
        <v>M7ba</v>
      </c>
      <c r="K1818" s="2969" t="str">
        <f t="shared" si="56"/>
        <v>M7baMóng M7ba</v>
      </c>
    </row>
    <row r="1819" spans="1:11" hidden="1">
      <c r="A1819" s="2969" t="s">
        <v>954</v>
      </c>
      <c r="B1819" s="3004"/>
      <c r="C1819" s="2969" t="s">
        <v>2327</v>
      </c>
      <c r="D1819" s="2968" t="s">
        <v>2321</v>
      </c>
      <c r="E1819" s="2968"/>
      <c r="F1819" s="2968">
        <v>2000</v>
      </c>
      <c r="G1819" s="2968" t="s">
        <v>6579</v>
      </c>
      <c r="H1819" s="2968"/>
      <c r="I1819" s="2968"/>
      <c r="J1819" s="2968" t="str">
        <f t="shared" si="57"/>
        <v>M8</v>
      </c>
      <c r="K1819" s="2969" t="str">
        <f t="shared" si="56"/>
        <v>M8Móng M8</v>
      </c>
    </row>
    <row r="1820" spans="1:11" hidden="1">
      <c r="A1820" s="2969" t="s">
        <v>7158</v>
      </c>
      <c r="B1820" s="3004"/>
      <c r="C1820" s="2969" t="s">
        <v>7159</v>
      </c>
      <c r="D1820" s="2968" t="s">
        <v>2321</v>
      </c>
      <c r="E1820" s="2968"/>
      <c r="F1820" s="2968">
        <v>2000</v>
      </c>
      <c r="G1820" s="2968" t="s">
        <v>6579</v>
      </c>
      <c r="H1820" s="2968"/>
      <c r="I1820" s="2968"/>
      <c r="J1820" s="2968" t="str">
        <f t="shared" si="57"/>
        <v>M8-D</v>
      </c>
      <c r="K1820" s="2969" t="str">
        <f t="shared" si="56"/>
        <v>M8-DMóng M8 phá đá chân móng</v>
      </c>
    </row>
    <row r="1821" spans="1:11" hidden="1">
      <c r="A1821" s="2969" t="s">
        <v>2173</v>
      </c>
      <c r="B1821" s="3004"/>
      <c r="C1821" s="2969" t="s">
        <v>2334</v>
      </c>
      <c r="D1821" s="2968" t="s">
        <v>2321</v>
      </c>
      <c r="E1821" s="2968"/>
      <c r="F1821" s="2968">
        <v>2000</v>
      </c>
      <c r="G1821" s="2968" t="s">
        <v>6579</v>
      </c>
      <c r="H1821" s="2968"/>
      <c r="I1821" s="2968"/>
      <c r="J1821" s="2968" t="str">
        <f t="shared" si="57"/>
        <v>M8-2a</v>
      </c>
      <c r="K1821" s="2969" t="str">
        <f t="shared" si="56"/>
        <v>M8-2aMóng M8-2a</v>
      </c>
    </row>
    <row r="1822" spans="1:11" hidden="1">
      <c r="A1822" s="2969" t="s">
        <v>2171</v>
      </c>
      <c r="B1822" s="3004"/>
      <c r="C1822" s="2969" t="s">
        <v>2328</v>
      </c>
      <c r="D1822" s="2968" t="s">
        <v>2321</v>
      </c>
      <c r="E1822" s="2968"/>
      <c r="F1822" s="2968">
        <v>2000</v>
      </c>
      <c r="G1822" s="2968" t="s">
        <v>6579</v>
      </c>
      <c r="H1822" s="2968"/>
      <c r="I1822" s="2968"/>
      <c r="J1822" s="2968" t="str">
        <f t="shared" si="57"/>
        <v>M8a</v>
      </c>
      <c r="K1822" s="2969" t="str">
        <f t="shared" si="56"/>
        <v>M8aMóng M8a</v>
      </c>
    </row>
    <row r="1823" spans="1:11" hidden="1">
      <c r="A1823" s="2969" t="s">
        <v>2172</v>
      </c>
      <c r="B1823" s="3004"/>
      <c r="C1823" s="2969" t="s">
        <v>2331</v>
      </c>
      <c r="D1823" s="2968" t="s">
        <v>2321</v>
      </c>
      <c r="E1823" s="2968"/>
      <c r="F1823" s="2968">
        <v>2000</v>
      </c>
      <c r="G1823" s="2968" t="s">
        <v>6579</v>
      </c>
      <c r="H1823" s="2968"/>
      <c r="I1823" s="2968"/>
      <c r="J1823" s="2968" t="str">
        <f t="shared" si="57"/>
        <v>M8aa</v>
      </c>
      <c r="K1823" s="2969" t="str">
        <f t="shared" si="56"/>
        <v>M8aaMóng M8aa</v>
      </c>
    </row>
    <row r="1824" spans="1:11" hidden="1">
      <c r="A1824" s="2969" t="s">
        <v>233</v>
      </c>
      <c r="B1824" s="3004"/>
      <c r="C1824" s="2969" t="s">
        <v>2330</v>
      </c>
      <c r="D1824" s="2968" t="s">
        <v>2321</v>
      </c>
      <c r="E1824" s="2968"/>
      <c r="F1824" s="2968">
        <v>2000</v>
      </c>
      <c r="G1824" s="2968" t="s">
        <v>6579</v>
      </c>
      <c r="H1824" s="2968"/>
      <c r="I1824" s="2968"/>
      <c r="J1824" s="2968" t="str">
        <f t="shared" si="57"/>
        <v>M8b</v>
      </c>
      <c r="K1824" s="2969" t="str">
        <f t="shared" si="56"/>
        <v>M8bMóng M8b</v>
      </c>
    </row>
    <row r="1825" spans="1:11" hidden="1">
      <c r="A1825" s="2969" t="s">
        <v>928</v>
      </c>
      <c r="B1825" s="3004"/>
      <c r="C1825" s="2969" t="s">
        <v>2332</v>
      </c>
      <c r="D1825" s="2968" t="s">
        <v>2321</v>
      </c>
      <c r="E1825" s="2968"/>
      <c r="F1825" s="2968">
        <v>2000</v>
      </c>
      <c r="G1825" s="2968" t="s">
        <v>6579</v>
      </c>
      <c r="H1825" s="2968"/>
      <c r="I1825" s="2968"/>
      <c r="J1825" s="2968" t="str">
        <f t="shared" si="57"/>
        <v>M8ba</v>
      </c>
      <c r="K1825" s="2969" t="str">
        <f t="shared" si="56"/>
        <v>M8baMóng M8ba</v>
      </c>
    </row>
    <row r="1826" spans="1:11" hidden="1">
      <c r="A1826" s="2969" t="s">
        <v>929</v>
      </c>
      <c r="B1826" s="3004"/>
      <c r="C1826" s="2969" t="s">
        <v>2333</v>
      </c>
      <c r="D1826" s="2968" t="s">
        <v>2321</v>
      </c>
      <c r="E1826" s="2968"/>
      <c r="F1826" s="2968">
        <v>2000</v>
      </c>
      <c r="G1826" s="2968" t="s">
        <v>6579</v>
      </c>
      <c r="H1826" s="2968"/>
      <c r="I1826" s="2968"/>
      <c r="J1826" s="2968" t="str">
        <f t="shared" si="57"/>
        <v>M8bb</v>
      </c>
      <c r="K1826" s="2969" t="str">
        <f t="shared" si="56"/>
        <v>M8bbMóng M8bb</v>
      </c>
    </row>
    <row r="1827" spans="1:11" hidden="1">
      <c r="A1827" s="2969" t="s">
        <v>547</v>
      </c>
      <c r="B1827" s="3004"/>
      <c r="C1827" s="2969" t="s">
        <v>2377</v>
      </c>
      <c r="D1827" s="2968" t="s">
        <v>2376</v>
      </c>
      <c r="E1827" s="2968"/>
      <c r="F1827" s="2968">
        <v>2000</v>
      </c>
      <c r="G1827" s="2968" t="s">
        <v>6579</v>
      </c>
      <c r="H1827" s="2968"/>
      <c r="I1827" s="2968"/>
      <c r="J1827" s="2968" t="str">
        <f t="shared" si="57"/>
        <v>MTUCS</v>
      </c>
      <c r="K1827" s="2969" t="str">
        <f t="shared" si="56"/>
        <v>MTUCSMóng tủ điều khiển chiếu sáng</v>
      </c>
    </row>
    <row r="1828" spans="1:11" hidden="1">
      <c r="A1828" s="2969" t="s">
        <v>511</v>
      </c>
      <c r="B1828" s="3004"/>
      <c r="C1828" s="2969" t="s">
        <v>2375</v>
      </c>
      <c r="D1828" s="2968" t="s">
        <v>2376</v>
      </c>
      <c r="E1828" s="2968"/>
      <c r="F1828" s="2968">
        <v>2000</v>
      </c>
      <c r="G1828" s="2968" t="s">
        <v>6579</v>
      </c>
      <c r="H1828" s="2968"/>
      <c r="I1828" s="2968"/>
      <c r="J1828" s="2968" t="str">
        <f t="shared" si="57"/>
        <v>MTUPP</v>
      </c>
      <c r="K1828" s="2969" t="str">
        <f t="shared" si="56"/>
        <v>MTUPPMóng tủ phân phối hạ thế</v>
      </c>
    </row>
    <row r="1829" spans="1:11" hidden="1">
      <c r="A1829" s="2969" t="s">
        <v>7160</v>
      </c>
      <c r="B1829" s="3004"/>
      <c r="C1829" s="2969" t="s">
        <v>7161</v>
      </c>
      <c r="D1829" s="2968" t="s">
        <v>6490</v>
      </c>
      <c r="E1829" s="2968"/>
      <c r="F1829" s="2968">
        <v>2000</v>
      </c>
      <c r="G1829" s="2968" t="s">
        <v>6579</v>
      </c>
      <c r="H1829" s="2968"/>
      <c r="I1829" s="2968"/>
      <c r="J1829" s="2968" t="str">
        <f t="shared" si="57"/>
        <v>MCHT</v>
      </c>
      <c r="K1829" s="2969" t="str">
        <f t="shared" si="56"/>
        <v>MCHTMương cáp ngầm hạ thế</v>
      </c>
    </row>
    <row r="1830" spans="1:11" hidden="1">
      <c r="A1830" s="2969" t="s">
        <v>7162</v>
      </c>
      <c r="B1830" s="3004"/>
      <c r="C1830" s="2969" t="s">
        <v>7163</v>
      </c>
      <c r="D1830" s="2968" t="s">
        <v>6490</v>
      </c>
      <c r="E1830" s="2968"/>
      <c r="F1830" s="2968">
        <v>2000</v>
      </c>
      <c r="G1830" s="2968" t="s">
        <v>6579</v>
      </c>
      <c r="H1830" s="2968"/>
      <c r="I1830" s="2968"/>
      <c r="J1830" s="2968" t="str">
        <f t="shared" si="57"/>
        <v>MCTT2</v>
      </c>
      <c r="K1830" s="2969" t="str">
        <f t="shared" si="56"/>
        <v>MCTT2Mương cáp ngầm trung thế (2m)</v>
      </c>
    </row>
    <row r="1831" spans="1:11" hidden="1">
      <c r="A1831" s="2969" t="s">
        <v>7164</v>
      </c>
      <c r="B1831" s="3004"/>
      <c r="C1831" s="2969" t="s">
        <v>7165</v>
      </c>
      <c r="D1831" s="2968" t="s">
        <v>6490</v>
      </c>
      <c r="E1831" s="2968"/>
      <c r="F1831" s="2968">
        <v>2000</v>
      </c>
      <c r="G1831" s="2968" t="s">
        <v>6579</v>
      </c>
      <c r="H1831" s="2968"/>
      <c r="I1831" s="2968"/>
      <c r="J1831" s="2968" t="str">
        <f t="shared" si="57"/>
        <v>MCTT3</v>
      </c>
      <c r="K1831" s="2969" t="str">
        <f t="shared" si="56"/>
        <v>MCTT3Mương cáp ngầm trung thế (3m)</v>
      </c>
    </row>
    <row r="1832" spans="1:11" hidden="1">
      <c r="A1832" s="2969" t="s">
        <v>7166</v>
      </c>
      <c r="B1832" s="3004"/>
      <c r="C1832" s="2969" t="s">
        <v>7167</v>
      </c>
      <c r="D1832" s="2968" t="s">
        <v>6490</v>
      </c>
      <c r="E1832" s="2968"/>
      <c r="F1832" s="2968">
        <v>2000</v>
      </c>
      <c r="G1832" s="2968" t="s">
        <v>6579</v>
      </c>
      <c r="H1832" s="2968"/>
      <c r="I1832" s="2968"/>
      <c r="J1832" s="2968" t="str">
        <f t="shared" si="57"/>
        <v>MCNBT</v>
      </c>
      <c r="K1832" s="2969" t="str">
        <f t="shared" si="56"/>
        <v>MCNBTMương cáp TT 1 mạch XDM dưới nền bêtông</v>
      </c>
    </row>
    <row r="1833" spans="1:11" hidden="1">
      <c r="A1833" s="1636" t="s">
        <v>4225</v>
      </c>
      <c r="B1833" s="2986"/>
      <c r="C1833" s="2969" t="s">
        <v>2554</v>
      </c>
      <c r="D1833" s="2968" t="s">
        <v>2547</v>
      </c>
      <c r="E1833" s="2968"/>
      <c r="F1833" s="2968">
        <v>50</v>
      </c>
      <c r="G1833" s="2968" t="s">
        <v>510</v>
      </c>
      <c r="H1833" s="2968"/>
      <c r="I1833" s="2968"/>
      <c r="J1833" s="2968" t="str">
        <f t="shared" si="57"/>
        <v>BIT35</v>
      </c>
      <c r="K1833" s="2969" t="str">
        <f t="shared" si="56"/>
        <v>BIT35Nắp bịt đầu cáp 35mm2</v>
      </c>
    </row>
    <row r="1834" spans="1:11" hidden="1">
      <c r="A1834" s="1636" t="s">
        <v>313</v>
      </c>
      <c r="B1834" s="2986"/>
      <c r="C1834" s="2969" t="s">
        <v>2859</v>
      </c>
      <c r="D1834" s="2968" t="s">
        <v>2547</v>
      </c>
      <c r="E1834" s="2968"/>
      <c r="F1834" s="2968">
        <v>50</v>
      </c>
      <c r="G1834" s="2968" t="s">
        <v>510</v>
      </c>
      <c r="H1834" s="2968"/>
      <c r="I1834" s="2968"/>
      <c r="J1834" s="2968" t="str">
        <f t="shared" si="57"/>
        <v>BIT120</v>
      </c>
      <c r="K1834" s="2969" t="str">
        <f t="shared" si="56"/>
        <v>BIT120Nắp bịt đầu cáp ABC120mm2</v>
      </c>
    </row>
    <row r="1835" spans="1:11" hidden="1">
      <c r="A1835" s="2969" t="s">
        <v>5127</v>
      </c>
      <c r="B1835" s="3004"/>
      <c r="C1835" s="2969" t="s">
        <v>2859</v>
      </c>
      <c r="D1835" s="2968" t="s">
        <v>2547</v>
      </c>
      <c r="E1835" s="2968"/>
      <c r="F1835" s="2968">
        <v>50</v>
      </c>
      <c r="G1835" s="2968" t="s">
        <v>510</v>
      </c>
      <c r="H1835" s="2968"/>
      <c r="I1835" s="2968"/>
      <c r="J1835" s="2968" t="str">
        <f t="shared" si="57"/>
        <v xml:space="preserve">BIT120 </v>
      </c>
      <c r="K1835" s="2969" t="str">
        <f t="shared" si="56"/>
        <v>BIT120 Nắp bịt đầu cáp ABC120mm2</v>
      </c>
    </row>
    <row r="1836" spans="1:11" hidden="1">
      <c r="A1836" s="1636" t="s">
        <v>2215</v>
      </c>
      <c r="B1836" s="2986"/>
      <c r="C1836" s="2969" t="s">
        <v>2858</v>
      </c>
      <c r="D1836" s="2968" t="s">
        <v>2547</v>
      </c>
      <c r="E1836" s="2968"/>
      <c r="F1836" s="2968">
        <v>50</v>
      </c>
      <c r="G1836" s="2968" t="s">
        <v>510</v>
      </c>
      <c r="H1836" s="2968"/>
      <c r="I1836" s="2968"/>
      <c r="J1836" s="2968" t="str">
        <f t="shared" si="57"/>
        <v>BIT150</v>
      </c>
      <c r="K1836" s="2969" t="str">
        <f t="shared" si="56"/>
        <v>BIT150Nắp bịt đầu cáp ABC150mm2</v>
      </c>
    </row>
    <row r="1837" spans="1:11" hidden="1">
      <c r="A1837" s="2969" t="s">
        <v>5126</v>
      </c>
      <c r="B1837" s="3004"/>
      <c r="C1837" s="2969" t="s">
        <v>2858</v>
      </c>
      <c r="D1837" s="2968" t="s">
        <v>2547</v>
      </c>
      <c r="E1837" s="2968"/>
      <c r="F1837" s="2968">
        <v>50</v>
      </c>
      <c r="G1837" s="2968" t="s">
        <v>510</v>
      </c>
      <c r="H1837" s="2968"/>
      <c r="I1837" s="2968"/>
      <c r="J1837" s="2968" t="str">
        <f t="shared" si="57"/>
        <v xml:space="preserve">BIT150 </v>
      </c>
      <c r="K1837" s="2969" t="str">
        <f t="shared" si="56"/>
        <v>BIT150 Nắp bịt đầu cáp ABC150mm2</v>
      </c>
    </row>
    <row r="1838" spans="1:11" hidden="1">
      <c r="A1838" s="1636" t="s">
        <v>857</v>
      </c>
      <c r="B1838" s="2986"/>
      <c r="C1838" s="2969" t="s">
        <v>2862</v>
      </c>
      <c r="D1838" s="2968" t="s">
        <v>2547</v>
      </c>
      <c r="E1838" s="2968"/>
      <c r="F1838" s="2968">
        <v>50</v>
      </c>
      <c r="G1838" s="2968" t="s">
        <v>510</v>
      </c>
      <c r="H1838" s="2968"/>
      <c r="I1838" s="2968"/>
      <c r="J1838" s="2968" t="str">
        <f t="shared" si="57"/>
        <v>BIT50</v>
      </c>
      <c r="K1838" s="2969" t="str">
        <f t="shared" si="56"/>
        <v>BIT50Nắp bịt đầu cáp ABC50mm2</v>
      </c>
    </row>
    <row r="1839" spans="1:11" hidden="1">
      <c r="A1839" s="2969" t="s">
        <v>5130</v>
      </c>
      <c r="B1839" s="3004"/>
      <c r="C1839" s="2969" t="s">
        <v>2862</v>
      </c>
      <c r="D1839" s="2968" t="s">
        <v>2547</v>
      </c>
      <c r="E1839" s="2968"/>
      <c r="F1839" s="2968">
        <v>50</v>
      </c>
      <c r="G1839" s="2968" t="s">
        <v>510</v>
      </c>
      <c r="H1839" s="2968"/>
      <c r="I1839" s="2968"/>
      <c r="J1839" s="2968" t="str">
        <f t="shared" si="57"/>
        <v xml:space="preserve">BIT50 </v>
      </c>
      <c r="K1839" s="2969" t="str">
        <f t="shared" si="56"/>
        <v>BIT50 Nắp bịt đầu cáp ABC50mm2</v>
      </c>
    </row>
    <row r="1840" spans="1:11" hidden="1">
      <c r="A1840" s="1636" t="s">
        <v>856</v>
      </c>
      <c r="B1840" s="2986"/>
      <c r="C1840" s="2969" t="s">
        <v>2861</v>
      </c>
      <c r="D1840" s="2968" t="s">
        <v>2547</v>
      </c>
      <c r="E1840" s="2968"/>
      <c r="F1840" s="2968">
        <v>50</v>
      </c>
      <c r="G1840" s="2968" t="s">
        <v>510</v>
      </c>
      <c r="H1840" s="2968"/>
      <c r="I1840" s="2968"/>
      <c r="J1840" s="2968" t="str">
        <f t="shared" si="57"/>
        <v>BIT70</v>
      </c>
      <c r="K1840" s="2969" t="str">
        <f t="shared" si="56"/>
        <v>BIT70Nắp bịt đầu cáp ABC70mm2</v>
      </c>
    </row>
    <row r="1841" spans="1:11" hidden="1">
      <c r="A1841" s="2969" t="s">
        <v>5129</v>
      </c>
      <c r="B1841" s="3004"/>
      <c r="C1841" s="2969" t="s">
        <v>2861</v>
      </c>
      <c r="D1841" s="2968" t="s">
        <v>2547</v>
      </c>
      <c r="E1841" s="2968"/>
      <c r="F1841" s="2968">
        <v>50</v>
      </c>
      <c r="G1841" s="2968" t="s">
        <v>510</v>
      </c>
      <c r="H1841" s="2968"/>
      <c r="I1841" s="2968"/>
      <c r="J1841" s="2968" t="str">
        <f t="shared" si="57"/>
        <v xml:space="preserve">BIT70 </v>
      </c>
      <c r="K1841" s="2969" t="str">
        <f t="shared" si="56"/>
        <v>BIT70 Nắp bịt đầu cáp ABC70mm2</v>
      </c>
    </row>
    <row r="1842" spans="1:11" hidden="1">
      <c r="A1842" s="1636" t="s">
        <v>855</v>
      </c>
      <c r="B1842" s="2986"/>
      <c r="C1842" s="2969" t="s">
        <v>2860</v>
      </c>
      <c r="D1842" s="2968" t="s">
        <v>2547</v>
      </c>
      <c r="E1842" s="2968"/>
      <c r="F1842" s="2968">
        <v>50</v>
      </c>
      <c r="G1842" s="2968" t="s">
        <v>510</v>
      </c>
      <c r="H1842" s="2968"/>
      <c r="I1842" s="2968"/>
      <c r="J1842" s="2968" t="str">
        <f t="shared" si="57"/>
        <v>BIT95</v>
      </c>
      <c r="K1842" s="2969" t="str">
        <f t="shared" si="56"/>
        <v>BIT95Nắp bịt đầu cáp ABC95mm2</v>
      </c>
    </row>
    <row r="1843" spans="1:11" hidden="1">
      <c r="A1843" s="2969" t="s">
        <v>5128</v>
      </c>
      <c r="B1843" s="3004"/>
      <c r="C1843" s="2969" t="s">
        <v>2860</v>
      </c>
      <c r="D1843" s="2968" t="s">
        <v>2547</v>
      </c>
      <c r="E1843" s="2968"/>
      <c r="F1843" s="2968">
        <v>50</v>
      </c>
      <c r="G1843" s="2968" t="s">
        <v>510</v>
      </c>
      <c r="H1843" s="2968"/>
      <c r="I1843" s="2968"/>
      <c r="J1843" s="2968" t="str">
        <f t="shared" si="57"/>
        <v xml:space="preserve">BIT95 </v>
      </c>
      <c r="K1843" s="2969" t="str">
        <f t="shared" si="56"/>
        <v>BIT95 Nắp bịt đầu cáp ABC95mm2</v>
      </c>
    </row>
    <row r="1844" spans="1:11" hidden="1">
      <c r="A1844" s="2969" t="s">
        <v>5618</v>
      </c>
      <c r="B1844" s="3004"/>
      <c r="C1844" s="2969" t="s">
        <v>5617</v>
      </c>
      <c r="D1844" s="2968" t="s">
        <v>2547</v>
      </c>
      <c r="E1844" s="2968"/>
      <c r="F1844" s="2968">
        <v>50</v>
      </c>
      <c r="G1844" s="2968" t="s">
        <v>510</v>
      </c>
      <c r="H1844" s="2968"/>
      <c r="I1844" s="2968"/>
      <c r="J1844" s="2968" t="str">
        <f t="shared" si="57"/>
        <v>ChupduoiFCO</v>
      </c>
      <c r="K1844" s="2969" t="str">
        <f t="shared" si="56"/>
        <v>ChupduoiFCONắp che đầu cực dưới FCO</v>
      </c>
    </row>
    <row r="1845" spans="1:11" hidden="1">
      <c r="A1845" s="2969" t="s">
        <v>5616</v>
      </c>
      <c r="B1845" s="3004"/>
      <c r="C1845" s="2969" t="s">
        <v>5617</v>
      </c>
      <c r="D1845" s="2968" t="s">
        <v>2547</v>
      </c>
      <c r="E1845" s="2968"/>
      <c r="F1845" s="2968">
        <v>50</v>
      </c>
      <c r="G1845" s="2968" t="s">
        <v>510</v>
      </c>
      <c r="H1845" s="2968"/>
      <c r="I1845" s="2968"/>
      <c r="J1845" s="2968" t="str">
        <f t="shared" si="57"/>
        <v>ChuptrenFCO</v>
      </c>
      <c r="K1845" s="2969" t="str">
        <f t="shared" si="56"/>
        <v>ChuptrenFCONắp che đầu cực dưới FCO</v>
      </c>
    </row>
    <row r="1846" spans="1:11" hidden="1">
      <c r="A1846" s="2969" t="s">
        <v>5614</v>
      </c>
      <c r="B1846" s="3004"/>
      <c r="C1846" s="2969" t="s">
        <v>5615</v>
      </c>
      <c r="D1846" s="2968" t="s">
        <v>2547</v>
      </c>
      <c r="E1846" s="2968"/>
      <c r="F1846" s="2968">
        <v>50</v>
      </c>
      <c r="G1846" s="2968" t="s">
        <v>510</v>
      </c>
      <c r="H1846" s="2968"/>
      <c r="I1846" s="2968"/>
      <c r="J1846" s="2968" t="str">
        <f t="shared" si="57"/>
        <v>ChupFCO</v>
      </c>
      <c r="K1846" s="2969" t="str">
        <f t="shared" si="56"/>
        <v>ChupFCONắp che đầu cực FCO</v>
      </c>
    </row>
    <row r="1847" spans="1:11" hidden="1">
      <c r="A1847" s="2969" t="s">
        <v>5620</v>
      </c>
      <c r="B1847" s="3004"/>
      <c r="C1847" s="2969" t="s">
        <v>5621</v>
      </c>
      <c r="D1847" s="2968" t="s">
        <v>2547</v>
      </c>
      <c r="E1847" s="2968"/>
      <c r="F1847" s="2968">
        <v>50</v>
      </c>
      <c r="G1847" s="2968" t="s">
        <v>510</v>
      </c>
      <c r="H1847" s="2968"/>
      <c r="I1847" s="2968"/>
      <c r="J1847" s="2968" t="str">
        <f t="shared" si="57"/>
        <v>ChupLA</v>
      </c>
      <c r="K1847" s="2969" t="str">
        <f t="shared" si="56"/>
        <v>ChupLANắp che đầu cực LA</v>
      </c>
    </row>
    <row r="1848" spans="1:11">
      <c r="A1848" s="2969" t="s">
        <v>7168</v>
      </c>
      <c r="B1848" s="3004"/>
      <c r="C1848" s="2969" t="s">
        <v>7330</v>
      </c>
      <c r="D1848" s="2968" t="s">
        <v>2547</v>
      </c>
      <c r="E1848" s="2968"/>
      <c r="F1848" s="2968">
        <v>50</v>
      </c>
      <c r="G1848" s="2968" t="s">
        <v>510</v>
      </c>
      <c r="H1848" s="2968"/>
      <c r="I1848" s="2968"/>
      <c r="J1848" s="2968" t="str">
        <f t="shared" si="57"/>
        <v>ChupLBS</v>
      </c>
      <c r="K1848" s="2969" t="str">
        <f t="shared" si="56"/>
        <v>ChupLBSNắp che đầu sứ LBS (Recloser)</v>
      </c>
    </row>
    <row r="1849" spans="1:11" hidden="1">
      <c r="A1849" s="2969" t="s">
        <v>5622</v>
      </c>
      <c r="B1849" s="3004"/>
      <c r="C1849" s="2969" t="s">
        <v>5623</v>
      </c>
      <c r="D1849" s="2968" t="s">
        <v>2547</v>
      </c>
      <c r="E1849" s="2968"/>
      <c r="F1849" s="2968">
        <v>50</v>
      </c>
      <c r="G1849" s="2968" t="s">
        <v>510</v>
      </c>
      <c r="H1849" s="2968"/>
      <c r="I1849" s="2968"/>
      <c r="J1849" s="2968" t="str">
        <f t="shared" si="57"/>
        <v>ChupMBA</v>
      </c>
      <c r="K1849" s="2969" t="str">
        <f t="shared" si="56"/>
        <v>ChupMBANắp che đầu sứ MBA</v>
      </c>
    </row>
    <row r="1850" spans="1:11" hidden="1">
      <c r="A1850" s="2969" t="s">
        <v>4396</v>
      </c>
      <c r="B1850" s="2986"/>
      <c r="C1850" s="2969" t="s">
        <v>4397</v>
      </c>
      <c r="D1850" s="2968" t="s">
        <v>2433</v>
      </c>
      <c r="E1850" s="2968"/>
      <c r="F1850" s="2968">
        <v>50</v>
      </c>
      <c r="G1850" s="2968" t="s">
        <v>510</v>
      </c>
      <c r="H1850" s="2968"/>
      <c r="I1850" s="2968"/>
      <c r="J1850" s="2968" t="str">
        <f t="shared" si="57"/>
        <v>CHQ-H</v>
      </c>
      <c r="K1850" s="2969" t="str">
        <f t="shared" si="56"/>
        <v>CHQ-HNắp chụp kẹp quai + hotline</v>
      </c>
    </row>
    <row r="1851" spans="1:11" hidden="1">
      <c r="A1851" s="2969" t="s">
        <v>1285</v>
      </c>
      <c r="B1851" s="2986" t="s">
        <v>1741</v>
      </c>
      <c r="C1851" s="2969" t="s">
        <v>2955</v>
      </c>
      <c r="D1851" s="2968" t="s">
        <v>2547</v>
      </c>
      <c r="E1851" s="2968"/>
      <c r="F1851" s="2968">
        <v>50</v>
      </c>
      <c r="G1851" s="2968" t="s">
        <v>510</v>
      </c>
      <c r="H1851" s="2968"/>
      <c r="I1851" s="2968"/>
      <c r="J1851" s="2968" t="str">
        <f t="shared" si="57"/>
        <v>NX</v>
      </c>
      <c r="K1851" s="2969" t="str">
        <f t="shared" si="56"/>
        <v>NXNeo xòe 8 hướng (dày 3,2mm)</v>
      </c>
    </row>
    <row r="1852" spans="1:11" hidden="1">
      <c r="A1852" s="2969" t="s">
        <v>1626</v>
      </c>
      <c r="B1852" s="3004"/>
      <c r="C1852" s="2969" t="s">
        <v>2396</v>
      </c>
      <c r="D1852" s="2968" t="s">
        <v>2271</v>
      </c>
      <c r="E1852" s="2968"/>
      <c r="F1852" s="2968">
        <v>3000</v>
      </c>
      <c r="G1852" s="2968" t="s">
        <v>510</v>
      </c>
      <c r="H1852" s="2968"/>
      <c r="I1852" s="2968"/>
      <c r="J1852" s="2968" t="str">
        <f t="shared" si="57"/>
        <v>N-BTLT 8.4</v>
      </c>
      <c r="K1852" s="2969" t="str">
        <f t="shared" si="56"/>
        <v>N-BTLT 8.4Nhổ trụ 8,4m</v>
      </c>
    </row>
    <row r="1853" spans="1:11" hidden="1">
      <c r="A1853" s="2969" t="s">
        <v>369</v>
      </c>
      <c r="B1853" s="3004"/>
      <c r="C1853" s="2969" t="s">
        <v>2401</v>
      </c>
      <c r="D1853" s="2968" t="s">
        <v>2271</v>
      </c>
      <c r="E1853" s="2968"/>
      <c r="F1853" s="2968">
        <v>2000</v>
      </c>
      <c r="G1853" s="2968" t="s">
        <v>510</v>
      </c>
      <c r="H1853" s="2968"/>
      <c r="I1853" s="2968"/>
      <c r="J1853" s="2968" t="str">
        <f t="shared" si="57"/>
        <v>N-BTLT 10.5</v>
      </c>
      <c r="K1853" s="2969" t="str">
        <f t="shared" si="56"/>
        <v>N-BTLT 10.5Nhổ trụ bê tông ly tâm 10.5m</v>
      </c>
    </row>
    <row r="1854" spans="1:11" hidden="1">
      <c r="A1854" s="2969" t="s">
        <v>6467</v>
      </c>
      <c r="B1854" s="3004"/>
      <c r="C1854" s="2969" t="s">
        <v>6469</v>
      </c>
      <c r="D1854" s="2968" t="s">
        <v>2271</v>
      </c>
      <c r="E1854" s="2968"/>
      <c r="F1854" s="2968">
        <v>3000</v>
      </c>
      <c r="G1854" s="2968" t="s">
        <v>510</v>
      </c>
      <c r="H1854" s="2968"/>
      <c r="I1854" s="2968"/>
      <c r="J1854" s="2968" t="str">
        <f t="shared" si="57"/>
        <v>BTLT 12-T</v>
      </c>
      <c r="K1854" s="2969" t="str">
        <f t="shared" si="56"/>
        <v>BTLT 12-TNhổ Trụ bê tông ly tâm 12m</v>
      </c>
    </row>
    <row r="1855" spans="1:11" hidden="1">
      <c r="A1855" s="2969" t="s">
        <v>508</v>
      </c>
      <c r="B1855" s="3004"/>
      <c r="C1855" s="2969" t="s">
        <v>2399</v>
      </c>
      <c r="D1855" s="2968" t="s">
        <v>2271</v>
      </c>
      <c r="E1855" s="2968"/>
      <c r="F1855" s="2968">
        <v>3000</v>
      </c>
      <c r="G1855" s="2968" t="s">
        <v>510</v>
      </c>
      <c r="H1855" s="2968"/>
      <c r="I1855" s="2968"/>
      <c r="J1855" s="2968" t="str">
        <f t="shared" si="57"/>
        <v>N-T-BTLT 8.4</v>
      </c>
      <c r="K1855" s="2969" t="str">
        <f t="shared" si="56"/>
        <v>N-T-BTLT 8.4Nhổ và trồng trụ 8,4m</v>
      </c>
    </row>
    <row r="1856" spans="1:11" hidden="1">
      <c r="A1856" s="2969" t="s">
        <v>7169</v>
      </c>
      <c r="B1856" s="3004"/>
      <c r="C1856" s="2969" t="s">
        <v>7170</v>
      </c>
      <c r="D1856" s="2968" t="s">
        <v>2547</v>
      </c>
      <c r="E1856" s="2968"/>
      <c r="F1856" s="2968">
        <v>50</v>
      </c>
      <c r="G1856" s="2968" t="s">
        <v>510</v>
      </c>
      <c r="H1856" s="2968"/>
      <c r="I1856" s="2968"/>
      <c r="J1856" s="2968" t="str">
        <f t="shared" si="57"/>
        <v>NG11490</v>
      </c>
      <c r="K1856" s="2969" t="str">
        <f t="shared" si="56"/>
        <v>NG11490Nối giảm PVC 114-90</v>
      </c>
    </row>
    <row r="1857" spans="1:11" hidden="1">
      <c r="A1857" s="2969" t="s">
        <v>685</v>
      </c>
      <c r="B1857" s="3015"/>
      <c r="C1857" s="2969" t="s">
        <v>4385</v>
      </c>
      <c r="D1857" s="2968" t="s">
        <v>2547</v>
      </c>
      <c r="E1857" s="2968"/>
      <c r="F1857" s="2968">
        <v>50</v>
      </c>
      <c r="G1857" s="2968" t="s">
        <v>510</v>
      </c>
      <c r="H1857" s="2968"/>
      <c r="I1857" s="2968"/>
      <c r="J1857" s="2968" t="str">
        <f t="shared" si="57"/>
        <v>NPVC114</v>
      </c>
      <c r="K1857" s="2969" t="str">
        <f t="shared" si="56"/>
        <v>NPVC114Nối ống PVC 114</v>
      </c>
    </row>
    <row r="1858" spans="1:11" hidden="1">
      <c r="A1858" s="2969" t="s">
        <v>4280</v>
      </c>
      <c r="B1858" s="3015"/>
      <c r="C1858" s="2969" t="s">
        <v>4281</v>
      </c>
      <c r="D1858" s="2968" t="s">
        <v>2547</v>
      </c>
      <c r="E1858" s="2968"/>
      <c r="F1858" s="2968">
        <v>50</v>
      </c>
      <c r="G1858" s="2968" t="s">
        <v>510</v>
      </c>
      <c r="H1858" s="2968"/>
      <c r="I1858" s="2968"/>
      <c r="J1858" s="2968" t="str">
        <f t="shared" si="57"/>
        <v>NPVC114-90</v>
      </c>
      <c r="K1858" s="2969" t="str">
        <f t="shared" si="56"/>
        <v>NPVC114-90Nối ống PVC 114 - 90</v>
      </c>
    </row>
    <row r="1859" spans="1:11" hidden="1">
      <c r="A1859" s="2969" t="s">
        <v>1403</v>
      </c>
      <c r="B1859" s="3015"/>
      <c r="C1859" s="2969" t="s">
        <v>3539</v>
      </c>
      <c r="D1859" s="2968" t="s">
        <v>2547</v>
      </c>
      <c r="E1859" s="2968"/>
      <c r="F1859" s="2968">
        <v>50</v>
      </c>
      <c r="G1859" s="2968" t="s">
        <v>510</v>
      </c>
      <c r="H1859" s="2968"/>
      <c r="I1859" s="2968"/>
      <c r="J1859" s="2968" t="str">
        <f t="shared" si="57"/>
        <v>NPVC140</v>
      </c>
      <c r="K1859" s="2969" t="str">
        <f t="shared" ref="K1859:K1922" si="58">A1859&amp;C1859</f>
        <v>NPVC140Nối ống PVC 140</v>
      </c>
    </row>
    <row r="1860" spans="1:11" hidden="1">
      <c r="A1860" s="2969" t="s">
        <v>2267</v>
      </c>
      <c r="B1860" s="3015"/>
      <c r="C1860" s="2969" t="s">
        <v>3543</v>
      </c>
      <c r="D1860" s="2968" t="s">
        <v>2547</v>
      </c>
      <c r="E1860" s="2968"/>
      <c r="F1860" s="2968">
        <v>50</v>
      </c>
      <c r="G1860" s="2968" t="s">
        <v>510</v>
      </c>
      <c r="H1860" s="2968"/>
      <c r="I1860" s="2968"/>
      <c r="J1860" s="2968" t="str">
        <f t="shared" ref="J1860:J1923" si="59">A1860</f>
        <v>NT42</v>
      </c>
      <c r="K1860" s="2969" t="str">
        <f t="shared" si="58"/>
        <v>NT42Nối ống PVC 42 chữ T</v>
      </c>
    </row>
    <row r="1861" spans="1:11" hidden="1">
      <c r="A1861" s="2969" t="s">
        <v>6368</v>
      </c>
      <c r="B1861" s="3004"/>
      <c r="C1861" s="2969" t="s">
        <v>6369</v>
      </c>
      <c r="D1861" s="2968" t="s">
        <v>2547</v>
      </c>
      <c r="E1861" s="2968"/>
      <c r="F1861" s="2968">
        <v>50</v>
      </c>
      <c r="G1861" s="2968" t="s">
        <v>510</v>
      </c>
      <c r="H1861" s="2968"/>
      <c r="I1861" s="2968"/>
      <c r="J1861" s="2968" t="str">
        <f t="shared" si="59"/>
        <v>Noi60</v>
      </c>
      <c r="K1861" s="2969" t="str">
        <f t="shared" si="58"/>
        <v>Noi60Nối ống PVC 60</v>
      </c>
    </row>
    <row r="1862" spans="1:11" hidden="1">
      <c r="A1862" s="2969" t="s">
        <v>2266</v>
      </c>
      <c r="B1862" s="3015"/>
      <c r="C1862" s="2969" t="s">
        <v>3542</v>
      </c>
      <c r="D1862" s="2968" t="s">
        <v>2547</v>
      </c>
      <c r="E1862" s="2968"/>
      <c r="F1862" s="2968">
        <v>50</v>
      </c>
      <c r="G1862" s="2968" t="s">
        <v>510</v>
      </c>
      <c r="H1862" s="2968"/>
      <c r="I1862" s="2968"/>
      <c r="J1862" s="2968" t="str">
        <f t="shared" si="59"/>
        <v>NPVC21</v>
      </c>
      <c r="K1862" s="2969" t="str">
        <f t="shared" si="58"/>
        <v>NPVC21Nối thẳng ống PVC 21</v>
      </c>
    </row>
    <row r="1863" spans="1:11" hidden="1">
      <c r="A1863" s="2969" t="s">
        <v>1908</v>
      </c>
      <c r="B1863" s="3015"/>
      <c r="C1863" s="2969" t="s">
        <v>3541</v>
      </c>
      <c r="D1863" s="2968" t="s">
        <v>2547</v>
      </c>
      <c r="E1863" s="2968"/>
      <c r="F1863" s="2968">
        <v>50</v>
      </c>
      <c r="G1863" s="2968" t="s">
        <v>510</v>
      </c>
      <c r="H1863" s="2968"/>
      <c r="I1863" s="2968"/>
      <c r="J1863" s="2968" t="str">
        <f t="shared" si="59"/>
        <v>NPVC42</v>
      </c>
      <c r="K1863" s="2969" t="str">
        <f t="shared" si="58"/>
        <v>NPVC42Nối thẳng ống PVC 42</v>
      </c>
    </row>
    <row r="1864" spans="1:11" hidden="1">
      <c r="A1864" s="2969" t="s">
        <v>722</v>
      </c>
      <c r="B1864" s="3015"/>
      <c r="C1864" s="2969" t="s">
        <v>3540</v>
      </c>
      <c r="D1864" s="2968" t="s">
        <v>2547</v>
      </c>
      <c r="E1864" s="2968"/>
      <c r="F1864" s="2968">
        <v>50</v>
      </c>
      <c r="G1864" s="2968" t="s">
        <v>510</v>
      </c>
      <c r="H1864" s="2968"/>
      <c r="I1864" s="2968"/>
      <c r="J1864" s="2968" t="str">
        <f t="shared" si="59"/>
        <v>NPVC90</v>
      </c>
      <c r="K1864" s="2969" t="str">
        <f t="shared" si="58"/>
        <v xml:space="preserve">NPVC90Nối thẳng ống PVC 90 </v>
      </c>
    </row>
    <row r="1865" spans="1:11" hidden="1">
      <c r="A1865" s="2969" t="s">
        <v>752</v>
      </c>
      <c r="B1865" s="3004"/>
      <c r="C1865" s="2969" t="s">
        <v>2989</v>
      </c>
      <c r="D1865" s="2968" t="s">
        <v>853</v>
      </c>
      <c r="E1865" s="2968"/>
      <c r="F1865" s="2968">
        <v>50</v>
      </c>
      <c r="G1865" s="2968" t="s">
        <v>510</v>
      </c>
      <c r="H1865" s="2968"/>
      <c r="I1865" s="2968"/>
      <c r="J1865" s="2968" t="str">
        <f t="shared" si="59"/>
        <v>NU</v>
      </c>
      <c r="K1865" s="2969" t="str">
        <f t="shared" si="58"/>
        <v>NUNước đổ bê tông</v>
      </c>
    </row>
    <row r="1866" spans="1:11" hidden="1">
      <c r="A1866" s="2969" t="s">
        <v>914</v>
      </c>
      <c r="B1866" s="3004"/>
      <c r="C1866" s="2969" t="s">
        <v>3004</v>
      </c>
      <c r="D1866" s="2968" t="s">
        <v>1818</v>
      </c>
      <c r="E1866" s="2968"/>
      <c r="F1866" s="2968">
        <v>50</v>
      </c>
      <c r="G1866" s="2968" t="s">
        <v>510</v>
      </c>
      <c r="H1866" s="2968"/>
      <c r="I1866" s="2968"/>
      <c r="J1866" s="2968" t="str">
        <f t="shared" si="59"/>
        <v>NLON</v>
      </c>
      <c r="K1866" s="2969" t="str">
        <f t="shared" si="58"/>
        <v>NLONNylon làm dấu khổ 0.6m</v>
      </c>
    </row>
    <row r="1867" spans="1:11" hidden="1">
      <c r="A1867" s="2969" t="s">
        <v>2072</v>
      </c>
      <c r="B1867" s="2986"/>
      <c r="C1867" s="2969" t="s">
        <v>3567</v>
      </c>
      <c r="D1867" s="2968" t="s">
        <v>2547</v>
      </c>
      <c r="E1867" s="2968"/>
      <c r="F1867" s="2968">
        <v>50</v>
      </c>
      <c r="G1867" s="2968" t="s">
        <v>510</v>
      </c>
      <c r="H1867" s="2968"/>
      <c r="I1867" s="2968"/>
      <c r="J1867" s="2968" t="str">
        <f t="shared" si="59"/>
        <v>KHOA</v>
      </c>
      <c r="K1867" s="2969" t="str">
        <f t="shared" si="58"/>
        <v>KHOAỔ khóa</v>
      </c>
    </row>
    <row r="1868" spans="1:11" hidden="1">
      <c r="A1868" s="2969" t="s">
        <v>436</v>
      </c>
      <c r="B1868" s="2968"/>
      <c r="C1868" s="2969" t="s">
        <v>3568</v>
      </c>
      <c r="D1868" s="2968" t="s">
        <v>853</v>
      </c>
      <c r="E1868" s="2968"/>
      <c r="F1868" s="2968">
        <v>50</v>
      </c>
      <c r="G1868" s="2968" t="s">
        <v>510</v>
      </c>
      <c r="H1868" s="2968"/>
      <c r="I1868" s="2968"/>
      <c r="J1868" s="2968" t="str">
        <f t="shared" si="59"/>
        <v>oxy</v>
      </c>
      <c r="K1868" s="2969" t="str">
        <f t="shared" si="58"/>
        <v>oxyÔ xy gió</v>
      </c>
    </row>
    <row r="1869" spans="1:11" hidden="1">
      <c r="A1869" s="2969" t="s">
        <v>1466</v>
      </c>
      <c r="B1869" s="2968" t="s">
        <v>1451</v>
      </c>
      <c r="C1869" s="2969" t="s">
        <v>4659</v>
      </c>
      <c r="D1869" s="2968" t="s">
        <v>2547</v>
      </c>
      <c r="E1869" s="2968"/>
      <c r="F1869" s="2968">
        <v>50</v>
      </c>
      <c r="G1869" s="2968" t="s">
        <v>510</v>
      </c>
      <c r="H1869" s="2968"/>
      <c r="I1869" s="2968"/>
      <c r="J1869" s="2968" t="str">
        <f t="shared" si="59"/>
        <v>OXC11</v>
      </c>
      <c r="K1869" s="2969" t="str">
        <f t="shared" si="58"/>
        <v xml:space="preserve">OXC11Ốc siết cáp cỡ 11mm2 </v>
      </c>
    </row>
    <row r="1870" spans="1:11" hidden="1">
      <c r="A1870" s="2969" t="s">
        <v>622</v>
      </c>
      <c r="B1870" s="2968" t="s">
        <v>1451</v>
      </c>
      <c r="C1870" s="2969" t="s">
        <v>4666</v>
      </c>
      <c r="D1870" s="2968" t="s">
        <v>2547</v>
      </c>
      <c r="E1870" s="2968"/>
      <c r="F1870" s="2968">
        <v>50</v>
      </c>
      <c r="G1870" s="2968" t="s">
        <v>510</v>
      </c>
      <c r="H1870" s="2968"/>
      <c r="I1870" s="2968"/>
      <c r="J1870" s="2968" t="str">
        <f t="shared" si="59"/>
        <v>OXC120</v>
      </c>
      <c r="K1870" s="2969" t="str">
        <f t="shared" si="58"/>
        <v xml:space="preserve">OXC120Ốc siết cáp cỡ 120mm2 </v>
      </c>
    </row>
    <row r="1871" spans="1:11" hidden="1">
      <c r="A1871" s="2969" t="s">
        <v>1092</v>
      </c>
      <c r="B1871" s="3015" t="s">
        <v>1451</v>
      </c>
      <c r="C1871" s="2969" t="s">
        <v>4667</v>
      </c>
      <c r="D1871" s="2968" t="s">
        <v>2547</v>
      </c>
      <c r="E1871" s="2968"/>
      <c r="F1871" s="2968">
        <v>50</v>
      </c>
      <c r="G1871" s="2968" t="s">
        <v>510</v>
      </c>
      <c r="H1871" s="2968"/>
      <c r="I1871" s="2968"/>
      <c r="J1871" s="2968" t="str">
        <f t="shared" si="59"/>
        <v>OXC150</v>
      </c>
      <c r="K1871" s="2969" t="str">
        <f t="shared" si="58"/>
        <v>OXC150Ốc siết cáp cỡ 150mm2</v>
      </c>
    </row>
    <row r="1872" spans="1:11" hidden="1">
      <c r="A1872" s="2969" t="s">
        <v>2103</v>
      </c>
      <c r="B1872" s="3015" t="s">
        <v>1451</v>
      </c>
      <c r="C1872" s="2969" t="s">
        <v>4668</v>
      </c>
      <c r="D1872" s="2968" t="s">
        <v>2547</v>
      </c>
      <c r="E1872" s="2968"/>
      <c r="F1872" s="2968">
        <v>50</v>
      </c>
      <c r="G1872" s="2968" t="s">
        <v>510</v>
      </c>
      <c r="H1872" s="2968"/>
      <c r="I1872" s="2968"/>
      <c r="J1872" s="2968" t="str">
        <f t="shared" si="59"/>
        <v>OXC185</v>
      </c>
      <c r="K1872" s="2969" t="str">
        <f t="shared" si="58"/>
        <v>OXC185Ốc siết cáp cỡ 185mm2</v>
      </c>
    </row>
    <row r="1873" spans="1:11" hidden="1">
      <c r="A1873" s="2969" t="s">
        <v>2251</v>
      </c>
      <c r="B1873" s="2968" t="s">
        <v>1451</v>
      </c>
      <c r="C1873" s="2969" t="s">
        <v>4660</v>
      </c>
      <c r="D1873" s="2968" t="s">
        <v>2547</v>
      </c>
      <c r="E1873" s="2968"/>
      <c r="F1873" s="2968">
        <v>50</v>
      </c>
      <c r="G1873" s="2968" t="s">
        <v>510</v>
      </c>
      <c r="H1873" s="2968"/>
      <c r="I1873" s="2968"/>
      <c r="J1873" s="2968" t="str">
        <f t="shared" si="59"/>
        <v>OXC22</v>
      </c>
      <c r="K1873" s="2969" t="str">
        <f t="shared" si="58"/>
        <v xml:space="preserve">OXC22Ốc siết cáp cỡ 22mm2 </v>
      </c>
    </row>
    <row r="1874" spans="1:11" hidden="1">
      <c r="A1874" s="2969" t="s">
        <v>485</v>
      </c>
      <c r="B1874" s="3015" t="s">
        <v>1451</v>
      </c>
      <c r="C1874" s="2969" t="s">
        <v>4669</v>
      </c>
      <c r="D1874" s="2968" t="s">
        <v>2547</v>
      </c>
      <c r="E1874" s="2968"/>
      <c r="F1874" s="2968">
        <v>50</v>
      </c>
      <c r="G1874" s="2968" t="s">
        <v>510</v>
      </c>
      <c r="H1874" s="2968"/>
      <c r="I1874" s="2968"/>
      <c r="J1874" s="2968" t="str">
        <f t="shared" si="59"/>
        <v>OXC240</v>
      </c>
      <c r="K1874" s="2969" t="str">
        <f t="shared" si="58"/>
        <v>OXC240Ốc siết cáp cỡ 240mm2</v>
      </c>
    </row>
    <row r="1875" spans="1:11" hidden="1">
      <c r="A1875" s="2969" t="s">
        <v>1058</v>
      </c>
      <c r="B1875" s="3015" t="s">
        <v>1451</v>
      </c>
      <c r="C1875" s="2969" t="s">
        <v>4661</v>
      </c>
      <c r="D1875" s="2968" t="s">
        <v>2547</v>
      </c>
      <c r="E1875" s="2968"/>
      <c r="F1875" s="2968">
        <v>50</v>
      </c>
      <c r="G1875" s="2968" t="s">
        <v>510</v>
      </c>
      <c r="H1875" s="2968"/>
      <c r="I1875" s="2968"/>
      <c r="J1875" s="2968" t="str">
        <f t="shared" si="59"/>
        <v>OXC25</v>
      </c>
      <c r="K1875" s="2969" t="str">
        <f t="shared" si="58"/>
        <v>OXC25Ốc siết cáp cỡ 25mm2</v>
      </c>
    </row>
    <row r="1876" spans="1:11" hidden="1">
      <c r="A1876" s="2969" t="s">
        <v>1059</v>
      </c>
      <c r="B1876" s="2968" t="s">
        <v>1451</v>
      </c>
      <c r="C1876" s="2969" t="s">
        <v>4662</v>
      </c>
      <c r="D1876" s="2968" t="s">
        <v>2547</v>
      </c>
      <c r="E1876" s="2968"/>
      <c r="F1876" s="2968">
        <v>50</v>
      </c>
      <c r="G1876" s="2968" t="s">
        <v>510</v>
      </c>
      <c r="H1876" s="2968"/>
      <c r="I1876" s="2968"/>
      <c r="J1876" s="2968" t="str">
        <f t="shared" si="59"/>
        <v>OXC38</v>
      </c>
      <c r="K1876" s="2969" t="str">
        <f t="shared" si="58"/>
        <v xml:space="preserve">OXC38Ốc siết cáp cỡ 38mm2 </v>
      </c>
    </row>
    <row r="1877" spans="1:11" hidden="1">
      <c r="A1877" s="2969" t="s">
        <v>1465</v>
      </c>
      <c r="B1877" s="2968" t="s">
        <v>1451</v>
      </c>
      <c r="C1877" s="2969" t="s">
        <v>4663</v>
      </c>
      <c r="D1877" s="2968" t="s">
        <v>2547</v>
      </c>
      <c r="E1877" s="2968"/>
      <c r="F1877" s="2968">
        <v>50</v>
      </c>
      <c r="G1877" s="2968" t="s">
        <v>510</v>
      </c>
      <c r="H1877" s="2968"/>
      <c r="I1877" s="2968"/>
      <c r="J1877" s="2968" t="str">
        <f t="shared" si="59"/>
        <v>OXC50</v>
      </c>
      <c r="K1877" s="2969" t="str">
        <f t="shared" si="58"/>
        <v xml:space="preserve">OXC50Ốc siết cáp cỡ 50mm2 </v>
      </c>
    </row>
    <row r="1878" spans="1:11" hidden="1">
      <c r="A1878" s="2969" t="s">
        <v>1616</v>
      </c>
      <c r="B1878" s="2968" t="s">
        <v>1451</v>
      </c>
      <c r="C1878" s="2969" t="s">
        <v>4664</v>
      </c>
      <c r="D1878" s="2968" t="s">
        <v>2547</v>
      </c>
      <c r="E1878" s="2968"/>
      <c r="F1878" s="2968">
        <v>50</v>
      </c>
      <c r="G1878" s="2968" t="s">
        <v>510</v>
      </c>
      <c r="H1878" s="2968"/>
      <c r="I1878" s="2968"/>
      <c r="J1878" s="2968" t="str">
        <f t="shared" si="59"/>
        <v>OXC70</v>
      </c>
      <c r="K1878" s="2969" t="str">
        <f t="shared" si="58"/>
        <v xml:space="preserve">OXC70Ốc siết cáp cỡ 70mm2 </v>
      </c>
    </row>
    <row r="1879" spans="1:11" hidden="1">
      <c r="A1879" s="2969" t="s">
        <v>684</v>
      </c>
      <c r="B1879" s="2968" t="s">
        <v>1451</v>
      </c>
      <c r="C1879" s="2969" t="s">
        <v>4665</v>
      </c>
      <c r="D1879" s="2968" t="s">
        <v>2547</v>
      </c>
      <c r="E1879" s="2968"/>
      <c r="F1879" s="2968">
        <v>50</v>
      </c>
      <c r="G1879" s="2968" t="s">
        <v>510</v>
      </c>
      <c r="H1879" s="2968"/>
      <c r="I1879" s="2968"/>
      <c r="J1879" s="2968" t="str">
        <f t="shared" si="59"/>
        <v>OXC95</v>
      </c>
      <c r="K1879" s="2969" t="str">
        <f t="shared" si="58"/>
        <v xml:space="preserve">OXC95Ốc siết cáp cỡ 95mm2 </v>
      </c>
    </row>
    <row r="1880" spans="1:11" hidden="1">
      <c r="A1880" s="2969" t="s">
        <v>1032</v>
      </c>
      <c r="B1880" s="2968" t="s">
        <v>1451</v>
      </c>
      <c r="C1880" s="2969" t="s">
        <v>4656</v>
      </c>
      <c r="D1880" s="2968" t="s">
        <v>2547</v>
      </c>
      <c r="E1880" s="2968"/>
      <c r="F1880" s="2968">
        <v>50</v>
      </c>
      <c r="G1880" s="2968" t="s">
        <v>510</v>
      </c>
      <c r="H1880" s="2968"/>
      <c r="I1880" s="2968"/>
      <c r="J1880" s="2968" t="str">
        <f t="shared" si="59"/>
        <v>OXC1/0</v>
      </c>
      <c r="K1880" s="2969" t="str">
        <f t="shared" si="58"/>
        <v>OXC1/0Ốc siết cáp Cu - Al 1/0</v>
      </c>
    </row>
    <row r="1881" spans="1:11" hidden="1">
      <c r="A1881" s="2969" t="s">
        <v>1033</v>
      </c>
      <c r="B1881" s="2968" t="s">
        <v>1451</v>
      </c>
      <c r="C1881" s="2969" t="s">
        <v>4657</v>
      </c>
      <c r="D1881" s="2968" t="s">
        <v>2547</v>
      </c>
      <c r="E1881" s="2968"/>
      <c r="F1881" s="2968">
        <v>50</v>
      </c>
      <c r="G1881" s="2968" t="s">
        <v>510</v>
      </c>
      <c r="H1881" s="2968"/>
      <c r="I1881" s="2968"/>
      <c r="J1881" s="2968" t="str">
        <f t="shared" si="59"/>
        <v>OXC2/0</v>
      </c>
      <c r="K1881" s="2969" t="str">
        <f t="shared" si="58"/>
        <v>OXC2/0Ốc siết cáp Cu - Al 2/0</v>
      </c>
    </row>
    <row r="1882" spans="1:11" hidden="1">
      <c r="A1882" s="2969" t="s">
        <v>2116</v>
      </c>
      <c r="B1882" s="2968" t="s">
        <v>1451</v>
      </c>
      <c r="C1882" s="2969" t="s">
        <v>4658</v>
      </c>
      <c r="D1882" s="2968" t="s">
        <v>2547</v>
      </c>
      <c r="E1882" s="2968"/>
      <c r="F1882" s="2968">
        <v>50</v>
      </c>
      <c r="G1882" s="2968" t="s">
        <v>510</v>
      </c>
      <c r="H1882" s="2968"/>
      <c r="I1882" s="2968"/>
      <c r="J1882" s="2968" t="str">
        <f t="shared" si="59"/>
        <v>OXCth</v>
      </c>
      <c r="K1882" s="2969" t="str">
        <f t="shared" si="58"/>
        <v xml:space="preserve">OXCthỐc siết cáp Cu-AL cở thích hợp </v>
      </c>
    </row>
    <row r="1883" spans="1:11" hidden="1">
      <c r="A1883" s="2969" t="s">
        <v>4881</v>
      </c>
      <c r="B1883" s="3004"/>
      <c r="C1883" s="2969" t="s">
        <v>4888</v>
      </c>
      <c r="D1883" s="2968" t="s">
        <v>2547</v>
      </c>
      <c r="E1883" s="2968"/>
      <c r="F1883" s="2968">
        <v>50</v>
      </c>
      <c r="G1883" s="2968" t="s">
        <v>510</v>
      </c>
      <c r="H1883" s="2968"/>
      <c r="I1883" s="2968"/>
      <c r="J1883" s="2968" t="str">
        <f t="shared" si="59"/>
        <v>OXC</v>
      </c>
      <c r="K1883" s="2969" t="str">
        <f t="shared" si="58"/>
        <v>OXCỐc xiết cáp</v>
      </c>
    </row>
    <row r="1884" spans="1:11" hidden="1">
      <c r="A1884" s="2969" t="s">
        <v>7171</v>
      </c>
      <c r="B1884" s="3004"/>
      <c r="C1884" s="2969" t="s">
        <v>7172</v>
      </c>
      <c r="D1884" s="2968" t="s">
        <v>2526</v>
      </c>
      <c r="E1884" s="2968"/>
      <c r="F1884" s="2968">
        <v>50</v>
      </c>
      <c r="G1884" s="2968" t="s">
        <v>510</v>
      </c>
      <c r="H1884" s="2968"/>
      <c r="I1884" s="2968"/>
      <c r="J1884" s="2968" t="str">
        <f t="shared" si="59"/>
        <v>OBCD</v>
      </c>
      <c r="K1884" s="2969" t="str">
        <f t="shared" si="58"/>
        <v>OBCDỐng bọc cách điện D30/15</v>
      </c>
    </row>
    <row r="1885" spans="1:11" hidden="1">
      <c r="A1885" s="2969" t="s">
        <v>4602</v>
      </c>
      <c r="B1885" s="3004"/>
      <c r="C1885" s="2969" t="s">
        <v>7173</v>
      </c>
      <c r="D1885" s="2968" t="s">
        <v>1818</v>
      </c>
      <c r="E1885" s="2968"/>
      <c r="F1885" s="2968">
        <v>50</v>
      </c>
      <c r="G1885" s="2968" t="s">
        <v>510</v>
      </c>
      <c r="H1885" s="2968"/>
      <c r="I1885" s="2968"/>
      <c r="J1885" s="2968" t="str">
        <f t="shared" si="59"/>
        <v>OCN</v>
      </c>
      <c r="K1885" s="2969" t="str">
        <f t="shared" si="58"/>
        <v>OCNỐng co nhiệt</v>
      </c>
    </row>
    <row r="1886" spans="1:11" hidden="1">
      <c r="A1886" s="2969" t="s">
        <v>1735</v>
      </c>
      <c r="B1886" s="3015" t="s">
        <v>573</v>
      </c>
      <c r="C1886" s="2969" t="s">
        <v>3525</v>
      </c>
      <c r="D1886" s="2968" t="s">
        <v>1818</v>
      </c>
      <c r="E1886" s="2968"/>
      <c r="F1886" s="2968">
        <v>50</v>
      </c>
      <c r="G1886" s="2968" t="s">
        <v>510</v>
      </c>
      <c r="H1886" s="2968"/>
      <c r="I1886" s="2968"/>
      <c r="J1886" s="2968" t="str">
        <f t="shared" si="59"/>
        <v>ONGDH114</v>
      </c>
      <c r="K1886" s="2969" t="str">
        <f t="shared" si="58"/>
        <v>ONGDH114Ống đàn hồi 114</v>
      </c>
    </row>
    <row r="1887" spans="1:11" hidden="1">
      <c r="A1887" s="2969" t="s">
        <v>237</v>
      </c>
      <c r="B1887" s="3015" t="s">
        <v>573</v>
      </c>
      <c r="C1887" s="2969" t="s">
        <v>3523</v>
      </c>
      <c r="D1887" s="2968" t="s">
        <v>1818</v>
      </c>
      <c r="E1887" s="2968"/>
      <c r="F1887" s="2968">
        <v>50</v>
      </c>
      <c r="G1887" s="2968" t="s">
        <v>510</v>
      </c>
      <c r="H1887" s="2968"/>
      <c r="I1887" s="2968"/>
      <c r="J1887" s="2968" t="str">
        <f t="shared" si="59"/>
        <v>ONGDH168</v>
      </c>
      <c r="K1887" s="2969" t="str">
        <f t="shared" si="58"/>
        <v>ONGDH168Ống đàn hồi 168</v>
      </c>
    </row>
    <row r="1888" spans="1:11" hidden="1">
      <c r="A1888" s="2969" t="s">
        <v>5705</v>
      </c>
      <c r="B1888" s="3004"/>
      <c r="C1888" s="2969" t="s">
        <v>5706</v>
      </c>
      <c r="D1888" s="2968" t="s">
        <v>1818</v>
      </c>
      <c r="E1888" s="2968"/>
      <c r="F1888" s="2968">
        <v>50</v>
      </c>
      <c r="G1888" s="2968" t="s">
        <v>510</v>
      </c>
      <c r="H1888" s="2968"/>
      <c r="I1888" s="2968"/>
      <c r="J1888" s="2968" t="str">
        <f t="shared" si="59"/>
        <v>ONGDH34</v>
      </c>
      <c r="K1888" s="2969" t="str">
        <f t="shared" si="58"/>
        <v>ONGDH34Ống đàn hồi 34</v>
      </c>
    </row>
    <row r="1889" spans="1:11" hidden="1">
      <c r="A1889" s="2969" t="s">
        <v>2268</v>
      </c>
      <c r="B1889" s="3015" t="s">
        <v>573</v>
      </c>
      <c r="C1889" s="2969" t="s">
        <v>3524</v>
      </c>
      <c r="D1889" s="2968" t="s">
        <v>1818</v>
      </c>
      <c r="E1889" s="2968"/>
      <c r="F1889" s="2968">
        <v>50</v>
      </c>
      <c r="G1889" s="2968" t="s">
        <v>510</v>
      </c>
      <c r="H1889" s="2968"/>
      <c r="I1889" s="2968"/>
      <c r="J1889" s="2968" t="str">
        <f t="shared" si="59"/>
        <v>ONGDH42</v>
      </c>
      <c r="K1889" s="2969" t="str">
        <f t="shared" si="58"/>
        <v>ONGDH42Ống đàn hồi 42</v>
      </c>
    </row>
    <row r="1890" spans="1:11" hidden="1">
      <c r="A1890" s="2969" t="s">
        <v>5703</v>
      </c>
      <c r="B1890" s="3004"/>
      <c r="C1890" s="2969" t="s">
        <v>5704</v>
      </c>
      <c r="D1890" s="2968" t="s">
        <v>1818</v>
      </c>
      <c r="E1890" s="2968"/>
      <c r="F1890" s="2968">
        <v>50</v>
      </c>
      <c r="G1890" s="2968" t="s">
        <v>510</v>
      </c>
      <c r="H1890" s="2968"/>
      <c r="I1890" s="2968"/>
      <c r="J1890" s="2968" t="str">
        <f t="shared" si="59"/>
        <v>ONGDH60</v>
      </c>
      <c r="K1890" s="2969" t="str">
        <f t="shared" si="58"/>
        <v>ONGDH60Ống đàn hồi 60</v>
      </c>
    </row>
    <row r="1891" spans="1:11" hidden="1">
      <c r="A1891" s="2969" t="s">
        <v>5707</v>
      </c>
      <c r="B1891" s="3004"/>
      <c r="C1891" s="2969" t="s">
        <v>5708</v>
      </c>
      <c r="D1891" s="2968" t="s">
        <v>1818</v>
      </c>
      <c r="E1891" s="2968"/>
      <c r="F1891" s="2968">
        <v>50</v>
      </c>
      <c r="G1891" s="2968" t="s">
        <v>510</v>
      </c>
      <c r="H1891" s="2968"/>
      <c r="I1891" s="2968"/>
      <c r="J1891" s="2968" t="str">
        <f t="shared" si="59"/>
        <v>ONGDH90</v>
      </c>
      <c r="K1891" s="2969" t="str">
        <f t="shared" si="58"/>
        <v>ONGDH90Ống đàn hồi 90 (Ruột gà)</v>
      </c>
    </row>
    <row r="1892" spans="1:11" hidden="1">
      <c r="A1892" s="2969" t="s">
        <v>7174</v>
      </c>
      <c r="B1892" s="3004"/>
      <c r="C1892" s="2969" t="s">
        <v>7175</v>
      </c>
      <c r="D1892" s="2968" t="s">
        <v>1818</v>
      </c>
      <c r="E1892" s="2968"/>
      <c r="F1892" s="2968">
        <v>50</v>
      </c>
      <c r="G1892" s="2968" t="s">
        <v>510</v>
      </c>
      <c r="H1892" s="2968"/>
      <c r="I1892" s="2968"/>
      <c r="J1892" s="2968" t="str">
        <f t="shared" si="59"/>
        <v>ONGDH140</v>
      </c>
      <c r="K1892" s="2969" t="str">
        <f t="shared" si="58"/>
        <v>ONGDH140Ống HDPE 140x5,4</v>
      </c>
    </row>
    <row r="1893" spans="1:11" hidden="1">
      <c r="A1893" s="2969" t="s">
        <v>1047</v>
      </c>
      <c r="B1893" s="3015"/>
      <c r="C1893" s="2969" t="s">
        <v>3522</v>
      </c>
      <c r="D1893" s="2968" t="s">
        <v>2526</v>
      </c>
      <c r="E1893" s="2968"/>
      <c r="F1893" s="2968">
        <v>50</v>
      </c>
      <c r="G1893" s="2968" t="s">
        <v>510</v>
      </c>
      <c r="H1893" s="2968"/>
      <c r="I1893" s="2968"/>
      <c r="J1893" s="2968" t="str">
        <f t="shared" si="59"/>
        <v>ODH42</v>
      </c>
      <c r="K1893" s="2969" t="str">
        <f t="shared" si="58"/>
        <v>ODH42Ống nhựa đàn hồi</v>
      </c>
    </row>
    <row r="1894" spans="1:11" hidden="1">
      <c r="A1894" s="2969" t="s">
        <v>7176</v>
      </c>
      <c r="B1894" s="3004" t="s">
        <v>5638</v>
      </c>
      <c r="C1894" s="2969" t="s">
        <v>7177</v>
      </c>
      <c r="D1894" s="2968" t="s">
        <v>2547</v>
      </c>
      <c r="E1894" s="2968"/>
      <c r="F1894" s="2968">
        <v>50</v>
      </c>
      <c r="G1894" s="2968" t="s">
        <v>510</v>
      </c>
      <c r="H1894" s="2968"/>
      <c r="I1894" s="2968"/>
      <c r="J1894" s="2968" t="str">
        <f t="shared" si="59"/>
        <v>ONA16</v>
      </c>
      <c r="K1894" s="2969" t="str">
        <f t="shared" si="58"/>
        <v>ONA16Ống nối Al 16mm2</v>
      </c>
    </row>
    <row r="1895" spans="1:11" hidden="1">
      <c r="A1895" s="3013" t="s">
        <v>2213</v>
      </c>
      <c r="B1895" s="2986"/>
      <c r="C1895" s="2969" t="s">
        <v>2910</v>
      </c>
      <c r="D1895" s="2968" t="s">
        <v>2547</v>
      </c>
      <c r="E1895" s="2968"/>
      <c r="F1895" s="2968">
        <v>50</v>
      </c>
      <c r="G1895" s="2968" t="s">
        <v>510</v>
      </c>
      <c r="H1895" s="2968"/>
      <c r="I1895" s="2968"/>
      <c r="J1895" s="2968" t="str">
        <f t="shared" si="59"/>
        <v>ON120A</v>
      </c>
      <c r="K1895" s="2969" t="str">
        <f t="shared" si="58"/>
        <v>ON120AỐng nối dây A-120</v>
      </c>
    </row>
    <row r="1896" spans="1:11" hidden="1">
      <c r="A1896" s="3013" t="s">
        <v>208</v>
      </c>
      <c r="B1896" s="2986"/>
      <c r="C1896" s="2969" t="s">
        <v>2909</v>
      </c>
      <c r="D1896" s="2968" t="s">
        <v>2547</v>
      </c>
      <c r="E1896" s="2968"/>
      <c r="F1896" s="2968">
        <v>50</v>
      </c>
      <c r="G1896" s="2968" t="s">
        <v>510</v>
      </c>
      <c r="H1896" s="2968"/>
      <c r="I1896" s="2968"/>
      <c r="J1896" s="2968" t="str">
        <f t="shared" si="59"/>
        <v>ON185A</v>
      </c>
      <c r="K1896" s="2969" t="str">
        <f t="shared" si="58"/>
        <v>ON185AỐng nối dây A-185</v>
      </c>
    </row>
    <row r="1897" spans="1:11" hidden="1">
      <c r="A1897" s="3013" t="s">
        <v>702</v>
      </c>
      <c r="B1897" s="2986"/>
      <c r="C1897" s="2969" t="s">
        <v>2908</v>
      </c>
      <c r="D1897" s="2968" t="s">
        <v>2547</v>
      </c>
      <c r="E1897" s="2968"/>
      <c r="F1897" s="2968">
        <v>50</v>
      </c>
      <c r="G1897" s="2968" t="s">
        <v>510</v>
      </c>
      <c r="H1897" s="2968"/>
      <c r="I1897" s="2968"/>
      <c r="J1897" s="2968" t="str">
        <f t="shared" si="59"/>
        <v>ON240A</v>
      </c>
      <c r="K1897" s="2969" t="str">
        <f t="shared" si="58"/>
        <v>ON240AỐng nối dây A-240</v>
      </c>
    </row>
    <row r="1898" spans="1:11" hidden="1">
      <c r="A1898" s="3013" t="s">
        <v>615</v>
      </c>
      <c r="B1898" s="2986"/>
      <c r="C1898" s="2969" t="s">
        <v>2914</v>
      </c>
      <c r="D1898" s="2968" t="s">
        <v>2547</v>
      </c>
      <c r="E1898" s="2968"/>
      <c r="F1898" s="2968">
        <v>50</v>
      </c>
      <c r="G1898" s="2968" t="s">
        <v>510</v>
      </c>
      <c r="H1898" s="2968"/>
      <c r="I1898" s="2968"/>
      <c r="J1898" s="2968" t="str">
        <f t="shared" si="59"/>
        <v>ON35A</v>
      </c>
      <c r="K1898" s="2969" t="str">
        <f t="shared" si="58"/>
        <v>ON35AỐng nối dây A-35</v>
      </c>
    </row>
    <row r="1899" spans="1:11" hidden="1">
      <c r="A1899" s="3013" t="s">
        <v>520</v>
      </c>
      <c r="B1899" s="2986"/>
      <c r="C1899" s="2969" t="s">
        <v>2913</v>
      </c>
      <c r="D1899" s="2968" t="s">
        <v>2547</v>
      </c>
      <c r="E1899" s="2968"/>
      <c r="F1899" s="2968">
        <v>50</v>
      </c>
      <c r="G1899" s="2968" t="s">
        <v>510</v>
      </c>
      <c r="H1899" s="2968"/>
      <c r="I1899" s="2968"/>
      <c r="J1899" s="2968" t="str">
        <f t="shared" si="59"/>
        <v>ON50A</v>
      </c>
      <c r="K1899" s="2969" t="str">
        <f t="shared" si="58"/>
        <v>ON50AỐng nối dây A-50</v>
      </c>
    </row>
    <row r="1900" spans="1:11" hidden="1">
      <c r="A1900" s="3013" t="s">
        <v>521</v>
      </c>
      <c r="B1900" s="2986"/>
      <c r="C1900" s="2969" t="s">
        <v>2912</v>
      </c>
      <c r="D1900" s="2968" t="s">
        <v>2547</v>
      </c>
      <c r="E1900" s="2968"/>
      <c r="F1900" s="2968">
        <v>50</v>
      </c>
      <c r="G1900" s="2968" t="s">
        <v>510</v>
      </c>
      <c r="H1900" s="2968"/>
      <c r="I1900" s="2968"/>
      <c r="J1900" s="2968" t="str">
        <f t="shared" si="59"/>
        <v>ON70A</v>
      </c>
      <c r="K1900" s="2969" t="str">
        <f t="shared" si="58"/>
        <v>ON70AỐng nối dây A-70</v>
      </c>
    </row>
    <row r="1901" spans="1:11" hidden="1">
      <c r="A1901" s="2969" t="s">
        <v>522</v>
      </c>
      <c r="B1901" s="3004"/>
      <c r="C1901" s="2969" t="s">
        <v>2911</v>
      </c>
      <c r="D1901" s="2968" t="s">
        <v>2547</v>
      </c>
      <c r="E1901" s="2968"/>
      <c r="F1901" s="2968">
        <v>50</v>
      </c>
      <c r="G1901" s="2968" t="s">
        <v>510</v>
      </c>
      <c r="H1901" s="2968"/>
      <c r="I1901" s="2968"/>
      <c r="J1901" s="2968" t="str">
        <f t="shared" si="59"/>
        <v>ON95A</v>
      </c>
      <c r="K1901" s="2969" t="str">
        <f t="shared" si="58"/>
        <v>ON95AỐng nối dây A-95</v>
      </c>
    </row>
    <row r="1902" spans="1:11" hidden="1">
      <c r="A1902" s="3013" t="s">
        <v>7178</v>
      </c>
      <c r="B1902" s="2986"/>
      <c r="C1902" s="2969" t="s">
        <v>7304</v>
      </c>
      <c r="D1902" s="2968" t="s">
        <v>2547</v>
      </c>
      <c r="E1902" s="2968"/>
      <c r="F1902" s="2968">
        <v>50</v>
      </c>
      <c r="G1902" s="2968" t="s">
        <v>510</v>
      </c>
      <c r="H1902" s="2968"/>
      <c r="I1902" s="2968"/>
      <c r="J1902" s="2968" t="str">
        <f t="shared" si="59"/>
        <v>ON-AC-120</v>
      </c>
      <c r="K1902" s="2969" t="str">
        <f t="shared" si="58"/>
        <v>ON-AC-120Ống nối dây AC-</v>
      </c>
    </row>
    <row r="1903" spans="1:11" hidden="1">
      <c r="A1903" s="3013" t="s">
        <v>6398</v>
      </c>
      <c r="B1903" s="2986"/>
      <c r="C1903" s="2969" t="s">
        <v>7304</v>
      </c>
      <c r="D1903" s="2968" t="s">
        <v>2547</v>
      </c>
      <c r="E1903" s="2968"/>
      <c r="F1903" s="2968">
        <v>50</v>
      </c>
      <c r="G1903" s="2968" t="s">
        <v>510</v>
      </c>
      <c r="H1903" s="2968"/>
      <c r="I1903" s="2968"/>
      <c r="J1903" s="2968" t="str">
        <f t="shared" si="59"/>
        <v>ON-AC-185</v>
      </c>
      <c r="K1903" s="2969" t="str">
        <f t="shared" si="58"/>
        <v>ON-AC-185Ống nối dây AC-</v>
      </c>
    </row>
    <row r="1904" spans="1:11" hidden="1">
      <c r="A1904" s="3013" t="s">
        <v>7179</v>
      </c>
      <c r="B1904" s="2986"/>
      <c r="C1904" s="2969" t="s">
        <v>7304</v>
      </c>
      <c r="D1904" s="2968" t="s">
        <v>2547</v>
      </c>
      <c r="E1904" s="2968"/>
      <c r="F1904" s="2968">
        <v>50</v>
      </c>
      <c r="G1904" s="2968" t="s">
        <v>510</v>
      </c>
      <c r="H1904" s="2968"/>
      <c r="I1904" s="2968"/>
      <c r="J1904" s="2968" t="str">
        <f t="shared" si="59"/>
        <v>ON-AC-240</v>
      </c>
      <c r="K1904" s="2969" t="str">
        <f t="shared" si="58"/>
        <v>ON-AC-240Ống nối dây AC-</v>
      </c>
    </row>
    <row r="1905" spans="1:11" hidden="1">
      <c r="A1905" s="3013" t="s">
        <v>7180</v>
      </c>
      <c r="B1905" s="2986"/>
      <c r="C1905" s="2969" t="s">
        <v>7304</v>
      </c>
      <c r="D1905" s="2968" t="s">
        <v>2547</v>
      </c>
      <c r="E1905" s="2968"/>
      <c r="F1905" s="2968">
        <v>50</v>
      </c>
      <c r="G1905" s="2968" t="s">
        <v>510</v>
      </c>
      <c r="H1905" s="2968"/>
      <c r="I1905" s="2968"/>
      <c r="J1905" s="2968" t="str">
        <f t="shared" si="59"/>
        <v>ON-AC-35</v>
      </c>
      <c r="K1905" s="2969" t="str">
        <f t="shared" si="58"/>
        <v>ON-AC-35Ống nối dây AC-</v>
      </c>
    </row>
    <row r="1906" spans="1:11" hidden="1">
      <c r="A1906" s="3013" t="s">
        <v>7181</v>
      </c>
      <c r="B1906" s="2986"/>
      <c r="C1906" s="2969" t="s">
        <v>7304</v>
      </c>
      <c r="D1906" s="2968" t="s">
        <v>2547</v>
      </c>
      <c r="E1906" s="2968"/>
      <c r="F1906" s="2968">
        <v>50</v>
      </c>
      <c r="G1906" s="2968" t="s">
        <v>510</v>
      </c>
      <c r="H1906" s="2968"/>
      <c r="I1906" s="2968"/>
      <c r="J1906" s="2968" t="str">
        <f t="shared" si="59"/>
        <v>ON-AC-50</v>
      </c>
      <c r="K1906" s="2969" t="str">
        <f t="shared" si="58"/>
        <v>ON-AC-50Ống nối dây AC-</v>
      </c>
    </row>
    <row r="1907" spans="1:11" hidden="1">
      <c r="A1907" s="3013" t="s">
        <v>7182</v>
      </c>
      <c r="B1907" s="2986"/>
      <c r="C1907" s="2969" t="s">
        <v>7304</v>
      </c>
      <c r="D1907" s="2968" t="s">
        <v>2547</v>
      </c>
      <c r="E1907" s="2968"/>
      <c r="F1907" s="2968">
        <v>50</v>
      </c>
      <c r="G1907" s="2968" t="s">
        <v>510</v>
      </c>
      <c r="H1907" s="2968"/>
      <c r="I1907" s="2968"/>
      <c r="J1907" s="2968" t="str">
        <f t="shared" si="59"/>
        <v>ON-AC-70</v>
      </c>
      <c r="K1907" s="2969" t="str">
        <f t="shared" si="58"/>
        <v>ON-AC-70Ống nối dây AC-</v>
      </c>
    </row>
    <row r="1908" spans="1:11" hidden="1">
      <c r="A1908" s="3013" t="s">
        <v>7183</v>
      </c>
      <c r="B1908" s="3004"/>
      <c r="C1908" s="2969" t="s">
        <v>7304</v>
      </c>
      <c r="D1908" s="2968" t="s">
        <v>2547</v>
      </c>
      <c r="E1908" s="2968"/>
      <c r="F1908" s="2968">
        <v>50</v>
      </c>
      <c r="G1908" s="2968" t="s">
        <v>510</v>
      </c>
      <c r="H1908" s="2968"/>
      <c r="I1908" s="2968"/>
      <c r="J1908" s="2968" t="str">
        <f t="shared" si="59"/>
        <v>ON-AC-85</v>
      </c>
      <c r="K1908" s="2969" t="str">
        <f t="shared" si="58"/>
        <v>ON-AC-85Ống nối dây AC-</v>
      </c>
    </row>
    <row r="1909" spans="1:11" hidden="1">
      <c r="A1909" s="2969" t="s">
        <v>431</v>
      </c>
      <c r="B1909" s="3004"/>
      <c r="C1909" s="2969" t="s">
        <v>2923</v>
      </c>
      <c r="D1909" s="2968" t="s">
        <v>2547</v>
      </c>
      <c r="E1909" s="2968"/>
      <c r="F1909" s="2968">
        <v>50</v>
      </c>
      <c r="G1909" s="2968" t="s">
        <v>510</v>
      </c>
      <c r="H1909" s="2968"/>
      <c r="I1909" s="2968"/>
      <c r="J1909" s="2968" t="str">
        <f t="shared" si="59"/>
        <v>ON50B</v>
      </c>
      <c r="K1909" s="2969" t="str">
        <f t="shared" si="58"/>
        <v>ON50BỐng nối dây chịu sức căng cỡ 50mm2</v>
      </c>
    </row>
    <row r="1910" spans="1:11" hidden="1">
      <c r="A1910" s="3013" t="s">
        <v>571</v>
      </c>
      <c r="B1910" s="2986"/>
      <c r="C1910" s="2969" t="s">
        <v>2919</v>
      </c>
      <c r="D1910" s="2968" t="s">
        <v>2547</v>
      </c>
      <c r="E1910" s="2968"/>
      <c r="F1910" s="2968">
        <v>50</v>
      </c>
      <c r="G1910" s="2968" t="s">
        <v>510</v>
      </c>
      <c r="H1910" s="2968"/>
      <c r="I1910" s="2968"/>
      <c r="J1910" s="2968" t="str">
        <f t="shared" si="59"/>
        <v>ON120</v>
      </c>
      <c r="K1910" s="2969" t="str">
        <f t="shared" si="58"/>
        <v>ON120Ống nối dây cỡ 120mm2</v>
      </c>
    </row>
    <row r="1911" spans="1:11" hidden="1">
      <c r="A1911" s="3013" t="s">
        <v>933</v>
      </c>
      <c r="B1911" s="2986"/>
      <c r="C1911" s="2969" t="s">
        <v>2920</v>
      </c>
      <c r="D1911" s="2968" t="s">
        <v>2547</v>
      </c>
      <c r="E1911" s="2968"/>
      <c r="F1911" s="2968">
        <v>50</v>
      </c>
      <c r="G1911" s="2968" t="s">
        <v>510</v>
      </c>
      <c r="H1911" s="2968"/>
      <c r="I1911" s="2968"/>
      <c r="J1911" s="2968" t="str">
        <f t="shared" si="59"/>
        <v>ON150</v>
      </c>
      <c r="K1911" s="2969" t="str">
        <f t="shared" si="58"/>
        <v>ON150Ống nối dây cỡ 150mm2</v>
      </c>
    </row>
    <row r="1912" spans="1:11" hidden="1">
      <c r="A1912" s="3013" t="s">
        <v>570</v>
      </c>
      <c r="B1912" s="2986"/>
      <c r="C1912" s="2969" t="s">
        <v>2921</v>
      </c>
      <c r="D1912" s="2968" t="s">
        <v>2547</v>
      </c>
      <c r="E1912" s="2968"/>
      <c r="F1912" s="2968">
        <v>50</v>
      </c>
      <c r="G1912" s="2968" t="s">
        <v>510</v>
      </c>
      <c r="H1912" s="2968"/>
      <c r="I1912" s="2968"/>
      <c r="J1912" s="2968" t="str">
        <f t="shared" si="59"/>
        <v>ON185</v>
      </c>
      <c r="K1912" s="2969" t="str">
        <f t="shared" si="58"/>
        <v>ON185Ống nối dây cỡ 185mm2</v>
      </c>
    </row>
    <row r="1913" spans="1:11" hidden="1">
      <c r="A1913" s="3013" t="s">
        <v>569</v>
      </c>
      <c r="B1913" s="2986"/>
      <c r="C1913" s="2969" t="s">
        <v>2922</v>
      </c>
      <c r="D1913" s="2968" t="s">
        <v>2547</v>
      </c>
      <c r="E1913" s="2968"/>
      <c r="F1913" s="2968">
        <v>50</v>
      </c>
      <c r="G1913" s="2968" t="s">
        <v>510</v>
      </c>
      <c r="H1913" s="2968"/>
      <c r="I1913" s="2968"/>
      <c r="J1913" s="2968" t="str">
        <f t="shared" si="59"/>
        <v>ON240</v>
      </c>
      <c r="K1913" s="2969" t="str">
        <f t="shared" si="58"/>
        <v>ON240Ống nối dây cỡ 240mm2</v>
      </c>
    </row>
    <row r="1914" spans="1:11" hidden="1">
      <c r="A1914" s="3013" t="s">
        <v>572</v>
      </c>
      <c r="B1914" s="2986"/>
      <c r="C1914" s="2969" t="s">
        <v>2915</v>
      </c>
      <c r="D1914" s="2968" t="s">
        <v>2547</v>
      </c>
      <c r="E1914" s="2968"/>
      <c r="F1914" s="2968">
        <v>50</v>
      </c>
      <c r="G1914" s="2968" t="s">
        <v>510</v>
      </c>
      <c r="H1914" s="2968"/>
      <c r="I1914" s="2968"/>
      <c r="J1914" s="2968" t="str">
        <f t="shared" si="59"/>
        <v>ON35</v>
      </c>
      <c r="K1914" s="2969" t="str">
        <f t="shared" si="58"/>
        <v>ON35Ống nối dây cỡ 35mm2</v>
      </c>
    </row>
    <row r="1915" spans="1:11" hidden="1">
      <c r="A1915" s="3013" t="s">
        <v>1483</v>
      </c>
      <c r="B1915" s="2986"/>
      <c r="C1915" s="2969" t="s">
        <v>2916</v>
      </c>
      <c r="D1915" s="2968" t="s">
        <v>2547</v>
      </c>
      <c r="E1915" s="2968"/>
      <c r="F1915" s="2968">
        <v>50</v>
      </c>
      <c r="G1915" s="2968" t="s">
        <v>510</v>
      </c>
      <c r="H1915" s="2968"/>
      <c r="I1915" s="2968"/>
      <c r="J1915" s="2968" t="str">
        <f t="shared" si="59"/>
        <v>ON50</v>
      </c>
      <c r="K1915" s="2969" t="str">
        <f t="shared" si="58"/>
        <v>ON50Ống nối dây cỡ 50mm2</v>
      </c>
    </row>
    <row r="1916" spans="1:11" hidden="1">
      <c r="A1916" s="3013" t="s">
        <v>1484</v>
      </c>
      <c r="B1916" s="2986"/>
      <c r="C1916" s="2969" t="s">
        <v>2917</v>
      </c>
      <c r="D1916" s="2968" t="s">
        <v>2547</v>
      </c>
      <c r="E1916" s="2968"/>
      <c r="F1916" s="2968">
        <v>50</v>
      </c>
      <c r="G1916" s="2968" t="s">
        <v>510</v>
      </c>
      <c r="H1916" s="2968"/>
      <c r="I1916" s="2968"/>
      <c r="J1916" s="2968" t="str">
        <f t="shared" si="59"/>
        <v>ON70</v>
      </c>
      <c r="K1916" s="2969" t="str">
        <f t="shared" si="58"/>
        <v>ON70Ống nối dây cỡ 70mm2</v>
      </c>
    </row>
    <row r="1917" spans="1:11" hidden="1">
      <c r="A1917" s="2969" t="s">
        <v>430</v>
      </c>
      <c r="B1917" s="3004"/>
      <c r="C1917" s="2969" t="s">
        <v>2918</v>
      </c>
      <c r="D1917" s="2968" t="s">
        <v>2547</v>
      </c>
      <c r="E1917" s="2968"/>
      <c r="F1917" s="2968">
        <v>50</v>
      </c>
      <c r="G1917" s="2968" t="s">
        <v>510</v>
      </c>
      <c r="H1917" s="2968"/>
      <c r="I1917" s="2968"/>
      <c r="J1917" s="2968" t="str">
        <f t="shared" si="59"/>
        <v>ON95</v>
      </c>
      <c r="K1917" s="2969" t="str">
        <f t="shared" si="58"/>
        <v>ON95Ống nối dây cỡ 95mm2</v>
      </c>
    </row>
    <row r="1918" spans="1:11" hidden="1">
      <c r="A1918" s="2969" t="s">
        <v>7184</v>
      </c>
      <c r="B1918" s="3004"/>
      <c r="C1918" s="2969" t="s">
        <v>7185</v>
      </c>
      <c r="D1918" s="2968" t="s">
        <v>2547</v>
      </c>
      <c r="E1918" s="2968"/>
      <c r="F1918" s="2968">
        <v>50</v>
      </c>
      <c r="G1918" s="2968" t="s">
        <v>510</v>
      </c>
      <c r="H1918" s="2968"/>
      <c r="I1918" s="2968"/>
      <c r="J1918" s="2968" t="str">
        <f t="shared" si="59"/>
        <v>ONABC150</v>
      </c>
      <c r="K1918" s="2969" t="str">
        <f t="shared" si="58"/>
        <v>ONABC150Ống nối dây LV-ABC cỡ 150mm2</v>
      </c>
    </row>
    <row r="1919" spans="1:11" hidden="1">
      <c r="A1919" s="2969" t="s">
        <v>7186</v>
      </c>
      <c r="B1919" s="3004"/>
      <c r="C1919" s="2969" t="s">
        <v>7187</v>
      </c>
      <c r="D1919" s="2968" t="s">
        <v>2547</v>
      </c>
      <c r="E1919" s="2968"/>
      <c r="F1919" s="2968">
        <v>50</v>
      </c>
      <c r="G1919" s="2968" t="s">
        <v>510</v>
      </c>
      <c r="H1919" s="2968"/>
      <c r="I1919" s="2968"/>
      <c r="J1919" s="2968" t="str">
        <f t="shared" si="59"/>
        <v>ONABC70</v>
      </c>
      <c r="K1919" s="2969" t="str">
        <f t="shared" si="58"/>
        <v>ONABC70Ống nối dây LV-ABC cỡ 70mm2</v>
      </c>
    </row>
    <row r="1920" spans="1:11" hidden="1">
      <c r="A1920" s="2969" t="s">
        <v>7188</v>
      </c>
      <c r="B1920" s="3004"/>
      <c r="C1920" s="2969" t="s">
        <v>7189</v>
      </c>
      <c r="D1920" s="2968" t="s">
        <v>2547</v>
      </c>
      <c r="E1920" s="2968"/>
      <c r="F1920" s="2968">
        <v>50</v>
      </c>
      <c r="G1920" s="2968" t="s">
        <v>510</v>
      </c>
      <c r="H1920" s="2968"/>
      <c r="I1920" s="2968"/>
      <c r="J1920" s="2968" t="str">
        <f t="shared" si="59"/>
        <v>ONABC120</v>
      </c>
      <c r="K1920" s="2969" t="str">
        <f t="shared" si="58"/>
        <v>ONABC120Ống nối MJPB 120 (LV-ABC cỡ 120mm2)</v>
      </c>
    </row>
    <row r="1921" spans="1:11" hidden="1">
      <c r="A1921" s="2969" t="s">
        <v>5143</v>
      </c>
      <c r="B1921" s="3004"/>
      <c r="C1921" s="2969" t="s">
        <v>5144</v>
      </c>
      <c r="D1921" s="2968" t="s">
        <v>2547</v>
      </c>
      <c r="E1921" s="2968"/>
      <c r="F1921" s="2968">
        <v>50</v>
      </c>
      <c r="G1921" s="2968" t="s">
        <v>510</v>
      </c>
      <c r="H1921" s="2968"/>
      <c r="I1921" s="2968"/>
      <c r="J1921" s="2968" t="str">
        <f t="shared" si="59"/>
        <v>ONABC95</v>
      </c>
      <c r="K1921" s="2969" t="str">
        <f t="shared" si="58"/>
        <v>ONABC95Ống nối MJPB 95 (ABC)</v>
      </c>
    </row>
    <row r="1922" spans="1:11" hidden="1">
      <c r="A1922" s="2969" t="s">
        <v>1038</v>
      </c>
      <c r="B1922" s="3015"/>
      <c r="C1922" s="2969" t="s">
        <v>3516</v>
      </c>
      <c r="D1922" s="2968" t="s">
        <v>1818</v>
      </c>
      <c r="E1922" s="2968"/>
      <c r="F1922" s="2968">
        <v>50</v>
      </c>
      <c r="G1922" s="2968" t="s">
        <v>510</v>
      </c>
      <c r="H1922" s="2968"/>
      <c r="I1922" s="2968"/>
      <c r="J1922" s="2968" t="str">
        <f t="shared" si="59"/>
        <v>PVC114</v>
      </c>
      <c r="K1922" s="2969" t="str">
        <f t="shared" si="58"/>
        <v xml:space="preserve">PVC114Ống PVC D114x4,9mm </v>
      </c>
    </row>
    <row r="1923" spans="1:11" hidden="1">
      <c r="A1923" s="2969" t="s">
        <v>1514</v>
      </c>
      <c r="B1923" s="3015"/>
      <c r="C1923" s="2969" t="s">
        <v>3515</v>
      </c>
      <c r="D1923" s="2968" t="s">
        <v>1818</v>
      </c>
      <c r="E1923" s="2968"/>
      <c r="F1923" s="2968">
        <v>50</v>
      </c>
      <c r="G1923" s="2968" t="s">
        <v>510</v>
      </c>
      <c r="H1923" s="2968"/>
      <c r="I1923" s="2968"/>
      <c r="J1923" s="2968" t="str">
        <f t="shared" si="59"/>
        <v>PVC140</v>
      </c>
      <c r="K1923" s="2969" t="str">
        <f t="shared" ref="K1923:K1986" si="60">A1923&amp;C1923</f>
        <v>PVC140Ống PVC D140x6,7mm</v>
      </c>
    </row>
    <row r="1924" spans="1:11" hidden="1">
      <c r="A1924" s="2969" t="s">
        <v>1673</v>
      </c>
      <c r="B1924" s="3015"/>
      <c r="C1924" s="2969" t="s">
        <v>3514</v>
      </c>
      <c r="D1924" s="2968" t="s">
        <v>1818</v>
      </c>
      <c r="E1924" s="2968"/>
      <c r="F1924" s="2968">
        <v>50</v>
      </c>
      <c r="G1924" s="2968" t="s">
        <v>510</v>
      </c>
      <c r="H1924" s="2968"/>
      <c r="I1924" s="2968"/>
      <c r="J1924" s="2968" t="str">
        <f t="shared" ref="J1924:J1987" si="61">A1924</f>
        <v>PVC168</v>
      </c>
      <c r="K1924" s="2969" t="str">
        <f t="shared" si="60"/>
        <v>PVC168Ống PVC D168 dày 7,0mm</v>
      </c>
    </row>
    <row r="1925" spans="1:11" hidden="1">
      <c r="A1925" s="2969" t="s">
        <v>1697</v>
      </c>
      <c r="B1925" s="3015"/>
      <c r="C1925" s="2969" t="s">
        <v>3513</v>
      </c>
      <c r="D1925" s="2968" t="s">
        <v>1818</v>
      </c>
      <c r="E1925" s="2968"/>
      <c r="F1925" s="2968">
        <v>50</v>
      </c>
      <c r="G1925" s="2968" t="s">
        <v>510</v>
      </c>
      <c r="H1925" s="2968"/>
      <c r="I1925" s="2968"/>
      <c r="J1925" s="2968" t="str">
        <f t="shared" si="61"/>
        <v>PVC200</v>
      </c>
      <c r="K1925" s="2969" t="str">
        <f t="shared" si="60"/>
        <v>PVC200Ống PVC D200 dày 9,6mm</v>
      </c>
    </row>
    <row r="1926" spans="1:11" hidden="1">
      <c r="A1926" s="2969" t="s">
        <v>574</v>
      </c>
      <c r="B1926" s="3015" t="s">
        <v>1771</v>
      </c>
      <c r="C1926" s="2969" t="s">
        <v>3521</v>
      </c>
      <c r="D1926" s="2968" t="s">
        <v>1818</v>
      </c>
      <c r="E1926" s="2968"/>
      <c r="F1926" s="2968">
        <v>50</v>
      </c>
      <c r="G1926" s="2968" t="s">
        <v>510</v>
      </c>
      <c r="H1926" s="2968"/>
      <c r="I1926" s="2968"/>
      <c r="J1926" s="2968" t="str">
        <f t="shared" si="61"/>
        <v>PVC21</v>
      </c>
      <c r="K1926" s="2969" t="str">
        <f t="shared" si="60"/>
        <v xml:space="preserve">PVC21Ống PVC D21x1,6mm </v>
      </c>
    </row>
    <row r="1927" spans="1:11" hidden="1">
      <c r="A1927" s="2969" t="s">
        <v>5701</v>
      </c>
      <c r="B1927" s="3004"/>
      <c r="C1927" s="2969" t="s">
        <v>5702</v>
      </c>
      <c r="D1927" s="2968" t="s">
        <v>1818</v>
      </c>
      <c r="E1927" s="2968"/>
      <c r="F1927" s="2968">
        <v>50</v>
      </c>
      <c r="G1927" s="2968" t="s">
        <v>510</v>
      </c>
      <c r="H1927" s="2968"/>
      <c r="I1927" s="2968"/>
      <c r="J1927" s="2968" t="str">
        <f t="shared" si="61"/>
        <v>PVC34</v>
      </c>
      <c r="K1927" s="2969" t="str">
        <f t="shared" si="60"/>
        <v xml:space="preserve">PVC34Ống PVC D34 </v>
      </c>
    </row>
    <row r="1928" spans="1:11" hidden="1">
      <c r="A1928" s="2969" t="s">
        <v>2136</v>
      </c>
      <c r="B1928" s="3015" t="s">
        <v>1771</v>
      </c>
      <c r="C1928" s="2969" t="s">
        <v>3520</v>
      </c>
      <c r="D1928" s="2968" t="s">
        <v>1818</v>
      </c>
      <c r="E1928" s="2968"/>
      <c r="F1928" s="2968">
        <v>50</v>
      </c>
      <c r="G1928" s="2968" t="s">
        <v>510</v>
      </c>
      <c r="H1928" s="2968"/>
      <c r="I1928" s="2968"/>
      <c r="J1928" s="2968" t="str">
        <f t="shared" si="61"/>
        <v>PVC42</v>
      </c>
      <c r="K1928" s="2969" t="str">
        <f t="shared" si="60"/>
        <v>PVC42Ống PVC D42x2,1mm</v>
      </c>
    </row>
    <row r="1929" spans="1:11" hidden="1">
      <c r="A1929" s="2969" t="s">
        <v>892</v>
      </c>
      <c r="B1929" s="3015" t="s">
        <v>1771</v>
      </c>
      <c r="C1929" s="2969" t="s">
        <v>3519</v>
      </c>
      <c r="D1929" s="2968" t="s">
        <v>1818</v>
      </c>
      <c r="E1929" s="2968"/>
      <c r="F1929" s="2968">
        <v>50</v>
      </c>
      <c r="G1929" s="2968" t="s">
        <v>510</v>
      </c>
      <c r="H1929" s="2968"/>
      <c r="I1929" s="2968"/>
      <c r="J1929" s="2968" t="str">
        <f t="shared" si="61"/>
        <v>PVC49</v>
      </c>
      <c r="K1929" s="2969" t="str">
        <f t="shared" si="60"/>
        <v>PVC49Ống PVC D49x2,4mm</v>
      </c>
    </row>
    <row r="1930" spans="1:11" hidden="1">
      <c r="A1930" s="2969" t="s">
        <v>2004</v>
      </c>
      <c r="B1930" s="3015" t="s">
        <v>1772</v>
      </c>
      <c r="C1930" s="2969" t="s">
        <v>3518</v>
      </c>
      <c r="D1930" s="2968" t="s">
        <v>1818</v>
      </c>
      <c r="E1930" s="2968"/>
      <c r="F1930" s="2968">
        <v>50</v>
      </c>
      <c r="G1930" s="2968" t="s">
        <v>510</v>
      </c>
      <c r="H1930" s="2968"/>
      <c r="I1930" s="2968"/>
      <c r="J1930" s="2968" t="str">
        <f t="shared" si="61"/>
        <v>PVC60</v>
      </c>
      <c r="K1930" s="2969" t="str">
        <f t="shared" si="60"/>
        <v>PVC60Ống PVC D60x2,8mm</v>
      </c>
    </row>
    <row r="1931" spans="1:11" hidden="1">
      <c r="A1931" s="2969" t="s">
        <v>281</v>
      </c>
      <c r="B1931" s="3015" t="s">
        <v>1746</v>
      </c>
      <c r="C1931" s="2969" t="s">
        <v>3517</v>
      </c>
      <c r="D1931" s="2968" t="s">
        <v>1818</v>
      </c>
      <c r="E1931" s="2968"/>
      <c r="F1931" s="2968">
        <v>50</v>
      </c>
      <c r="G1931" s="2968" t="s">
        <v>510</v>
      </c>
      <c r="H1931" s="2968"/>
      <c r="I1931" s="2968"/>
      <c r="J1931" s="2968" t="str">
        <f t="shared" si="61"/>
        <v>PVC90</v>
      </c>
      <c r="K1931" s="2969" t="str">
        <f t="shared" si="60"/>
        <v xml:space="preserve">PVC90Ống PVC D90x3,8mm </v>
      </c>
    </row>
    <row r="1932" spans="1:11" hidden="1">
      <c r="A1932" s="2969" t="s">
        <v>7190</v>
      </c>
      <c r="B1932" s="3004"/>
      <c r="C1932" s="2969" t="s">
        <v>7191</v>
      </c>
      <c r="D1932" s="2968" t="s">
        <v>2526</v>
      </c>
      <c r="E1932" s="2968"/>
      <c r="F1932" s="2968">
        <v>50</v>
      </c>
      <c r="G1932" s="2968" t="s">
        <v>510</v>
      </c>
      <c r="H1932" s="2968"/>
      <c r="I1932" s="2968"/>
      <c r="J1932" s="2968" t="str">
        <f t="shared" si="61"/>
        <v>HDPE130</v>
      </c>
      <c r="K1932" s="2969" t="str">
        <f t="shared" si="60"/>
        <v>HDPE130Ống ruột gà HDPE màu cam D130/100</v>
      </c>
    </row>
    <row r="1933" spans="1:11" hidden="1">
      <c r="A1933" s="2969" t="s">
        <v>7192</v>
      </c>
      <c r="B1933" s="3004"/>
      <c r="C1933" s="2969" t="s">
        <v>7193</v>
      </c>
      <c r="D1933" s="2968" t="s">
        <v>2526</v>
      </c>
      <c r="E1933" s="2968"/>
      <c r="F1933" s="2968">
        <v>50</v>
      </c>
      <c r="G1933" s="2968" t="s">
        <v>510</v>
      </c>
      <c r="H1933" s="2968"/>
      <c r="I1933" s="2968"/>
      <c r="J1933" s="2968" t="str">
        <f t="shared" si="61"/>
        <v>HDPE160</v>
      </c>
      <c r="K1933" s="2969" t="str">
        <f t="shared" si="60"/>
        <v>HDPE160Ống ruột gà HDPE màu cam D160/125</v>
      </c>
    </row>
    <row r="1934" spans="1:11" hidden="1">
      <c r="A1934" s="2969" t="s">
        <v>2212</v>
      </c>
      <c r="B1934" s="2986" t="s">
        <v>1900</v>
      </c>
      <c r="C1934" s="2969" t="s">
        <v>7194</v>
      </c>
      <c r="D1934" s="2968" t="s">
        <v>2526</v>
      </c>
      <c r="E1934" s="2968"/>
      <c r="F1934" s="2968">
        <v>50</v>
      </c>
      <c r="G1934" s="2968" t="s">
        <v>510</v>
      </c>
      <c r="H1934" s="2968"/>
      <c r="I1934" s="2968"/>
      <c r="J1934" s="2968" t="str">
        <f t="shared" si="61"/>
        <v>stk114</v>
      </c>
      <c r="K1934" s="2969" t="str">
        <f t="shared" si="60"/>
        <v>stk114Ống sắt tráng kẽm D114</v>
      </c>
    </row>
    <row r="1935" spans="1:11" hidden="1">
      <c r="A1935" s="2969" t="s">
        <v>7195</v>
      </c>
      <c r="B1935" s="3004"/>
      <c r="C1935" s="2969" t="s">
        <v>7196</v>
      </c>
      <c r="D1935" s="2968" t="s">
        <v>6490</v>
      </c>
      <c r="E1935" s="2968"/>
      <c r="F1935" s="2968">
        <v>50</v>
      </c>
      <c r="G1935" s="2968" t="s">
        <v>510</v>
      </c>
      <c r="H1935" s="2968"/>
      <c r="I1935" s="2968"/>
      <c r="J1935" s="2968" t="str">
        <f t="shared" si="61"/>
        <v>OSD114</v>
      </c>
      <c r="K1935" s="2969" t="str">
        <f t="shared" si="60"/>
        <v>OSD114Ống sắt tráng kẽm D114, dày 3mm</v>
      </c>
    </row>
    <row r="1936" spans="1:11" hidden="1">
      <c r="A1936" s="2969" t="s">
        <v>620</v>
      </c>
      <c r="B1936" s="2986" t="s">
        <v>1900</v>
      </c>
      <c r="C1936" s="2969" t="s">
        <v>7197</v>
      </c>
      <c r="D1936" s="2968" t="s">
        <v>2526</v>
      </c>
      <c r="E1936" s="2968"/>
      <c r="F1936" s="2968">
        <v>50</v>
      </c>
      <c r="G1936" s="2968" t="s">
        <v>510</v>
      </c>
      <c r="H1936" s="2968"/>
      <c r="I1936" s="2968"/>
      <c r="J1936" s="2968" t="str">
        <f t="shared" si="61"/>
        <v>stk140</v>
      </c>
      <c r="K1936" s="2969" t="str">
        <f t="shared" si="60"/>
        <v>stk140Ống sắt tráng kẽm D140</v>
      </c>
    </row>
    <row r="1937" spans="1:11" hidden="1">
      <c r="A1937" s="2969" t="s">
        <v>910</v>
      </c>
      <c r="B1937" s="2986" t="s">
        <v>1900</v>
      </c>
      <c r="C1937" s="2969" t="s">
        <v>7198</v>
      </c>
      <c r="D1937" s="2968" t="s">
        <v>2526</v>
      </c>
      <c r="E1937" s="2968"/>
      <c r="F1937" s="2968">
        <v>50</v>
      </c>
      <c r="G1937" s="2968" t="s">
        <v>510</v>
      </c>
      <c r="H1937" s="2968"/>
      <c r="I1937" s="2968"/>
      <c r="J1937" s="2968" t="str">
        <f t="shared" si="61"/>
        <v>stk160</v>
      </c>
      <c r="K1937" s="2969" t="str">
        <f t="shared" si="60"/>
        <v>stk160Ống sắt tráng kẽm D160</v>
      </c>
    </row>
    <row r="1938" spans="1:11" hidden="1">
      <c r="A1938" s="2969" t="s">
        <v>38</v>
      </c>
      <c r="B1938" s="2986" t="s">
        <v>1900</v>
      </c>
      <c r="C1938" s="2969" t="s">
        <v>7199</v>
      </c>
      <c r="D1938" s="2968" t="s">
        <v>2526</v>
      </c>
      <c r="E1938" s="2968"/>
      <c r="F1938" s="2968">
        <v>50</v>
      </c>
      <c r="G1938" s="2968" t="s">
        <v>510</v>
      </c>
      <c r="H1938" s="2968"/>
      <c r="I1938" s="2968"/>
      <c r="J1938" s="2968" t="str">
        <f t="shared" si="61"/>
        <v>stk168</v>
      </c>
      <c r="K1938" s="2969" t="str">
        <f t="shared" si="60"/>
        <v>stk168Ống sắt tráng kẽm D168</v>
      </c>
    </row>
    <row r="1939" spans="1:11" hidden="1">
      <c r="A1939" s="2969" t="s">
        <v>7200</v>
      </c>
      <c r="B1939" s="3004"/>
      <c r="C1939" s="2969" t="s">
        <v>7201</v>
      </c>
      <c r="D1939" s="2968" t="s">
        <v>6490</v>
      </c>
      <c r="E1939" s="2968"/>
      <c r="F1939" s="2968">
        <v>50</v>
      </c>
      <c r="G1939" s="2968" t="s">
        <v>510</v>
      </c>
      <c r="H1939" s="2968"/>
      <c r="I1939" s="2968"/>
      <c r="J1939" s="2968" t="str">
        <f t="shared" si="61"/>
        <v>OSD168</v>
      </c>
      <c r="K1939" s="2969" t="str">
        <f t="shared" si="60"/>
        <v>OSD168Ống sắt tráng kẽm D168, dày 4mm</v>
      </c>
    </row>
    <row r="1940" spans="1:11" hidden="1">
      <c r="A1940" s="2969" t="s">
        <v>5217</v>
      </c>
      <c r="B1940" s="3004" t="s">
        <v>5218</v>
      </c>
      <c r="C1940" s="2969" t="s">
        <v>5219</v>
      </c>
      <c r="D1940" s="2968" t="s">
        <v>2526</v>
      </c>
      <c r="E1940" s="2968"/>
      <c r="F1940" s="2968">
        <v>50</v>
      </c>
      <c r="G1940" s="2968" t="s">
        <v>510</v>
      </c>
      <c r="H1940" s="2968"/>
      <c r="I1940" s="2968"/>
      <c r="J1940" s="2968" t="str">
        <f t="shared" si="61"/>
        <v>stk21</v>
      </c>
      <c r="K1940" s="2969" t="str">
        <f t="shared" si="60"/>
        <v>stk21Ông sắt tráng kẽm D21</v>
      </c>
    </row>
    <row r="1941" spans="1:11" hidden="1">
      <c r="A1941" s="2969" t="s">
        <v>72</v>
      </c>
      <c r="B1941" s="2986"/>
      <c r="C1941" s="2969" t="s">
        <v>7202</v>
      </c>
      <c r="D1941" s="2968" t="s">
        <v>2526</v>
      </c>
      <c r="E1941" s="2968"/>
      <c r="F1941" s="2968">
        <v>50</v>
      </c>
      <c r="G1941" s="2968" t="s">
        <v>510</v>
      </c>
      <c r="H1941" s="2968"/>
      <c r="I1941" s="2968"/>
      <c r="J1941" s="2968" t="str">
        <f t="shared" si="61"/>
        <v>stk42</v>
      </c>
      <c r="K1941" s="2969" t="str">
        <f t="shared" si="60"/>
        <v>stk42Ống sắt tráng kẽm D42</v>
      </c>
    </row>
    <row r="1942" spans="1:11" hidden="1">
      <c r="A1942" s="2969" t="s">
        <v>73</v>
      </c>
      <c r="B1942" s="2986"/>
      <c r="C1942" s="2969" t="s">
        <v>7203</v>
      </c>
      <c r="D1942" s="2968" t="s">
        <v>2526</v>
      </c>
      <c r="E1942" s="2968"/>
      <c r="F1942" s="2968">
        <v>50</v>
      </c>
      <c r="G1942" s="2968" t="s">
        <v>510</v>
      </c>
      <c r="H1942" s="2968"/>
      <c r="I1942" s="2968"/>
      <c r="J1942" s="2968" t="str">
        <f t="shared" si="61"/>
        <v>stk60</v>
      </c>
      <c r="K1942" s="2969" t="str">
        <f t="shared" si="60"/>
        <v>stk60Ống sắt tráng kẽm D60</v>
      </c>
    </row>
    <row r="1943" spans="1:11" hidden="1">
      <c r="A1943" s="2969" t="s">
        <v>5220</v>
      </c>
      <c r="B1943" s="3004" t="s">
        <v>5221</v>
      </c>
      <c r="C1943" s="2969" t="s">
        <v>5222</v>
      </c>
      <c r="D1943" s="2968" t="s">
        <v>2526</v>
      </c>
      <c r="E1943" s="2968"/>
      <c r="F1943" s="2968">
        <v>50</v>
      </c>
      <c r="G1943" s="2968" t="s">
        <v>510</v>
      </c>
      <c r="H1943" s="2968"/>
      <c r="I1943" s="2968"/>
      <c r="J1943" s="2968" t="str">
        <f t="shared" si="61"/>
        <v>stk76</v>
      </c>
      <c r="K1943" s="2969" t="str">
        <f t="shared" si="60"/>
        <v>stk76Ông sắt tráng kẽm D76</v>
      </c>
    </row>
    <row r="1944" spans="1:11" hidden="1">
      <c r="A1944" s="2969" t="s">
        <v>1013</v>
      </c>
      <c r="B1944" s="2986" t="s">
        <v>1900</v>
      </c>
      <c r="C1944" s="2969" t="s">
        <v>7204</v>
      </c>
      <c r="D1944" s="2968" t="s">
        <v>2526</v>
      </c>
      <c r="E1944" s="2968"/>
      <c r="F1944" s="2968">
        <v>50</v>
      </c>
      <c r="G1944" s="2968" t="s">
        <v>510</v>
      </c>
      <c r="H1944" s="2968"/>
      <c r="I1944" s="2968"/>
      <c r="J1944" s="2968" t="str">
        <f t="shared" si="61"/>
        <v>stk90</v>
      </c>
      <c r="K1944" s="2969" t="str">
        <f t="shared" si="60"/>
        <v>stk90Ống sắt tráng kẽm D90</v>
      </c>
    </row>
    <row r="1945" spans="1:11" hidden="1">
      <c r="A1945" s="2969" t="s">
        <v>7205</v>
      </c>
      <c r="B1945" s="3004" t="s">
        <v>7130</v>
      </c>
      <c r="C1945" s="2969" t="s">
        <v>7206</v>
      </c>
      <c r="D1945" s="2968" t="s">
        <v>853</v>
      </c>
      <c r="E1945" s="2968"/>
      <c r="F1945" s="2968">
        <v>3000</v>
      </c>
      <c r="G1945" s="2968" t="s">
        <v>510</v>
      </c>
      <c r="H1945" s="2968"/>
      <c r="I1945" s="2968"/>
      <c r="J1945" s="2968" t="str">
        <f t="shared" si="61"/>
        <v>PHABT</v>
      </c>
      <c r="K1945" s="2969" t="str">
        <f t="shared" si="60"/>
        <v>PHABTPhá bê tông nền đường</v>
      </c>
    </row>
    <row r="1946" spans="1:11" hidden="1">
      <c r="A1946" s="3013" t="s">
        <v>953</v>
      </c>
      <c r="B1946" s="2986" t="s">
        <v>452</v>
      </c>
      <c r="C1946" s="2969" t="s">
        <v>3030</v>
      </c>
      <c r="D1946" s="2968" t="s">
        <v>853</v>
      </c>
      <c r="E1946" s="2968"/>
      <c r="F1946" s="2968">
        <v>3000</v>
      </c>
      <c r="G1946" s="2968" t="s">
        <v>510</v>
      </c>
      <c r="H1946" s="2968"/>
      <c r="I1946" s="2968"/>
      <c r="J1946" s="2968" t="str">
        <f t="shared" si="61"/>
        <v>MDDA1</v>
      </c>
      <c r="K1946" s="2969" t="str">
        <f t="shared" si="60"/>
        <v>MDDA1Phá đá chân hố móng, đá cấp I</v>
      </c>
    </row>
    <row r="1947" spans="1:11" hidden="1">
      <c r="A1947" s="3013" t="s">
        <v>451</v>
      </c>
      <c r="B1947" s="2986" t="s">
        <v>452</v>
      </c>
      <c r="C1947" s="2969" t="s">
        <v>3031</v>
      </c>
      <c r="D1947" s="2968" t="s">
        <v>853</v>
      </c>
      <c r="E1947" s="2968"/>
      <c r="F1947" s="2968">
        <v>3000</v>
      </c>
      <c r="G1947" s="2968" t="s">
        <v>510</v>
      </c>
      <c r="H1947" s="2968"/>
      <c r="I1947" s="2968"/>
      <c r="J1947" s="2968" t="str">
        <f t="shared" si="61"/>
        <v>MDDA2</v>
      </c>
      <c r="K1947" s="2969" t="str">
        <f t="shared" si="60"/>
        <v>MDDA2Phá đá chân hố móng, đá cấp II</v>
      </c>
    </row>
    <row r="1948" spans="1:11" hidden="1">
      <c r="A1948" s="2969" t="s">
        <v>7207</v>
      </c>
      <c r="B1948" s="3004" t="s">
        <v>5230</v>
      </c>
      <c r="C1948" s="2969" t="s">
        <v>7208</v>
      </c>
      <c r="D1948" s="2968" t="s">
        <v>853</v>
      </c>
      <c r="E1948" s="2968"/>
      <c r="F1948" s="2968">
        <v>3000</v>
      </c>
      <c r="G1948" s="2968" t="s">
        <v>510</v>
      </c>
      <c r="H1948" s="2968"/>
      <c r="I1948" s="2968"/>
      <c r="J1948" s="2968" t="str">
        <f t="shared" si="61"/>
        <v>MDDA3M</v>
      </c>
      <c r="K1948" s="2969" t="str">
        <f t="shared" si="60"/>
        <v>MDDA3MPhá đá chân hố móng, đá cấp III (bằng búa căn)</v>
      </c>
    </row>
    <row r="1949" spans="1:11" hidden="1">
      <c r="A1949" s="2969" t="s">
        <v>1212</v>
      </c>
      <c r="B1949" s="2986" t="s">
        <v>844</v>
      </c>
      <c r="C1949" s="3012" t="s">
        <v>3283</v>
      </c>
      <c r="D1949" s="2968" t="s">
        <v>1955</v>
      </c>
      <c r="E1949" s="2968"/>
      <c r="F1949" s="2968">
        <v>3000</v>
      </c>
      <c r="G1949" s="2968" t="s">
        <v>510</v>
      </c>
      <c r="H1949" s="2968"/>
      <c r="I1949" s="2968"/>
      <c r="J1949" s="2968" t="str">
        <f t="shared" si="61"/>
        <v>PHABETONG</v>
      </c>
      <c r="K1949" s="2969" t="str">
        <f t="shared" si="60"/>
        <v>PHABETONGPhá đường nhựa bằng thủ công</v>
      </c>
    </row>
    <row r="1950" spans="1:11" hidden="1">
      <c r="A1950" s="2969" t="s">
        <v>1040</v>
      </c>
      <c r="B1950" s="3004"/>
      <c r="C1950" s="2969" t="s">
        <v>2565</v>
      </c>
      <c r="D1950" s="2968"/>
      <c r="E1950" s="2968"/>
      <c r="F1950" s="2968">
        <v>2000</v>
      </c>
      <c r="G1950" s="2968" t="s">
        <v>510</v>
      </c>
      <c r="H1950" s="2968"/>
      <c r="I1950" s="2968"/>
      <c r="J1950" s="2968" t="str">
        <f t="shared" si="61"/>
        <v>BBVS</v>
      </c>
      <c r="K1950" s="2969" t="str">
        <f t="shared" si="60"/>
        <v>BBVSPhần biển báo vượt sông</v>
      </c>
    </row>
    <row r="1951" spans="1:11" hidden="1">
      <c r="A1951" s="2969" t="s">
        <v>1494</v>
      </c>
      <c r="B1951" s="3004"/>
      <c r="C1951" s="2969" t="s">
        <v>2558</v>
      </c>
      <c r="D1951" s="2968"/>
      <c r="E1951" s="2968"/>
      <c r="F1951" s="2968">
        <v>2000</v>
      </c>
      <c r="G1951" s="2968" t="s">
        <v>510</v>
      </c>
      <c r="H1951" s="2968"/>
      <c r="I1951" s="2968"/>
      <c r="J1951" s="2968" t="str">
        <f t="shared" si="61"/>
        <v>Hotline</v>
      </c>
      <c r="K1951" s="2969" t="str">
        <f t="shared" si="60"/>
        <v>HotlinePhần đấu nối HOTLINE</v>
      </c>
    </row>
    <row r="1952" spans="1:11" hidden="1">
      <c r="A1952" s="2969" t="s">
        <v>7209</v>
      </c>
      <c r="B1952" s="3004" t="s">
        <v>1501</v>
      </c>
      <c r="C1952" s="2969" t="s">
        <v>7210</v>
      </c>
      <c r="D1952" s="2968" t="s">
        <v>2295</v>
      </c>
      <c r="E1952" s="2968"/>
      <c r="F1952" s="2968">
        <v>2000</v>
      </c>
      <c r="G1952" s="2968" t="s">
        <v>510</v>
      </c>
      <c r="H1952" s="2968"/>
      <c r="I1952" s="2968"/>
      <c r="J1952" s="2968" t="str">
        <f t="shared" si="61"/>
        <v>DDHTN</v>
      </c>
      <c r="K1952" s="2969" t="str">
        <f t="shared" si="60"/>
        <v>DDHTNPhần đường dây hạ thế ngầm</v>
      </c>
    </row>
    <row r="1953" spans="1:11" hidden="1">
      <c r="A1953" s="2969" t="s">
        <v>7211</v>
      </c>
      <c r="B1953" s="3004" t="s">
        <v>6912</v>
      </c>
      <c r="C1953" s="2969" t="s">
        <v>7212</v>
      </c>
      <c r="D1953" s="2968" t="s">
        <v>2295</v>
      </c>
      <c r="E1953" s="2968"/>
      <c r="F1953" s="2968">
        <v>2000</v>
      </c>
      <c r="G1953" s="2968" t="s">
        <v>510</v>
      </c>
      <c r="H1953" s="2968"/>
      <c r="I1953" s="2968"/>
      <c r="J1953" s="2968" t="str">
        <f t="shared" si="61"/>
        <v>DDHT</v>
      </c>
      <c r="K1953" s="2969" t="str">
        <f t="shared" si="60"/>
        <v>DDHTPhần đường dây hạ thế nổi</v>
      </c>
    </row>
    <row r="1954" spans="1:11" hidden="1">
      <c r="A1954" s="2969" t="s">
        <v>7213</v>
      </c>
      <c r="B1954" s="3004"/>
      <c r="C1954" s="2969" t="s">
        <v>7214</v>
      </c>
      <c r="D1954" s="2968" t="s">
        <v>2295</v>
      </c>
      <c r="E1954" s="2968"/>
      <c r="F1954" s="2968">
        <v>2000</v>
      </c>
      <c r="G1954" s="2968" t="s">
        <v>510</v>
      </c>
      <c r="H1954" s="2968"/>
      <c r="I1954" s="2968"/>
      <c r="J1954" s="2968" t="str">
        <f t="shared" si="61"/>
        <v>DDTTN</v>
      </c>
      <c r="K1954" s="2969" t="str">
        <f t="shared" si="60"/>
        <v>DDTTNPhần đường dây trung thế ngầm</v>
      </c>
    </row>
    <row r="1955" spans="1:11" hidden="1">
      <c r="A1955" s="2969" t="s">
        <v>7215</v>
      </c>
      <c r="B1955" s="3004"/>
      <c r="C1955" s="2969" t="s">
        <v>7216</v>
      </c>
      <c r="D1955" s="2968" t="s">
        <v>2295</v>
      </c>
      <c r="E1955" s="2968"/>
      <c r="F1955" s="2968">
        <v>2000</v>
      </c>
      <c r="G1955" s="2968" t="s">
        <v>510</v>
      </c>
      <c r="H1955" s="2968"/>
      <c r="I1955" s="2968"/>
      <c r="J1955" s="2968" t="str">
        <f t="shared" si="61"/>
        <v>DDTT3P</v>
      </c>
      <c r="K1955" s="2969" t="str">
        <f t="shared" si="60"/>
        <v>DDTT3PPhần đường dây trung thế nổi</v>
      </c>
    </row>
    <row r="1956" spans="1:11" hidden="1">
      <c r="A1956" s="2969" t="s">
        <v>31</v>
      </c>
      <c r="B1956" s="3004"/>
      <c r="C1956" s="2969" t="s">
        <v>2556</v>
      </c>
      <c r="D1956" s="2968" t="s">
        <v>2295</v>
      </c>
      <c r="E1956" s="2968"/>
      <c r="F1956" s="2968">
        <v>2000</v>
      </c>
      <c r="G1956" s="2968" t="s">
        <v>510</v>
      </c>
      <c r="H1956" s="2968"/>
      <c r="I1956" s="2968"/>
      <c r="J1956" s="2968" t="str">
        <f t="shared" si="61"/>
        <v>DDHTHH</v>
      </c>
      <c r="K1956" s="2969" t="str">
        <f t="shared" si="60"/>
        <v>DDHTHHPhần hạ thế cải tạo</v>
      </c>
    </row>
    <row r="1957" spans="1:11" hidden="1">
      <c r="A1957" s="2969" t="s">
        <v>161</v>
      </c>
      <c r="B1957" s="3004"/>
      <c r="C1957" s="2969" t="s">
        <v>2557</v>
      </c>
      <c r="D1957" s="2968" t="s">
        <v>2295</v>
      </c>
      <c r="E1957" s="2968"/>
      <c r="F1957" s="2968">
        <v>2000</v>
      </c>
      <c r="G1957" s="2968" t="s">
        <v>510</v>
      </c>
      <c r="H1957" s="2968"/>
      <c r="I1957" s="2968"/>
      <c r="J1957" s="2968" t="str">
        <f t="shared" si="61"/>
        <v>HTCS</v>
      </c>
      <c r="K1957" s="2969" t="str">
        <f t="shared" si="60"/>
        <v>HTCSPhần hạ thế chiếu sáng</v>
      </c>
    </row>
    <row r="1958" spans="1:11" hidden="1">
      <c r="A1958" s="2969" t="s">
        <v>283</v>
      </c>
      <c r="B1958" s="3004"/>
      <c r="C1958" s="2969" t="s">
        <v>2551</v>
      </c>
      <c r="D1958" s="2968" t="s">
        <v>2295</v>
      </c>
      <c r="E1958" s="2968"/>
      <c r="F1958" s="2968">
        <v>2000</v>
      </c>
      <c r="G1958" s="2968" t="s">
        <v>510</v>
      </c>
      <c r="H1958" s="2968"/>
      <c r="I1958" s="2968"/>
      <c r="J1958" s="2968" t="str">
        <f t="shared" si="61"/>
        <v>DDHTDL</v>
      </c>
      <c r="K1958" s="2969" t="str">
        <f t="shared" si="60"/>
        <v>DDHTDLPhần hạ thế độc lập xây dựng mới</v>
      </c>
    </row>
    <row r="1959" spans="1:11" hidden="1">
      <c r="A1959" s="2969" t="s">
        <v>1135</v>
      </c>
      <c r="B1959" s="3004"/>
      <c r="C1959" s="2969" t="s">
        <v>2561</v>
      </c>
      <c r="D1959" s="2968"/>
      <c r="E1959" s="2968"/>
      <c r="F1959" s="2968">
        <v>2000</v>
      </c>
      <c r="G1959" s="2968" t="s">
        <v>510</v>
      </c>
      <c r="H1959" s="2968"/>
      <c r="I1959" s="2968"/>
      <c r="J1959" s="2968" t="str">
        <f t="shared" si="61"/>
        <v>TBDD3p1m</v>
      </c>
      <c r="K1959" s="2969" t="str">
        <f t="shared" si="60"/>
        <v>TBDD3p1mPhần thiết bị đường dây 3 pha 1 mạch</v>
      </c>
    </row>
    <row r="1960" spans="1:11" hidden="1">
      <c r="A1960" s="2969" t="s">
        <v>587</v>
      </c>
      <c r="B1960" s="3004"/>
      <c r="C1960" s="2969" t="s">
        <v>2559</v>
      </c>
      <c r="D1960" s="2968"/>
      <c r="E1960" s="2968"/>
      <c r="F1960" s="2968">
        <v>2000</v>
      </c>
      <c r="G1960" s="2968" t="s">
        <v>510</v>
      </c>
      <c r="H1960" s="2968"/>
      <c r="I1960" s="2968"/>
      <c r="J1960" s="2968" t="str">
        <f t="shared" si="61"/>
        <v>TBDD3pct</v>
      </c>
      <c r="K1960" s="2969" t="str">
        <f t="shared" si="60"/>
        <v>TBDD3pctPhần thiết bị đường dây 3 pha cải tạo</v>
      </c>
    </row>
    <row r="1961" spans="1:11" hidden="1">
      <c r="A1961" s="2969" t="s">
        <v>1917</v>
      </c>
      <c r="B1961" s="3004"/>
      <c r="C1961" s="2969" t="s">
        <v>2560</v>
      </c>
      <c r="D1961" s="2968"/>
      <c r="E1961" s="2968"/>
      <c r="F1961" s="2968">
        <v>2000</v>
      </c>
      <c r="G1961" s="2968" t="s">
        <v>510</v>
      </c>
      <c r="H1961" s="2968"/>
      <c r="I1961" s="2968"/>
      <c r="J1961" s="2968" t="str">
        <f t="shared" si="61"/>
        <v>TBDD3p2m</v>
      </c>
      <c r="K1961" s="2969" t="str">
        <f t="shared" si="60"/>
        <v>TBDD3p2mPhần thiết bị đường dây 3 pha XDM 2 mạch</v>
      </c>
    </row>
    <row r="1962" spans="1:11" hidden="1">
      <c r="A1962" s="2969" t="s">
        <v>943</v>
      </c>
      <c r="B1962" s="3004"/>
      <c r="C1962" s="2969" t="s">
        <v>2564</v>
      </c>
      <c r="D1962" s="2968"/>
      <c r="E1962" s="2968"/>
      <c r="F1962" s="2968">
        <v>2000</v>
      </c>
      <c r="G1962" s="2968" t="s">
        <v>510</v>
      </c>
      <c r="H1962" s="2968"/>
      <c r="I1962" s="2968"/>
      <c r="J1962" s="2968" t="str">
        <f t="shared" si="61"/>
        <v>TBHT</v>
      </c>
      <c r="K1962" s="2969" t="str">
        <f t="shared" si="60"/>
        <v xml:space="preserve">TBHTPhần thiết bị đường dây hạ thế </v>
      </c>
    </row>
    <row r="1963" spans="1:11" hidden="1">
      <c r="A1963" s="2969" t="s">
        <v>7217</v>
      </c>
      <c r="B1963" s="3004" t="s">
        <v>5548</v>
      </c>
      <c r="C1963" s="2969" t="s">
        <v>7218</v>
      </c>
      <c r="D1963" s="2968" t="s">
        <v>2295</v>
      </c>
      <c r="E1963" s="2968"/>
      <c r="F1963" s="2968">
        <v>2000</v>
      </c>
      <c r="G1963" s="2968" t="s">
        <v>510</v>
      </c>
      <c r="H1963" s="2968"/>
      <c r="I1963" s="2968"/>
      <c r="J1963" s="2968" t="str">
        <f t="shared" si="61"/>
        <v>TBHTN</v>
      </c>
      <c r="K1963" s="2969" t="str">
        <f t="shared" si="60"/>
        <v>TBHTNPhần thiết bị đường dây hạ thế ngầm</v>
      </c>
    </row>
    <row r="1964" spans="1:11" hidden="1">
      <c r="A1964" s="2969" t="s">
        <v>1894</v>
      </c>
      <c r="B1964" s="3004"/>
      <c r="C1964" s="2969" t="s">
        <v>2563</v>
      </c>
      <c r="D1964" s="2968"/>
      <c r="E1964" s="2968"/>
      <c r="F1964" s="2968">
        <v>2000</v>
      </c>
      <c r="G1964" s="2968" t="s">
        <v>510</v>
      </c>
      <c r="H1964" s="2968"/>
      <c r="I1964" s="2968"/>
      <c r="J1964" s="2968" t="str">
        <f t="shared" si="61"/>
        <v>TBDD1p</v>
      </c>
      <c r="K1964" s="2969" t="str">
        <f t="shared" si="60"/>
        <v>TBDD1pPhần thiết bị đường dây trung thế 1 pha XDM</v>
      </c>
    </row>
    <row r="1965" spans="1:11" hidden="1">
      <c r="A1965" s="2969" t="s">
        <v>7219</v>
      </c>
      <c r="B1965" s="3004"/>
      <c r="C1965" s="2969" t="s">
        <v>7220</v>
      </c>
      <c r="D1965" s="2968" t="s">
        <v>2295</v>
      </c>
      <c r="E1965" s="2968"/>
      <c r="F1965" s="2968">
        <v>2000</v>
      </c>
      <c r="G1965" s="2968" t="s">
        <v>510</v>
      </c>
      <c r="H1965" s="2968"/>
      <c r="I1965" s="2968"/>
      <c r="J1965" s="2968" t="str">
        <f t="shared" si="61"/>
        <v>TBTT3P</v>
      </c>
      <c r="K1965" s="2969" t="str">
        <f t="shared" si="60"/>
        <v>TBTT3PPhần thiết bị đường dây trung thế 3 pha</v>
      </c>
    </row>
    <row r="1966" spans="1:11" hidden="1">
      <c r="A1966" s="2969" t="s">
        <v>7221</v>
      </c>
      <c r="B1966" s="3004" t="s">
        <v>5509</v>
      </c>
      <c r="C1966" s="2969" t="s">
        <v>7222</v>
      </c>
      <c r="D1966" s="2968" t="s">
        <v>2295</v>
      </c>
      <c r="E1966" s="2968"/>
      <c r="F1966" s="2968">
        <v>2000</v>
      </c>
      <c r="G1966" s="2968" t="s">
        <v>510</v>
      </c>
      <c r="H1966" s="2968"/>
      <c r="I1966" s="2968"/>
      <c r="J1966" s="2968" t="str">
        <f t="shared" si="61"/>
        <v>TBTTN</v>
      </c>
      <c r="K1966" s="2969" t="str">
        <f t="shared" si="60"/>
        <v>TBTTNPhần thiết bị đường dây trung thế ngầm</v>
      </c>
    </row>
    <row r="1967" spans="1:11" hidden="1">
      <c r="A1967" s="2969" t="s">
        <v>1973</v>
      </c>
      <c r="B1967" s="3004"/>
      <c r="C1967" s="2969" t="s">
        <v>2546</v>
      </c>
      <c r="D1967" s="2968" t="s">
        <v>2295</v>
      </c>
      <c r="E1967" s="2968"/>
      <c r="F1967" s="2968">
        <v>2000</v>
      </c>
      <c r="G1967" s="2968" t="s">
        <v>510</v>
      </c>
      <c r="H1967" s="2968"/>
      <c r="I1967" s="2968"/>
      <c r="J1967" s="2968" t="str">
        <f t="shared" si="61"/>
        <v>DDTT1P-m</v>
      </c>
      <c r="K1967" s="2969" t="str">
        <f t="shared" si="60"/>
        <v>DDTT1P-mPhân trung thế 1 pha XD mới</v>
      </c>
    </row>
    <row r="1968" spans="1:11" hidden="1">
      <c r="A1968" s="2969" t="s">
        <v>1914</v>
      </c>
      <c r="B1968" s="3004"/>
      <c r="C1968" s="2969" t="s">
        <v>4402</v>
      </c>
      <c r="D1968" s="2968" t="s">
        <v>2295</v>
      </c>
      <c r="E1968" s="2968"/>
      <c r="F1968" s="2968">
        <v>2000</v>
      </c>
      <c r="G1968" s="2968" t="s">
        <v>510</v>
      </c>
      <c r="H1968" s="2968"/>
      <c r="I1968" s="2968"/>
      <c r="J1968" s="2968" t="str">
        <f t="shared" si="61"/>
        <v>DDTT3P1m-m</v>
      </c>
      <c r="K1968" s="2969" t="str">
        <f t="shared" si="60"/>
        <v>DDTT3P1m-mPhần trung thế 3 pha xây dựng mới</v>
      </c>
    </row>
    <row r="1969" spans="1:11" hidden="1">
      <c r="A1969" s="2969" t="s">
        <v>739</v>
      </c>
      <c r="B1969" s="3004"/>
      <c r="C1969" s="2969" t="s">
        <v>2521</v>
      </c>
      <c r="D1969" s="2968" t="s">
        <v>2295</v>
      </c>
      <c r="E1969" s="2968"/>
      <c r="F1969" s="2968">
        <v>2000</v>
      </c>
      <c r="G1969" s="2968" t="s">
        <v>510</v>
      </c>
      <c r="H1969" s="2968"/>
      <c r="I1969" s="2968"/>
      <c r="J1969" s="2968" t="str">
        <f t="shared" si="61"/>
        <v>DDTT3P2m-m</v>
      </c>
      <c r="K1969" s="2969" t="str">
        <f t="shared" si="60"/>
        <v>DDTT3P2m-mPhân trung thế 3 pha XD mới 2 mạch</v>
      </c>
    </row>
    <row r="1970" spans="1:11" hidden="1">
      <c r="A1970" s="2969" t="s">
        <v>28</v>
      </c>
      <c r="B1970" s="3004"/>
      <c r="C1970" s="2969" t="s">
        <v>4341</v>
      </c>
      <c r="D1970" s="2968" t="s">
        <v>2295</v>
      </c>
      <c r="E1970" s="2968"/>
      <c r="F1970" s="2968">
        <v>2000</v>
      </c>
      <c r="G1970" s="2968" t="s">
        <v>510</v>
      </c>
      <c r="H1970" s="2968"/>
      <c r="I1970" s="2968"/>
      <c r="J1970" s="2968" t="str">
        <f t="shared" si="61"/>
        <v>DDTT3P-ct</v>
      </c>
      <c r="K1970" s="2969" t="str">
        <f t="shared" si="60"/>
        <v>DDTT3P-ctPhần trung thế cải tạo</v>
      </c>
    </row>
    <row r="1971" spans="1:11" hidden="1">
      <c r="A1971" s="2969" t="s">
        <v>2306</v>
      </c>
      <c r="B1971" s="3004"/>
      <c r="C1971" s="2969" t="s">
        <v>2562</v>
      </c>
      <c r="D1971" s="2968"/>
      <c r="E1971" s="2968"/>
      <c r="F1971" s="2968">
        <v>2000</v>
      </c>
      <c r="G1971" s="2968" t="s">
        <v>510</v>
      </c>
      <c r="H1971" s="2968"/>
      <c r="I1971" s="2968"/>
      <c r="J1971" s="2968" t="str">
        <f t="shared" si="61"/>
        <v>TĐĐ</v>
      </c>
      <c r="K1971" s="2969" t="str">
        <f t="shared" si="60"/>
        <v>TĐĐPhần vật liệu trụ đo đếm</v>
      </c>
    </row>
    <row r="1972" spans="1:11" hidden="1">
      <c r="A1972" s="2969" t="s">
        <v>98</v>
      </c>
      <c r="B1972" s="2986" t="s">
        <v>99</v>
      </c>
      <c r="C1972" s="3012" t="s">
        <v>3282</v>
      </c>
      <c r="D1972" s="2968" t="s">
        <v>1955</v>
      </c>
      <c r="E1972" s="2968"/>
      <c r="F1972" s="2968">
        <v>3000</v>
      </c>
      <c r="G1972" s="2968" t="s">
        <v>510</v>
      </c>
      <c r="H1972" s="2968"/>
      <c r="I1972" s="2968"/>
      <c r="J1972" s="2968" t="str">
        <f t="shared" si="61"/>
        <v>PT</v>
      </c>
      <c r="K1972" s="2969" t="str">
        <f t="shared" si="60"/>
        <v>PTPhát tuyến</v>
      </c>
    </row>
    <row r="1973" spans="1:11" hidden="1">
      <c r="A1973" s="2969" t="s">
        <v>2183</v>
      </c>
      <c r="B1973" s="3004"/>
      <c r="C1973" s="2969" t="s">
        <v>2184</v>
      </c>
      <c r="D1973" s="2968" t="s">
        <v>2547</v>
      </c>
      <c r="E1973" s="2968"/>
      <c r="F1973" s="2968">
        <v>50</v>
      </c>
      <c r="G1973" s="2968" t="s">
        <v>510</v>
      </c>
      <c r="H1973" s="2968"/>
      <c r="I1973" s="2968"/>
      <c r="J1973" s="2968" t="str">
        <f t="shared" si="61"/>
        <v>PU</v>
      </c>
      <c r="K1973" s="2969" t="str">
        <f t="shared" si="60"/>
        <v>PUPuli</v>
      </c>
    </row>
    <row r="1974" spans="1:11" hidden="1">
      <c r="A1974" s="2969" t="s">
        <v>699</v>
      </c>
      <c r="B1974" s="3004"/>
      <c r="C1974" s="2969" t="s">
        <v>3001</v>
      </c>
      <c r="D1974" s="2968" t="s">
        <v>2243</v>
      </c>
      <c r="E1974" s="2968"/>
      <c r="F1974" s="2968">
        <v>50</v>
      </c>
      <c r="G1974" s="2968" t="s">
        <v>510</v>
      </c>
      <c r="H1974" s="2968"/>
      <c r="I1974" s="2968"/>
      <c r="J1974" s="2968" t="str">
        <f t="shared" si="61"/>
        <v>qhan</v>
      </c>
      <c r="K1974" s="2969" t="str">
        <f t="shared" si="60"/>
        <v>qhanQue hàn điện</v>
      </c>
    </row>
    <row r="1975" spans="1:11" hidden="1">
      <c r="A1975" s="2969" t="s">
        <v>152</v>
      </c>
      <c r="B1975" s="2986" t="s">
        <v>153</v>
      </c>
      <c r="C1975" s="2969" t="s">
        <v>3065</v>
      </c>
      <c r="D1975" s="2968" t="s">
        <v>1955</v>
      </c>
      <c r="E1975" s="2968"/>
      <c r="F1975" s="2968">
        <v>3000</v>
      </c>
      <c r="G1975" s="2968" t="s">
        <v>510</v>
      </c>
      <c r="H1975" s="2968"/>
      <c r="I1975" s="2968"/>
      <c r="J1975" s="2968" t="str">
        <f t="shared" si="61"/>
        <v>QBT</v>
      </c>
      <c r="K1975" s="2969" t="str">
        <f t="shared" si="60"/>
        <v>QBTQuét nhựa bi tum nóng (0,2kg/m2)</v>
      </c>
    </row>
    <row r="1976" spans="1:11" hidden="1">
      <c r="A1976" s="2969" t="s">
        <v>2253</v>
      </c>
      <c r="B1976" s="3004"/>
      <c r="C1976" s="2969" t="s">
        <v>2925</v>
      </c>
      <c r="D1976" s="2968" t="s">
        <v>2433</v>
      </c>
      <c r="E1976" s="2968"/>
      <c r="F1976" s="2968">
        <v>50</v>
      </c>
      <c r="G1976" s="2968" t="s">
        <v>355</v>
      </c>
      <c r="H1976" s="2968"/>
      <c r="I1976" s="2968"/>
      <c r="J1976" s="2968" t="str">
        <f t="shared" si="61"/>
        <v>R2</v>
      </c>
      <c r="K1976" s="2969" t="str">
        <f t="shared" si="60"/>
        <v>R2Rack 2 sứ + sứ ống chỉ</v>
      </c>
    </row>
    <row r="1977" spans="1:11" hidden="1">
      <c r="A1977" s="2969" t="s">
        <v>664</v>
      </c>
      <c r="B1977" s="3004"/>
      <c r="C1977" s="2969" t="s">
        <v>2926</v>
      </c>
      <c r="D1977" s="2968" t="s">
        <v>2433</v>
      </c>
      <c r="E1977" s="2968"/>
      <c r="F1977" s="2968">
        <v>50</v>
      </c>
      <c r="G1977" s="2968" t="s">
        <v>355</v>
      </c>
      <c r="H1977" s="2968"/>
      <c r="I1977" s="2968"/>
      <c r="J1977" s="2968" t="str">
        <f t="shared" si="61"/>
        <v>R3</v>
      </c>
      <c r="K1977" s="2969" t="str">
        <f t="shared" si="60"/>
        <v>R3Rack 3 sứ + sứ ống chỉ</v>
      </c>
    </row>
    <row r="1978" spans="1:11" hidden="1">
      <c r="A1978" s="2969" t="s">
        <v>51</v>
      </c>
      <c r="B1978" s="3004"/>
      <c r="C1978" s="3013" t="s">
        <v>1443</v>
      </c>
      <c r="D1978" s="2968" t="s">
        <v>2547</v>
      </c>
      <c r="E1978" s="2968"/>
      <c r="F1978" s="2968">
        <v>50</v>
      </c>
      <c r="G1978" s="2968" t="s">
        <v>355</v>
      </c>
      <c r="H1978" s="2968"/>
      <c r="I1978" s="2968"/>
      <c r="J1978" s="2968" t="str">
        <f t="shared" si="61"/>
        <v>R4</v>
      </c>
      <c r="K1978" s="2969" t="str">
        <f t="shared" si="60"/>
        <v>R4Rack 4</v>
      </c>
    </row>
    <row r="1979" spans="1:11" hidden="1">
      <c r="A1979" s="2969" t="s">
        <v>1445</v>
      </c>
      <c r="B1979" s="3004"/>
      <c r="C1979" s="2969" t="s">
        <v>2927</v>
      </c>
      <c r="D1979" s="2968" t="s">
        <v>2433</v>
      </c>
      <c r="E1979" s="2968"/>
      <c r="F1979" s="2968">
        <v>50</v>
      </c>
      <c r="G1979" s="2968" t="s">
        <v>355</v>
      </c>
      <c r="H1979" s="2968"/>
      <c r="I1979" s="2968"/>
      <c r="J1979" s="2968" t="str">
        <f t="shared" si="61"/>
        <v>R4S</v>
      </c>
      <c r="K1979" s="2969" t="str">
        <f t="shared" si="60"/>
        <v>R4SRack 4 sứ + sứ ống chỉ</v>
      </c>
    </row>
    <row r="1980" spans="1:11" hidden="1">
      <c r="A1980" s="2969" t="s">
        <v>1907</v>
      </c>
      <c r="B1980" s="3004" t="s">
        <v>1501</v>
      </c>
      <c r="C1980" s="2969" t="s">
        <v>2052</v>
      </c>
      <c r="D1980" s="2968" t="s">
        <v>2433</v>
      </c>
      <c r="E1980" s="2968"/>
      <c r="F1980" s="2968">
        <v>9</v>
      </c>
      <c r="G1980" s="2968" t="s">
        <v>6510</v>
      </c>
      <c r="H1980" s="2968"/>
      <c r="I1980" s="2968"/>
      <c r="J1980" s="2968" t="str">
        <f t="shared" si="61"/>
        <v>Recloser</v>
      </c>
      <c r="K1980" s="2969" t="str">
        <f t="shared" si="60"/>
        <v>RecloserRecloser 24kV 630-800A</v>
      </c>
    </row>
    <row r="1981" spans="1:11" hidden="1">
      <c r="A1981" s="2969" t="s">
        <v>2179</v>
      </c>
      <c r="B1981" s="3015" t="s">
        <v>639</v>
      </c>
      <c r="C1981" s="2969" t="s">
        <v>6429</v>
      </c>
      <c r="D1981" s="2968" t="s">
        <v>2433</v>
      </c>
      <c r="E1981" s="2968"/>
      <c r="F1981" s="2968">
        <v>50</v>
      </c>
      <c r="G1981" s="2968" t="s">
        <v>6510</v>
      </c>
      <c r="H1981" s="2968"/>
      <c r="I1981" s="2968"/>
      <c r="J1981" s="2968" t="str">
        <f t="shared" si="61"/>
        <v>REC</v>
      </c>
      <c r="K1981" s="2969" t="str">
        <f t="shared" si="60"/>
        <v>RECRecloser 24kV 630A - 800A (MBA cấp nguồn + Phụ kiện)</v>
      </c>
    </row>
    <row r="1982" spans="1:11" hidden="1">
      <c r="A1982" s="2969" t="s">
        <v>2219</v>
      </c>
      <c r="B1982" s="2986"/>
      <c r="C1982" s="2969" t="s">
        <v>3353</v>
      </c>
      <c r="D1982" s="2968" t="s">
        <v>2433</v>
      </c>
      <c r="E1982" s="2968"/>
      <c r="F1982" s="2968">
        <v>50</v>
      </c>
      <c r="G1982" s="2968" t="s">
        <v>510</v>
      </c>
      <c r="H1982" s="2968"/>
      <c r="I1982" s="2968"/>
      <c r="J1982" s="2968" t="str">
        <f t="shared" si="61"/>
        <v>TIMER</v>
      </c>
      <c r="K1982" s="2969" t="str">
        <f t="shared" si="60"/>
        <v>TIMERRelay Timer + cầu chì</v>
      </c>
    </row>
    <row r="1983" spans="1:11" hidden="1">
      <c r="A1983" s="2969" t="s">
        <v>2223</v>
      </c>
      <c r="B1983" s="3004"/>
      <c r="C1983" s="2969" t="s">
        <v>2944</v>
      </c>
      <c r="D1983" s="2968" t="s">
        <v>2243</v>
      </c>
      <c r="E1983" s="2968"/>
      <c r="F1983" s="2968">
        <v>50</v>
      </c>
      <c r="G1983" s="2968" t="s">
        <v>510</v>
      </c>
      <c r="H1983" s="2968"/>
      <c r="I1983" s="2968"/>
      <c r="J1983" s="2968" t="str">
        <f t="shared" si="61"/>
        <v>S1008</v>
      </c>
      <c r="K1983" s="2969" t="str">
        <f t="shared" si="60"/>
        <v>S1008Sắt dẹt 100 x 8</v>
      </c>
    </row>
    <row r="1984" spans="1:11" hidden="1">
      <c r="A1984" s="2969" t="s">
        <v>1026</v>
      </c>
      <c r="B1984" s="3004"/>
      <c r="C1984" s="2969" t="s">
        <v>2939</v>
      </c>
      <c r="D1984" s="2968" t="s">
        <v>2243</v>
      </c>
      <c r="E1984" s="2968"/>
      <c r="F1984" s="2968">
        <v>50</v>
      </c>
      <c r="G1984" s="2968" t="s">
        <v>510</v>
      </c>
      <c r="H1984" s="2968"/>
      <c r="I1984" s="2968"/>
      <c r="J1984" s="2968" t="str">
        <f t="shared" si="61"/>
        <v>S40</v>
      </c>
      <c r="K1984" s="2969" t="str">
        <f t="shared" si="60"/>
        <v>S40Sắt dẹt 40 x 4</v>
      </c>
    </row>
    <row r="1985" spans="1:11" hidden="1">
      <c r="A1985" s="2969" t="s">
        <v>2101</v>
      </c>
      <c r="B1985" s="3004"/>
      <c r="C1985" s="2969" t="s">
        <v>4783</v>
      </c>
      <c r="D1985" s="2968" t="s">
        <v>2243</v>
      </c>
      <c r="E1985" s="2968"/>
      <c r="F1985" s="2968">
        <v>50</v>
      </c>
      <c r="G1985" s="2968" t="s">
        <v>510</v>
      </c>
      <c r="H1985" s="2968"/>
      <c r="I1985" s="2968"/>
      <c r="J1985" s="2968" t="str">
        <f t="shared" si="61"/>
        <v>S50</v>
      </c>
      <c r="K1985" s="2969" t="str">
        <f t="shared" si="60"/>
        <v>S50Sắt dẹt 50x5</v>
      </c>
    </row>
    <row r="1986" spans="1:11" hidden="1">
      <c r="A1986" s="2969" t="s">
        <v>278</v>
      </c>
      <c r="B1986" s="3004"/>
      <c r="C1986" s="2969" t="s">
        <v>2940</v>
      </c>
      <c r="D1986" s="2968" t="s">
        <v>2243</v>
      </c>
      <c r="E1986" s="2968"/>
      <c r="F1986" s="2968">
        <v>50</v>
      </c>
      <c r="G1986" s="2968" t="s">
        <v>510</v>
      </c>
      <c r="H1986" s="2968"/>
      <c r="I1986" s="2968"/>
      <c r="J1986" s="2968" t="str">
        <f t="shared" si="61"/>
        <v>S60</v>
      </c>
      <c r="K1986" s="2969" t="str">
        <f t="shared" si="60"/>
        <v>S60Sắt dẹt 60 x 6</v>
      </c>
    </row>
    <row r="1987" spans="1:11" hidden="1">
      <c r="A1987" s="2969" t="s">
        <v>1115</v>
      </c>
      <c r="B1987" s="3004"/>
      <c r="C1987" s="2969" t="s">
        <v>2941</v>
      </c>
      <c r="D1987" s="2968" t="s">
        <v>2243</v>
      </c>
      <c r="E1987" s="2968"/>
      <c r="F1987" s="2968">
        <v>50</v>
      </c>
      <c r="G1987" s="2968" t="s">
        <v>510</v>
      </c>
      <c r="H1987" s="2968"/>
      <c r="I1987" s="2968"/>
      <c r="J1987" s="2968" t="str">
        <f t="shared" si="61"/>
        <v>S70</v>
      </c>
      <c r="K1987" s="2969" t="str">
        <f t="shared" ref="K1987:K2050" si="62">A1987&amp;C1987</f>
        <v>S70Sắt dẹt 70 x 7</v>
      </c>
    </row>
    <row r="1988" spans="1:11" hidden="1">
      <c r="A1988" s="3013" t="s">
        <v>1116</v>
      </c>
      <c r="B1988" s="2986"/>
      <c r="C1988" s="2969" t="s">
        <v>2942</v>
      </c>
      <c r="D1988" s="2968" t="s">
        <v>2243</v>
      </c>
      <c r="E1988" s="2968"/>
      <c r="F1988" s="2968">
        <v>50</v>
      </c>
      <c r="G1988" s="2968" t="s">
        <v>510</v>
      </c>
      <c r="H1988" s="2968"/>
      <c r="I1988" s="2968"/>
      <c r="J1988" s="2968" t="str">
        <f t="shared" ref="J1988:J2051" si="63">A1988</f>
        <v>S806</v>
      </c>
      <c r="K1988" s="2969" t="str">
        <f t="shared" si="62"/>
        <v>S806Sắt dẹt 80 x 6</v>
      </c>
    </row>
    <row r="1989" spans="1:11" hidden="1">
      <c r="A1989" s="3013" t="s">
        <v>2222</v>
      </c>
      <c r="B1989" s="2986"/>
      <c r="C1989" s="2969" t="s">
        <v>2943</v>
      </c>
      <c r="D1989" s="2968" t="s">
        <v>2243</v>
      </c>
      <c r="E1989" s="2968"/>
      <c r="F1989" s="2968">
        <v>50</v>
      </c>
      <c r="G1989" s="2968" t="s">
        <v>510</v>
      </c>
      <c r="H1989" s="2968"/>
      <c r="I1989" s="2968"/>
      <c r="J1989" s="2968" t="str">
        <f t="shared" si="63"/>
        <v>S80</v>
      </c>
      <c r="K1989" s="2969" t="str">
        <f t="shared" si="62"/>
        <v>S80Sắt dẹt 80 x 8</v>
      </c>
    </row>
    <row r="1990" spans="1:11" hidden="1">
      <c r="A1990" s="3013" t="s">
        <v>637</v>
      </c>
      <c r="B1990" s="2986"/>
      <c r="C1990" s="2969" t="s">
        <v>2945</v>
      </c>
      <c r="D1990" s="2968" t="s">
        <v>2243</v>
      </c>
      <c r="E1990" s="2968"/>
      <c r="F1990" s="2968">
        <v>50</v>
      </c>
      <c r="G1990" s="2968" t="s">
        <v>510</v>
      </c>
      <c r="H1990" s="2968"/>
      <c r="I1990" s="2968"/>
      <c r="J1990" s="2968" t="str">
        <f t="shared" si="63"/>
        <v>SL32</v>
      </c>
      <c r="K1990" s="2969" t="str">
        <f t="shared" si="62"/>
        <v>SL32Sắt góc L32 x 32 x 3</v>
      </c>
    </row>
    <row r="1991" spans="1:11" hidden="1">
      <c r="A1991" s="3013" t="s">
        <v>1609</v>
      </c>
      <c r="B1991" s="2986"/>
      <c r="C1991" s="2969" t="s">
        <v>2946</v>
      </c>
      <c r="D1991" s="2968" t="s">
        <v>2243</v>
      </c>
      <c r="E1991" s="2968"/>
      <c r="F1991" s="2968">
        <v>50</v>
      </c>
      <c r="G1991" s="2968" t="s">
        <v>510</v>
      </c>
      <c r="H1991" s="2968"/>
      <c r="I1991" s="2968"/>
      <c r="J1991" s="2968" t="str">
        <f t="shared" si="63"/>
        <v>SL40</v>
      </c>
      <c r="K1991" s="2969" t="str">
        <f t="shared" si="62"/>
        <v>SL40Sắt góc L40 x40 x4</v>
      </c>
    </row>
    <row r="1992" spans="1:11" hidden="1">
      <c r="A1992" s="2969" t="s">
        <v>1511</v>
      </c>
      <c r="B1992" s="3004"/>
      <c r="C1992" s="2969" t="s">
        <v>2947</v>
      </c>
      <c r="D1992" s="2968" t="s">
        <v>2243</v>
      </c>
      <c r="E1992" s="2968"/>
      <c r="F1992" s="2968">
        <v>50</v>
      </c>
      <c r="G1992" s="2968" t="s">
        <v>510</v>
      </c>
      <c r="H1992" s="2968"/>
      <c r="I1992" s="2968"/>
      <c r="J1992" s="2968" t="str">
        <f t="shared" si="63"/>
        <v>SL45</v>
      </c>
      <c r="K1992" s="2969" t="str">
        <f t="shared" si="62"/>
        <v>SL45Sắt góc L45 x45 x 4</v>
      </c>
    </row>
    <row r="1993" spans="1:11" hidden="1">
      <c r="A1993" s="3013" t="s">
        <v>455</v>
      </c>
      <c r="B1993" s="2986"/>
      <c r="C1993" s="2969" t="s">
        <v>2948</v>
      </c>
      <c r="D1993" s="2968" t="s">
        <v>2243</v>
      </c>
      <c r="E1993" s="2968"/>
      <c r="F1993" s="2968">
        <v>50</v>
      </c>
      <c r="G1993" s="2968" t="s">
        <v>510</v>
      </c>
      <c r="H1993" s="2968"/>
      <c r="I1993" s="2968"/>
      <c r="J1993" s="2968" t="str">
        <f t="shared" si="63"/>
        <v>SL50</v>
      </c>
      <c r="K1993" s="2969" t="str">
        <f t="shared" si="62"/>
        <v>SL50Sắt góc L50 x50 x5</v>
      </c>
    </row>
    <row r="1994" spans="1:11" hidden="1">
      <c r="A1994" s="3013" t="s">
        <v>4637</v>
      </c>
      <c r="B1994" s="2986"/>
      <c r="C1994" s="2969" t="s">
        <v>2948</v>
      </c>
      <c r="D1994" s="2968" t="s">
        <v>2243</v>
      </c>
      <c r="E1994" s="2968"/>
      <c r="F1994" s="2968">
        <v>50</v>
      </c>
      <c r="G1994" s="2968" t="s">
        <v>510</v>
      </c>
      <c r="H1994" s="2968"/>
      <c r="I1994" s="2968"/>
      <c r="J1994" s="2968" t="str">
        <f t="shared" si="63"/>
        <v>SL50kg</v>
      </c>
      <c r="K1994" s="2969" t="str">
        <f t="shared" si="62"/>
        <v>SL50kgSắt góc L50 x50 x5</v>
      </c>
    </row>
    <row r="1995" spans="1:11" hidden="1">
      <c r="A1995" s="3018" t="s">
        <v>4846</v>
      </c>
      <c r="B1995" s="3004"/>
      <c r="C1995" s="2969" t="s">
        <v>4780</v>
      </c>
      <c r="D1995" s="2968" t="s">
        <v>2547</v>
      </c>
      <c r="E1995" s="2968"/>
      <c r="F1995" s="2968">
        <v>50</v>
      </c>
      <c r="G1995" s="2968" t="s">
        <v>510</v>
      </c>
      <c r="H1995" s="2968"/>
      <c r="I1995" s="2968"/>
      <c r="J1995" s="2968" t="str">
        <f t="shared" si="63"/>
        <v>SL50-810</v>
      </c>
      <c r="K1995" s="2969" t="str">
        <f t="shared" si="62"/>
        <v>SL50-810Sắt góc L50 x50 x5 - 810</v>
      </c>
    </row>
    <row r="1996" spans="1:11" hidden="1">
      <c r="A1996" s="2969" t="s">
        <v>6007</v>
      </c>
      <c r="B1996" s="3004"/>
      <c r="C1996" s="2969" t="s">
        <v>6008</v>
      </c>
      <c r="D1996" s="2968" t="s">
        <v>2547</v>
      </c>
      <c r="E1996" s="2968"/>
      <c r="F1996" s="2968">
        <v>50</v>
      </c>
      <c r="G1996" s="2968" t="s">
        <v>510</v>
      </c>
      <c r="H1996" s="2968"/>
      <c r="I1996" s="2968"/>
      <c r="J1996" s="2968" t="str">
        <f t="shared" si="63"/>
        <v>SL50-1150</v>
      </c>
      <c r="K1996" s="2969" t="str">
        <f t="shared" si="62"/>
        <v>SL50-1150Sắt góc L50 x50 x5 x1150</v>
      </c>
    </row>
    <row r="1997" spans="1:11" hidden="1">
      <c r="A1997" s="3018" t="s">
        <v>4741</v>
      </c>
      <c r="B1997" s="3004"/>
      <c r="C1997" s="2969" t="s">
        <v>7305</v>
      </c>
      <c r="D1997" s="2968" t="s">
        <v>2547</v>
      </c>
      <c r="E1997" s="2968"/>
      <c r="F1997" s="2968">
        <v>50</v>
      </c>
      <c r="G1997" s="2968" t="s">
        <v>510</v>
      </c>
      <c r="H1997" s="2968"/>
      <c r="I1997" s="2968"/>
      <c r="J1997" s="2968" t="str">
        <f t="shared" si="63"/>
        <v>SL50-1190</v>
      </c>
      <c r="K1997" s="2969" t="str">
        <f t="shared" si="62"/>
        <v>SL50-1190Sắt góc L50 x50 x5 x</v>
      </c>
    </row>
    <row r="1998" spans="1:11" hidden="1">
      <c r="A1998" s="3018" t="s">
        <v>7223</v>
      </c>
      <c r="B1998" s="3004"/>
      <c r="C1998" s="2969" t="s">
        <v>7305</v>
      </c>
      <c r="D1998" s="2968" t="s">
        <v>2547</v>
      </c>
      <c r="E1998" s="2968"/>
      <c r="F1998" s="2968">
        <v>50</v>
      </c>
      <c r="G1998" s="2968" t="s">
        <v>510</v>
      </c>
      <c r="H1998" s="2968"/>
      <c r="I1998" s="2968"/>
      <c r="J1998" s="2968" t="str">
        <f t="shared" si="63"/>
        <v>SL50-720</v>
      </c>
      <c r="K1998" s="2969" t="str">
        <f t="shared" si="62"/>
        <v>SL50-720Sắt góc L50 x50 x5 x</v>
      </c>
    </row>
    <row r="1999" spans="1:11" hidden="1">
      <c r="A1999" s="3018" t="s">
        <v>4739</v>
      </c>
      <c r="B1999" s="3004"/>
      <c r="C1999" s="2969" t="s">
        <v>7305</v>
      </c>
      <c r="D1999" s="2968" t="s">
        <v>2547</v>
      </c>
      <c r="E1999" s="2968"/>
      <c r="F1999" s="2968">
        <v>50</v>
      </c>
      <c r="G1999" s="2968" t="s">
        <v>510</v>
      </c>
      <c r="H1999" s="2968"/>
      <c r="I1999" s="2968"/>
      <c r="J1999" s="2968" t="str">
        <f t="shared" si="63"/>
        <v>SL50-920</v>
      </c>
      <c r="K1999" s="2969" t="str">
        <f t="shared" si="62"/>
        <v>SL50-920Sắt góc L50 x50 x5 x</v>
      </c>
    </row>
    <row r="2000" spans="1:11" hidden="1">
      <c r="A2000" s="3018" t="s">
        <v>7224</v>
      </c>
      <c r="B2000" s="3004"/>
      <c r="C2000" s="2969" t="s">
        <v>4782</v>
      </c>
      <c r="D2000" s="2968" t="s">
        <v>2547</v>
      </c>
      <c r="E2000" s="2968"/>
      <c r="F2000" s="2968">
        <v>50</v>
      </c>
      <c r="G2000" s="2968" t="s">
        <v>510</v>
      </c>
      <c r="H2000" s="2968"/>
      <c r="I2000" s="2968"/>
      <c r="J2000" s="2968" t="str">
        <f t="shared" si="63"/>
        <v>SL75-1990</v>
      </c>
      <c r="K2000" s="2969" t="str">
        <f t="shared" si="62"/>
        <v>SL75-1990Sắt góc L50 x50 x5-1990</v>
      </c>
    </row>
    <row r="2001" spans="1:11" hidden="1">
      <c r="A2001" s="2969" t="s">
        <v>7225</v>
      </c>
      <c r="B2001" s="3004"/>
      <c r="C2001" s="2969" t="s">
        <v>7226</v>
      </c>
      <c r="D2001" s="2968" t="s">
        <v>5092</v>
      </c>
      <c r="E2001" s="2968"/>
      <c r="F2001" s="2968">
        <v>50</v>
      </c>
      <c r="G2001" s="2968" t="s">
        <v>510</v>
      </c>
      <c r="H2001" s="2968"/>
      <c r="I2001" s="2968"/>
      <c r="J2001" s="2968" t="str">
        <f t="shared" si="63"/>
        <v>SL501150</v>
      </c>
      <c r="K2001" s="2969" t="str">
        <f t="shared" si="62"/>
        <v>SL501150Sắt góc L50 x50 x5x1150</v>
      </c>
    </row>
    <row r="2002" spans="1:11" hidden="1">
      <c r="A2002" s="2969" t="s">
        <v>5148</v>
      </c>
      <c r="B2002" s="3004"/>
      <c r="C2002" s="2969" t="s">
        <v>5149</v>
      </c>
      <c r="D2002" s="2968" t="s">
        <v>5092</v>
      </c>
      <c r="E2002" s="2968"/>
      <c r="F2002" s="2968">
        <v>50</v>
      </c>
      <c r="G2002" s="2968" t="s">
        <v>510</v>
      </c>
      <c r="H2002" s="2968"/>
      <c r="I2002" s="2968"/>
      <c r="J2002" s="2968" t="str">
        <f t="shared" si="63"/>
        <v>SL501990</v>
      </c>
      <c r="K2002" s="2969" t="str">
        <f t="shared" si="62"/>
        <v>SL501990Sắt góc L50 x50 x5x1990</v>
      </c>
    </row>
    <row r="2003" spans="1:11" hidden="1">
      <c r="A2003" s="2969" t="s">
        <v>5146</v>
      </c>
      <c r="B2003" s="3004"/>
      <c r="C2003" s="2969" t="s">
        <v>5147</v>
      </c>
      <c r="D2003" s="2968" t="s">
        <v>5092</v>
      </c>
      <c r="E2003" s="2968"/>
      <c r="F2003" s="2968">
        <v>50</v>
      </c>
      <c r="G2003" s="2968" t="s">
        <v>510</v>
      </c>
      <c r="H2003" s="2968"/>
      <c r="I2003" s="2968"/>
      <c r="J2003" s="2968" t="str">
        <f t="shared" si="63"/>
        <v>SL50810</v>
      </c>
      <c r="K2003" s="2969" t="str">
        <f t="shared" si="62"/>
        <v>SL50810Sắt góc L50 x50 x5x810</v>
      </c>
    </row>
    <row r="2004" spans="1:11" hidden="1">
      <c r="A2004" s="2969" t="s">
        <v>1114</v>
      </c>
      <c r="B2004" s="3004"/>
      <c r="C2004" s="2969" t="s">
        <v>2949</v>
      </c>
      <c r="D2004" s="2968" t="s">
        <v>2243</v>
      </c>
      <c r="E2004" s="2968"/>
      <c r="F2004" s="2968">
        <v>50</v>
      </c>
      <c r="G2004" s="2968" t="s">
        <v>510</v>
      </c>
      <c r="H2004" s="2968"/>
      <c r="I2004" s="2968"/>
      <c r="J2004" s="2968" t="str">
        <f t="shared" si="63"/>
        <v>SL70</v>
      </c>
      <c r="K2004" s="2969" t="str">
        <f t="shared" si="62"/>
        <v>SL70Sắt góc L70 x70 x7</v>
      </c>
    </row>
    <row r="2005" spans="1:11" hidden="1">
      <c r="A2005" s="2969" t="s">
        <v>109</v>
      </c>
      <c r="B2005" s="3004"/>
      <c r="C2005" s="2969" t="s">
        <v>2431</v>
      </c>
      <c r="D2005" s="2968" t="s">
        <v>2243</v>
      </c>
      <c r="E2005" s="2968"/>
      <c r="F2005" s="2968">
        <v>50</v>
      </c>
      <c r="G2005" s="2968" t="s">
        <v>510</v>
      </c>
      <c r="H2005" s="2968"/>
      <c r="I2005" s="2968"/>
      <c r="J2005" s="2968" t="str">
        <f t="shared" si="63"/>
        <v>SL75</v>
      </c>
      <c r="K2005" s="2969" t="str">
        <f t="shared" si="62"/>
        <v>SL75Sắt góc L75 x75 x8</v>
      </c>
    </row>
    <row r="2006" spans="1:11" hidden="1">
      <c r="A2006" s="2969" t="s">
        <v>4636</v>
      </c>
      <c r="B2006" s="3004"/>
      <c r="C2006" s="2969" t="s">
        <v>2431</v>
      </c>
      <c r="D2006" s="2968" t="s">
        <v>2243</v>
      </c>
      <c r="E2006" s="2968"/>
      <c r="F2006" s="2968">
        <v>50</v>
      </c>
      <c r="G2006" s="2968" t="s">
        <v>510</v>
      </c>
      <c r="H2006" s="2968"/>
      <c r="I2006" s="2968"/>
      <c r="J2006" s="2968" t="str">
        <f t="shared" si="63"/>
        <v>SL75kg</v>
      </c>
      <c r="K2006" s="2969" t="str">
        <f t="shared" si="62"/>
        <v>SL75kgSắt góc L75 x75 x8</v>
      </c>
    </row>
    <row r="2007" spans="1:11" hidden="1">
      <c r="A2007" s="3018" t="s">
        <v>7227</v>
      </c>
      <c r="B2007" s="3004"/>
      <c r="C2007" s="2969" t="s">
        <v>7306</v>
      </c>
      <c r="D2007" s="2968" t="s">
        <v>2547</v>
      </c>
      <c r="E2007" s="2968"/>
      <c r="F2007" s="2968">
        <v>50</v>
      </c>
      <c r="G2007" s="2968" t="s">
        <v>510</v>
      </c>
      <c r="H2007" s="2968"/>
      <c r="I2007" s="2968"/>
      <c r="J2007" s="2968" t="str">
        <f t="shared" si="63"/>
        <v>SL75-1660</v>
      </c>
      <c r="K2007" s="2969" t="str">
        <f t="shared" si="62"/>
        <v>SL75-1660Sắt góc L75 x75 x8 x</v>
      </c>
    </row>
    <row r="2008" spans="1:11" hidden="1">
      <c r="A2008" s="2969" t="s">
        <v>5158</v>
      </c>
      <c r="B2008" s="3004"/>
      <c r="C2008" s="2969" t="s">
        <v>5159</v>
      </c>
      <c r="D2008" s="2968" t="s">
        <v>5092</v>
      </c>
      <c r="E2008" s="2968"/>
      <c r="F2008" s="2968">
        <v>50</v>
      </c>
      <c r="G2008" s="2968" t="s">
        <v>510</v>
      </c>
      <c r="H2008" s="2968"/>
      <c r="I2008" s="2968"/>
      <c r="J2008" s="2968" t="str">
        <f t="shared" si="63"/>
        <v>SL7520</v>
      </c>
      <c r="K2008" s="2969" t="str">
        <f t="shared" si="62"/>
        <v>SL7520Sắt góc L75 x75 x8 x2000 (3 ốp)</v>
      </c>
    </row>
    <row r="2009" spans="1:11" hidden="1">
      <c r="A2009" s="3018" t="s">
        <v>4738</v>
      </c>
      <c r="B2009" s="3004"/>
      <c r="C2009" s="2969" t="s">
        <v>7306</v>
      </c>
      <c r="D2009" s="2968" t="s">
        <v>2547</v>
      </c>
      <c r="E2009" s="2968"/>
      <c r="F2009" s="2968">
        <v>50</v>
      </c>
      <c r="G2009" s="2968" t="s">
        <v>510</v>
      </c>
      <c r="H2009" s="2968"/>
      <c r="I2009" s="2968"/>
      <c r="J2009" s="2968" t="str">
        <f t="shared" si="63"/>
        <v>SL75-2200</v>
      </c>
      <c r="K2009" s="2969" t="str">
        <f t="shared" si="62"/>
        <v>SL75-2200Sắt góc L75 x75 x8 x</v>
      </c>
    </row>
    <row r="2010" spans="1:11" hidden="1">
      <c r="A2010" s="3018" t="s">
        <v>6332</v>
      </c>
      <c r="B2010" s="3004"/>
      <c r="C2010" s="2969" t="s">
        <v>7306</v>
      </c>
      <c r="D2010" s="2968" t="s">
        <v>2547</v>
      </c>
      <c r="E2010" s="2968"/>
      <c r="F2010" s="2968">
        <v>50</v>
      </c>
      <c r="G2010" s="2968" t="s">
        <v>510</v>
      </c>
      <c r="H2010" s="2968"/>
      <c r="I2010" s="2968"/>
      <c r="J2010" s="2968" t="str">
        <f t="shared" si="63"/>
        <v>SL75-2400</v>
      </c>
      <c r="K2010" s="2969" t="str">
        <f t="shared" si="62"/>
        <v>SL75-2400Sắt góc L75 x75 x8 x</v>
      </c>
    </row>
    <row r="2011" spans="1:11" hidden="1">
      <c r="A2011" s="3018" t="s">
        <v>6330</v>
      </c>
      <c r="B2011" s="3004"/>
      <c r="C2011" s="2969" t="s">
        <v>7306</v>
      </c>
      <c r="D2011" s="2968" t="s">
        <v>2547</v>
      </c>
      <c r="E2011" s="2968"/>
      <c r="F2011" s="2968">
        <v>50</v>
      </c>
      <c r="G2011" s="2968" t="s">
        <v>510</v>
      </c>
      <c r="H2011" s="2968"/>
      <c r="I2011" s="2968"/>
      <c r="J2011" s="2968" t="str">
        <f t="shared" si="63"/>
        <v>SL75-2600</v>
      </c>
      <c r="K2011" s="2969" t="str">
        <f t="shared" si="62"/>
        <v>SL75-2600Sắt góc L75 x75 x8 x</v>
      </c>
    </row>
    <row r="2012" spans="1:11" hidden="1">
      <c r="A2012" s="3018" t="s">
        <v>4737</v>
      </c>
      <c r="B2012" s="3004"/>
      <c r="C2012" s="2969" t="s">
        <v>4779</v>
      </c>
      <c r="D2012" s="2968" t="s">
        <v>2547</v>
      </c>
      <c r="E2012" s="2968"/>
      <c r="F2012" s="2968">
        <v>50</v>
      </c>
      <c r="G2012" s="2968" t="s">
        <v>510</v>
      </c>
      <c r="H2012" s="2968"/>
      <c r="I2012" s="2968"/>
      <c r="J2012" s="2968" t="str">
        <f t="shared" si="63"/>
        <v>SL75-2000</v>
      </c>
      <c r="K2012" s="2969" t="str">
        <f t="shared" si="62"/>
        <v>SL75-2000Sắt góc L75 x75 x8-2.200</v>
      </c>
    </row>
    <row r="2013" spans="1:11" hidden="1">
      <c r="A2013" s="3018" t="s">
        <v>4740</v>
      </c>
      <c r="B2013" s="3004"/>
      <c r="C2013" s="2969" t="s">
        <v>4781</v>
      </c>
      <c r="D2013" s="2968" t="s">
        <v>2547</v>
      </c>
      <c r="E2013" s="2968"/>
      <c r="F2013" s="2968">
        <v>50</v>
      </c>
      <c r="G2013" s="2968" t="s">
        <v>510</v>
      </c>
      <c r="H2013" s="2968"/>
      <c r="I2013" s="2968"/>
      <c r="J2013" s="2968" t="str">
        <f t="shared" si="63"/>
        <v>SL75-2100</v>
      </c>
      <c r="K2013" s="2969" t="str">
        <f t="shared" si="62"/>
        <v>SL75-2100Sắt góc L75 x75 x8-2100</v>
      </c>
    </row>
    <row r="2014" spans="1:11" hidden="1">
      <c r="A2014" s="2969" t="s">
        <v>5152</v>
      </c>
      <c r="B2014" s="3004"/>
      <c r="C2014" s="2969" t="s">
        <v>5153</v>
      </c>
      <c r="D2014" s="2968" t="s">
        <v>5092</v>
      </c>
      <c r="E2014" s="2968"/>
      <c r="F2014" s="2968">
        <v>50</v>
      </c>
      <c r="G2014" s="2968" t="s">
        <v>510</v>
      </c>
      <c r="H2014" s="2968"/>
      <c r="I2014" s="2968"/>
      <c r="J2014" s="2968" t="str">
        <f t="shared" si="63"/>
        <v>SL7516</v>
      </c>
      <c r="K2014" s="2969" t="str">
        <f t="shared" si="62"/>
        <v>SL7516Sắt góc L75 x75 x8x1660 (2 ốp)</v>
      </c>
    </row>
    <row r="2015" spans="1:11" hidden="1">
      <c r="A2015" s="2969" t="s">
        <v>5162</v>
      </c>
      <c r="B2015" s="3004"/>
      <c r="C2015" s="2969" t="s">
        <v>5163</v>
      </c>
      <c r="D2015" s="2968" t="s">
        <v>5092</v>
      </c>
      <c r="E2015" s="2968"/>
      <c r="F2015" s="2968">
        <v>50</v>
      </c>
      <c r="G2015" s="2968" t="s">
        <v>510</v>
      </c>
      <c r="H2015" s="2968"/>
      <c r="I2015" s="2968"/>
      <c r="J2015" s="2968" t="str">
        <f t="shared" si="63"/>
        <v>SL7521</v>
      </c>
      <c r="K2015" s="2969" t="str">
        <f t="shared" si="62"/>
        <v>SL7521Sắt góc L75 x75 x8x2100 (3 ốp)</v>
      </c>
    </row>
    <row r="2016" spans="1:11" hidden="1">
      <c r="A2016" s="2969" t="s">
        <v>5154</v>
      </c>
      <c r="B2016" s="3004"/>
      <c r="C2016" s="2969" t="s">
        <v>5155</v>
      </c>
      <c r="D2016" s="2968" t="s">
        <v>5092</v>
      </c>
      <c r="E2016" s="2968"/>
      <c r="F2016" s="2968">
        <v>50</v>
      </c>
      <c r="G2016" s="2968" t="s">
        <v>510</v>
      </c>
      <c r="H2016" s="2968"/>
      <c r="I2016" s="2968"/>
      <c r="J2016" s="2968" t="str">
        <f t="shared" si="63"/>
        <v>SL7522</v>
      </c>
      <c r="K2016" s="2969" t="str">
        <f t="shared" si="62"/>
        <v>SL7522Sắt góc L75 x75 x8x2200 (4 ốp)</v>
      </c>
    </row>
    <row r="2017" spans="1:11" hidden="1">
      <c r="A2017" s="2969" t="s">
        <v>5156</v>
      </c>
      <c r="B2017" s="3004"/>
      <c r="C2017" s="2969" t="s">
        <v>5157</v>
      </c>
      <c r="D2017" s="2968" t="s">
        <v>5092</v>
      </c>
      <c r="E2017" s="2968"/>
      <c r="F2017" s="2968">
        <v>50</v>
      </c>
      <c r="G2017" s="2968" t="s">
        <v>510</v>
      </c>
      <c r="H2017" s="2968"/>
      <c r="I2017" s="2968"/>
      <c r="J2017" s="2968" t="str">
        <f t="shared" si="63"/>
        <v>SL7524</v>
      </c>
      <c r="K2017" s="2969" t="str">
        <f t="shared" si="62"/>
        <v>SL7524Sắt góc L75 x75 x8x2400 (4 ốp)</v>
      </c>
    </row>
    <row r="2018" spans="1:11" hidden="1">
      <c r="A2018" s="2969" t="s">
        <v>5160</v>
      </c>
      <c r="B2018" s="3004"/>
      <c r="C2018" s="2969" t="s">
        <v>5161</v>
      </c>
      <c r="D2018" s="2968" t="s">
        <v>5092</v>
      </c>
      <c r="E2018" s="2968"/>
      <c r="F2018" s="2968">
        <v>50</v>
      </c>
      <c r="G2018" s="2968" t="s">
        <v>510</v>
      </c>
      <c r="H2018" s="2968"/>
      <c r="I2018" s="2968"/>
      <c r="J2018" s="2968" t="str">
        <f t="shared" si="63"/>
        <v>SL7526</v>
      </c>
      <c r="K2018" s="2969" t="str">
        <f t="shared" si="62"/>
        <v>SL7526Sắt góc L75 x75 x8x2600 (3 ốp)</v>
      </c>
    </row>
    <row r="2019" spans="1:11" hidden="1">
      <c r="A2019" s="2969" t="s">
        <v>5150</v>
      </c>
      <c r="B2019" s="3004"/>
      <c r="C2019" s="2969" t="s">
        <v>5151</v>
      </c>
      <c r="D2019" s="2968" t="s">
        <v>5092</v>
      </c>
      <c r="E2019" s="2968"/>
      <c r="F2019" s="2968">
        <v>50</v>
      </c>
      <c r="G2019" s="2968" t="s">
        <v>510</v>
      </c>
      <c r="H2019" s="2968"/>
      <c r="I2019" s="2968"/>
      <c r="J2019" s="2968" t="str">
        <f t="shared" si="63"/>
        <v>SL758</v>
      </c>
      <c r="K2019" s="2969" t="str">
        <f t="shared" si="62"/>
        <v>SL758Sắt góc L75 x75 x8x800 (1 ốp)</v>
      </c>
    </row>
    <row r="2020" spans="1:11" hidden="1">
      <c r="A2020" s="2969" t="s">
        <v>2003</v>
      </c>
      <c r="B2020" s="3004"/>
      <c r="C2020" s="2969" t="s">
        <v>4723</v>
      </c>
      <c r="D2020" s="2968" t="s">
        <v>2243</v>
      </c>
      <c r="E2020" s="2968"/>
      <c r="F2020" s="2968">
        <v>50</v>
      </c>
      <c r="G2020" s="2968" t="s">
        <v>510</v>
      </c>
      <c r="H2020" s="2968"/>
      <c r="I2020" s="2968"/>
      <c r="J2020" s="2968" t="str">
        <f t="shared" si="63"/>
        <v>SO10</v>
      </c>
      <c r="K2020" s="2969" t="str">
        <f t="shared" si="62"/>
        <v>SO10Sắt Ø10</v>
      </c>
    </row>
    <row r="2021" spans="1:11" hidden="1">
      <c r="A2021" s="2969" t="s">
        <v>1512</v>
      </c>
      <c r="B2021" s="3004"/>
      <c r="C2021" s="2969" t="s">
        <v>4724</v>
      </c>
      <c r="D2021" s="2968" t="s">
        <v>2243</v>
      </c>
      <c r="E2021" s="2968"/>
      <c r="F2021" s="2968">
        <v>50</v>
      </c>
      <c r="G2021" s="2968" t="s">
        <v>510</v>
      </c>
      <c r="H2021" s="2968"/>
      <c r="I2021" s="2968"/>
      <c r="J2021" s="2968" t="str">
        <f t="shared" si="63"/>
        <v>SO12</v>
      </c>
      <c r="K2021" s="2969" t="str">
        <f t="shared" si="62"/>
        <v>SO12Sắt Ø12</v>
      </c>
    </row>
    <row r="2022" spans="1:11" hidden="1">
      <c r="A2022" s="2969" t="s">
        <v>1431</v>
      </c>
      <c r="B2022" s="3004"/>
      <c r="C2022" s="2969" t="s">
        <v>4725</v>
      </c>
      <c r="D2022" s="2968" t="s">
        <v>2243</v>
      </c>
      <c r="E2022" s="2968"/>
      <c r="F2022" s="2968">
        <v>50</v>
      </c>
      <c r="G2022" s="2968" t="s">
        <v>510</v>
      </c>
      <c r="H2022" s="2968"/>
      <c r="I2022" s="2968"/>
      <c r="J2022" s="2968" t="str">
        <f t="shared" si="63"/>
        <v>SO16</v>
      </c>
      <c r="K2022" s="2969" t="str">
        <f t="shared" si="62"/>
        <v>SO16Sắt Ø16</v>
      </c>
    </row>
    <row r="2023" spans="1:11" hidden="1">
      <c r="A2023" s="2969" t="s">
        <v>1969</v>
      </c>
      <c r="B2023" s="3004"/>
      <c r="C2023" s="2969" t="s">
        <v>4726</v>
      </c>
      <c r="D2023" s="2968" t="s">
        <v>2243</v>
      </c>
      <c r="E2023" s="2968"/>
      <c r="F2023" s="2968">
        <v>50</v>
      </c>
      <c r="G2023" s="2968" t="s">
        <v>510</v>
      </c>
      <c r="H2023" s="2968"/>
      <c r="I2023" s="2968"/>
      <c r="J2023" s="2968" t="str">
        <f t="shared" si="63"/>
        <v>SO24</v>
      </c>
      <c r="K2023" s="2969" t="str">
        <f t="shared" si="62"/>
        <v>SO24Sắt Ø24</v>
      </c>
    </row>
    <row r="2024" spans="1:11" hidden="1">
      <c r="A2024" s="2969" t="s">
        <v>1968</v>
      </c>
      <c r="B2024" s="3004"/>
      <c r="C2024" s="2969" t="s">
        <v>4721</v>
      </c>
      <c r="D2024" s="2968" t="s">
        <v>2243</v>
      </c>
      <c r="E2024" s="2968"/>
      <c r="F2024" s="2968">
        <v>50</v>
      </c>
      <c r="G2024" s="2968" t="s">
        <v>510</v>
      </c>
      <c r="H2024" s="2968"/>
      <c r="I2024" s="2968"/>
      <c r="J2024" s="2968" t="str">
        <f t="shared" si="63"/>
        <v>SO6</v>
      </c>
      <c r="K2024" s="2969" t="str">
        <f t="shared" si="62"/>
        <v>SO6Sắt Ø6</v>
      </c>
    </row>
    <row r="2025" spans="1:11" hidden="1">
      <c r="A2025" s="2969" t="s">
        <v>1420</v>
      </c>
      <c r="B2025" s="3004"/>
      <c r="C2025" s="2969" t="s">
        <v>4722</v>
      </c>
      <c r="D2025" s="2968" t="s">
        <v>2243</v>
      </c>
      <c r="E2025" s="2968"/>
      <c r="F2025" s="2968">
        <v>50</v>
      </c>
      <c r="G2025" s="2968" t="s">
        <v>510</v>
      </c>
      <c r="H2025" s="2968"/>
      <c r="I2025" s="2968"/>
      <c r="J2025" s="2968" t="str">
        <f t="shared" si="63"/>
        <v>SO8</v>
      </c>
      <c r="K2025" s="2969" t="str">
        <f t="shared" si="62"/>
        <v>SO8Sắt Ø8</v>
      </c>
    </row>
    <row r="2026" spans="1:11" hidden="1">
      <c r="A2026" s="2969" t="s">
        <v>5090</v>
      </c>
      <c r="B2026" s="3004"/>
      <c r="C2026" s="2969" t="s">
        <v>5091</v>
      </c>
      <c r="D2026" s="2968" t="s">
        <v>5092</v>
      </c>
      <c r="E2026" s="2968"/>
      <c r="F2026" s="2968">
        <v>50</v>
      </c>
      <c r="G2026" s="2968" t="s">
        <v>510</v>
      </c>
      <c r="H2026" s="2968"/>
      <c r="I2026" s="2968"/>
      <c r="J2026" s="2968" t="str">
        <f t="shared" si="63"/>
        <v>FE D8-1,2M</v>
      </c>
      <c r="K2026" s="2969" t="str">
        <f t="shared" si="62"/>
        <v>FE D8-1,2MSắt tròn Þ8 thanh dài 1,2m (hàn bass 2 đầu, mạ kẽm)</v>
      </c>
    </row>
    <row r="2027" spans="1:11" hidden="1">
      <c r="A2027" s="2969" t="s">
        <v>5095</v>
      </c>
      <c r="B2027" s="3004"/>
      <c r="C2027" s="2969" t="s">
        <v>5096</v>
      </c>
      <c r="D2027" s="2968" t="s">
        <v>5092</v>
      </c>
      <c r="E2027" s="2968"/>
      <c r="F2027" s="2968">
        <v>50</v>
      </c>
      <c r="G2027" s="2968" t="s">
        <v>510</v>
      </c>
      <c r="H2027" s="2968"/>
      <c r="I2027" s="2968"/>
      <c r="J2027" s="2968" t="str">
        <f t="shared" si="63"/>
        <v>FE D8-2,5M</v>
      </c>
      <c r="K2027" s="2969" t="str">
        <f t="shared" si="62"/>
        <v>FE D8-2,5MSắt tròn Þ8 thanh dài 2,5m (hàn bass 2 đầu, mạ kẽm)</v>
      </c>
    </row>
    <row r="2028" spans="1:11" hidden="1">
      <c r="A2028" s="2969" t="s">
        <v>5093</v>
      </c>
      <c r="B2028" s="3004"/>
      <c r="C2028" s="2969" t="s">
        <v>5094</v>
      </c>
      <c r="D2028" s="2968" t="s">
        <v>5092</v>
      </c>
      <c r="E2028" s="2968"/>
      <c r="F2028" s="2968">
        <v>50</v>
      </c>
      <c r="G2028" s="2968" t="s">
        <v>510</v>
      </c>
      <c r="H2028" s="2968"/>
      <c r="I2028" s="2968"/>
      <c r="J2028" s="2968" t="str">
        <f t="shared" si="63"/>
        <v>FE D8-2M</v>
      </c>
      <c r="K2028" s="2969" t="str">
        <f t="shared" si="62"/>
        <v>FE D8-2MSắt tròn Þ8 thanh dài 2m (hàn bass 2 đầu, mạ kẽm)</v>
      </c>
    </row>
    <row r="2029" spans="1:11" hidden="1">
      <c r="A2029" s="2969" t="s">
        <v>5097</v>
      </c>
      <c r="B2029" s="3004"/>
      <c r="C2029" s="2969" t="s">
        <v>5098</v>
      </c>
      <c r="D2029" s="2968" t="s">
        <v>5092</v>
      </c>
      <c r="E2029" s="2968"/>
      <c r="F2029" s="2968">
        <v>50</v>
      </c>
      <c r="G2029" s="2968" t="s">
        <v>510</v>
      </c>
      <c r="H2029" s="2968"/>
      <c r="I2029" s="2968"/>
      <c r="J2029" s="2968" t="str">
        <f t="shared" si="63"/>
        <v>FE D8-3M</v>
      </c>
      <c r="K2029" s="2969" t="str">
        <f t="shared" si="62"/>
        <v>FE D8-3MSắt tròn Þ8 thanh dài 3m (hàn bass 2 đầu, mạ kẽm)</v>
      </c>
    </row>
    <row r="2030" spans="1:11" hidden="1">
      <c r="A2030" s="2969" t="s">
        <v>6434</v>
      </c>
      <c r="B2030" s="3004"/>
      <c r="C2030" s="3019" t="s">
        <v>6374</v>
      </c>
      <c r="D2030" s="2968"/>
      <c r="E2030" s="2968"/>
      <c r="F2030" s="2968">
        <v>2000</v>
      </c>
      <c r="G2030" s="2968" t="s">
        <v>510</v>
      </c>
      <c r="H2030" s="2968"/>
      <c r="I2030" s="2968"/>
      <c r="J2030" s="2968" t="str">
        <f t="shared" si="63"/>
        <v>STHH</v>
      </c>
      <c r="K2030" s="2969" t="str">
        <f t="shared" si="62"/>
        <v>STHHSố trụ trung thế hiện hữu</v>
      </c>
    </row>
    <row r="2031" spans="1:11" hidden="1">
      <c r="A2031" s="2969" t="s">
        <v>6435</v>
      </c>
      <c r="B2031" s="3004"/>
      <c r="C2031" s="2969" t="s">
        <v>6375</v>
      </c>
      <c r="D2031" s="2968"/>
      <c r="E2031" s="2968"/>
      <c r="F2031" s="2968">
        <v>2000</v>
      </c>
      <c r="G2031" s="2968" t="s">
        <v>510</v>
      </c>
      <c r="H2031" s="2968"/>
      <c r="I2031" s="2968"/>
      <c r="J2031" s="2968" t="str">
        <f t="shared" si="63"/>
        <v>STXDM</v>
      </c>
      <c r="K2031" s="2969" t="str">
        <f t="shared" si="62"/>
        <v>STXDMSố trụ trung thế NC, XDM</v>
      </c>
    </row>
    <row r="2032" spans="1:11" hidden="1">
      <c r="A2032" s="2969" t="s">
        <v>310</v>
      </c>
      <c r="B2032" s="3015" t="s">
        <v>1143</v>
      </c>
      <c r="C2032" s="3012" t="s">
        <v>3574</v>
      </c>
      <c r="D2032" s="2968" t="s">
        <v>1955</v>
      </c>
      <c r="E2032" s="2968"/>
      <c r="F2032" s="2968">
        <v>50</v>
      </c>
      <c r="G2032" s="2968" t="s">
        <v>510</v>
      </c>
      <c r="H2032" s="2968"/>
      <c r="I2032" s="2968"/>
      <c r="J2032" s="2968" t="str">
        <f t="shared" si="63"/>
        <v>SonBBH</v>
      </c>
      <c r="K2032" s="2969" t="str">
        <f t="shared" si="62"/>
        <v>SonBBHSơn biển báo hiệu</v>
      </c>
    </row>
    <row r="2033" spans="1:11" hidden="1">
      <c r="A2033" s="2969" t="s">
        <v>351</v>
      </c>
      <c r="B2033" s="2986" t="s">
        <v>2117</v>
      </c>
      <c r="C2033" s="3012" t="s">
        <v>3276</v>
      </c>
      <c r="D2033" s="2968" t="s">
        <v>2547</v>
      </c>
      <c r="E2033" s="2968"/>
      <c r="F2033" s="2968">
        <v>3000</v>
      </c>
      <c r="G2033" s="2968" t="s">
        <v>510</v>
      </c>
      <c r="H2033" s="2968"/>
      <c r="I2033" s="2968"/>
      <c r="J2033" s="2968" t="str">
        <f t="shared" si="63"/>
        <v>LBNH</v>
      </c>
      <c r="K2033" s="2969" t="str">
        <f t="shared" si="62"/>
        <v>LBNHSơn biển số- bảng nguy hiểm</v>
      </c>
    </row>
    <row r="2034" spans="1:11" hidden="1">
      <c r="A2034" s="2969" t="s">
        <v>852</v>
      </c>
      <c r="B2034" s="3004"/>
      <c r="C2034" s="2969" t="s">
        <v>2988</v>
      </c>
      <c r="D2034" s="2968" t="s">
        <v>2243</v>
      </c>
      <c r="E2034" s="2968"/>
      <c r="F2034" s="2968">
        <v>50</v>
      </c>
      <c r="G2034" s="2968" t="s">
        <v>510</v>
      </c>
      <c r="H2034" s="2968"/>
      <c r="I2034" s="2968"/>
      <c r="J2034" s="2968" t="str">
        <f t="shared" si="63"/>
        <v>SONCR</v>
      </c>
      <c r="K2034" s="2969" t="str">
        <f t="shared" si="62"/>
        <v>SONCRSơn chống rỉ</v>
      </c>
    </row>
    <row r="2035" spans="1:11" hidden="1">
      <c r="A2035" s="2969" t="s">
        <v>1636</v>
      </c>
      <c r="B2035" s="3015" t="s">
        <v>1143</v>
      </c>
      <c r="C2035" s="3012" t="s">
        <v>3573</v>
      </c>
      <c r="D2035" s="2968" t="s">
        <v>1955</v>
      </c>
      <c r="E2035" s="2968"/>
      <c r="F2035" s="2968">
        <v>50</v>
      </c>
      <c r="G2035" s="2968" t="s">
        <v>510</v>
      </c>
      <c r="H2035" s="2968"/>
      <c r="I2035" s="2968"/>
      <c r="J2035" s="2968" t="str">
        <f t="shared" si="63"/>
        <v>SonCBH</v>
      </c>
      <c r="K2035" s="2969" t="str">
        <f t="shared" si="62"/>
        <v>SonCBHSơn cột báo hiệu</v>
      </c>
    </row>
    <row r="2036" spans="1:11" hidden="1">
      <c r="A2036" s="2969" t="s">
        <v>110</v>
      </c>
      <c r="B2036" s="3004"/>
      <c r="C2036" s="2969" t="s">
        <v>2987</v>
      </c>
      <c r="D2036" s="2968" t="s">
        <v>2243</v>
      </c>
      <c r="E2036" s="2968"/>
      <c r="F2036" s="2968">
        <v>50</v>
      </c>
      <c r="G2036" s="2968" t="s">
        <v>510</v>
      </c>
      <c r="H2036" s="2968"/>
      <c r="I2036" s="2968"/>
      <c r="J2036" s="2968" t="str">
        <f t="shared" si="63"/>
        <v>SON</v>
      </c>
      <c r="K2036" s="2969" t="str">
        <f t="shared" si="62"/>
        <v>SONSơn màu</v>
      </c>
    </row>
    <row r="2037" spans="1:11" hidden="1">
      <c r="A2037" s="2969" t="s">
        <v>111</v>
      </c>
      <c r="B2037" s="3004"/>
      <c r="C2037" s="2969" t="s">
        <v>2932</v>
      </c>
      <c r="D2037" s="2968" t="s">
        <v>2547</v>
      </c>
      <c r="E2037" s="2968"/>
      <c r="F2037" s="2968">
        <v>50</v>
      </c>
      <c r="G2037" s="2968" t="s">
        <v>510</v>
      </c>
      <c r="H2037" s="2968"/>
      <c r="I2037" s="2968"/>
      <c r="J2037" s="2968" t="str">
        <f t="shared" si="63"/>
        <v>SN</v>
      </c>
      <c r="K2037" s="2969" t="str">
        <f t="shared" si="62"/>
        <v>SNSứ chằng</v>
      </c>
    </row>
    <row r="2038" spans="1:11" hidden="1">
      <c r="A2038" s="2969" t="s">
        <v>7228</v>
      </c>
      <c r="B2038" s="3004"/>
      <c r="C2038" s="2969" t="s">
        <v>7229</v>
      </c>
      <c r="D2038" s="2968" t="s">
        <v>2547</v>
      </c>
      <c r="E2038" s="2968"/>
      <c r="F2038" s="2968">
        <v>50</v>
      </c>
      <c r="G2038" s="2968" t="s">
        <v>510</v>
      </c>
      <c r="H2038" s="2968"/>
      <c r="I2038" s="2968"/>
      <c r="J2038" s="2968" t="str">
        <f t="shared" si="63"/>
        <v>SCL</v>
      </c>
      <c r="K2038" s="2969" t="str">
        <f t="shared" si="62"/>
        <v>SCLSứ chằng lớn</v>
      </c>
    </row>
    <row r="2039" spans="1:11" hidden="1">
      <c r="A2039" s="2969" t="s">
        <v>7230</v>
      </c>
      <c r="B2039" s="3004"/>
      <c r="C2039" s="2969" t="s">
        <v>7231</v>
      </c>
      <c r="D2039" s="2968" t="s">
        <v>2547</v>
      </c>
      <c r="E2039" s="2968"/>
      <c r="F2039" s="2968">
        <v>50</v>
      </c>
      <c r="G2039" s="2968" t="s">
        <v>510</v>
      </c>
      <c r="H2039" s="2968"/>
      <c r="I2039" s="2968"/>
      <c r="J2039" s="2968" t="str">
        <f t="shared" si="63"/>
        <v>SCN</v>
      </c>
      <c r="K2039" s="2969" t="str">
        <f t="shared" si="62"/>
        <v>SCNSứ chằng nhỏ</v>
      </c>
    </row>
    <row r="2040" spans="1:11" hidden="1">
      <c r="A2040" s="2969" t="s">
        <v>2224</v>
      </c>
      <c r="B2040" s="3015" t="s">
        <v>2225</v>
      </c>
      <c r="C2040" s="2969" t="s">
        <v>3435</v>
      </c>
      <c r="D2040" s="2968" t="s">
        <v>2433</v>
      </c>
      <c r="E2040" s="2968"/>
      <c r="F2040" s="2968">
        <v>50</v>
      </c>
      <c r="G2040" s="2968" t="s">
        <v>510</v>
      </c>
      <c r="H2040" s="2968"/>
      <c r="I2040" s="2968"/>
      <c r="J2040" s="2968" t="str">
        <f t="shared" si="63"/>
        <v>SDTC</v>
      </c>
      <c r="K2040" s="2969" t="str">
        <f t="shared" si="62"/>
        <v>SDTCSứ đỡ thanh cái 24kV</v>
      </c>
    </row>
    <row r="2041" spans="1:11" hidden="1">
      <c r="A2041" s="2969" t="s">
        <v>693</v>
      </c>
      <c r="B2041" s="3004"/>
      <c r="C2041" s="2969" t="s">
        <v>2928</v>
      </c>
      <c r="D2041" s="2968" t="s">
        <v>2547</v>
      </c>
      <c r="E2041" s="2968"/>
      <c r="F2041" s="2968">
        <v>5</v>
      </c>
      <c r="G2041" s="2968" t="s">
        <v>355</v>
      </c>
      <c r="H2041" s="2968"/>
      <c r="I2041" s="2968"/>
      <c r="J2041" s="2968" t="str">
        <f t="shared" si="63"/>
        <v>SD</v>
      </c>
      <c r="K2041" s="2969" t="str">
        <f t="shared" si="62"/>
        <v xml:space="preserve">SDSứ đứng 24KV </v>
      </c>
    </row>
    <row r="2042" spans="1:11" hidden="1">
      <c r="A2042" s="2969" t="s">
        <v>730</v>
      </c>
      <c r="B2042" s="3004"/>
      <c r="C2042" s="2969" t="s">
        <v>2931</v>
      </c>
      <c r="D2042" s="2968" t="s">
        <v>2547</v>
      </c>
      <c r="E2042" s="2968"/>
      <c r="F2042" s="2968">
        <v>5</v>
      </c>
      <c r="G2042" s="2968" t="s">
        <v>355</v>
      </c>
      <c r="H2042" s="2968"/>
      <c r="I2042" s="2968"/>
      <c r="J2042" s="2968" t="str">
        <f t="shared" si="63"/>
        <v>SDCM</v>
      </c>
      <c r="K2042" s="2969" t="str">
        <f t="shared" si="62"/>
        <v>SDCMSứ đứng 24KV chống nhiễm mặn</v>
      </c>
    </row>
    <row r="2043" spans="1:11" hidden="1">
      <c r="A2043" s="2969" t="s">
        <v>4823</v>
      </c>
      <c r="B2043" s="3004"/>
      <c r="C2043" s="2969" t="s">
        <v>4788</v>
      </c>
      <c r="D2043" s="2968" t="s">
        <v>2547</v>
      </c>
      <c r="E2043" s="2968"/>
      <c r="F2043" s="2968">
        <v>5</v>
      </c>
      <c r="G2043" s="2968" t="s">
        <v>355</v>
      </c>
      <c r="H2043" s="2968"/>
      <c r="I2043" s="2968"/>
      <c r="J2043" s="2968" t="str">
        <f t="shared" si="63"/>
        <v>SDC</v>
      </c>
      <c r="K2043" s="2969" t="str">
        <f t="shared" si="62"/>
        <v>SDCSứ đứng 24KV ĐR 540mm (bọc chì)</v>
      </c>
    </row>
    <row r="2044" spans="1:11" hidden="1">
      <c r="A2044" s="2969" t="s">
        <v>997</v>
      </c>
      <c r="B2044" s="3004"/>
      <c r="C2044" s="2969" t="s">
        <v>2929</v>
      </c>
      <c r="D2044" s="2968" t="s">
        <v>2433</v>
      </c>
      <c r="E2044" s="2968"/>
      <c r="F2044" s="2968">
        <v>5</v>
      </c>
      <c r="G2044" s="2968" t="s">
        <v>355</v>
      </c>
      <c r="H2044" s="2968"/>
      <c r="I2044" s="2968"/>
      <c r="J2044" s="2968" t="str">
        <f t="shared" si="63"/>
        <v>SD35</v>
      </c>
      <c r="K2044" s="2969" t="str">
        <f t="shared" si="62"/>
        <v>SD35Sứ đứng 35KV + ty</v>
      </c>
    </row>
    <row r="2045" spans="1:11" hidden="1">
      <c r="A2045" s="2969" t="s">
        <v>729</v>
      </c>
      <c r="B2045" s="3004"/>
      <c r="C2045" s="2969" t="s">
        <v>2930</v>
      </c>
      <c r="D2045" s="2968" t="s">
        <v>2433</v>
      </c>
      <c r="E2045" s="2968"/>
      <c r="F2045" s="2968">
        <v>5</v>
      </c>
      <c r="G2045" s="2968" t="s">
        <v>355</v>
      </c>
      <c r="H2045" s="2968"/>
      <c r="I2045" s="2968"/>
      <c r="J2045" s="2968" t="str">
        <f t="shared" si="63"/>
        <v>SDI35</v>
      </c>
      <c r="K2045" s="2969" t="str">
        <f t="shared" si="62"/>
        <v>SDI35Sứ đứng 35KV + ty sứ đỉnh</v>
      </c>
    </row>
    <row r="2046" spans="1:11" hidden="1">
      <c r="A2046" s="2969" t="s">
        <v>2123</v>
      </c>
      <c r="B2046" s="3004"/>
      <c r="C2046" s="2969" t="s">
        <v>2933</v>
      </c>
      <c r="D2046" s="2968" t="s">
        <v>2547</v>
      </c>
      <c r="E2046" s="2968"/>
      <c r="F2046" s="2968">
        <v>50</v>
      </c>
      <c r="G2046" s="2968" t="s">
        <v>355</v>
      </c>
      <c r="H2046" s="2968"/>
      <c r="I2046" s="2968"/>
      <c r="J2046" s="2968" t="str">
        <f t="shared" si="63"/>
        <v>SOC</v>
      </c>
      <c r="K2046" s="2969" t="str">
        <f t="shared" si="62"/>
        <v xml:space="preserve">SOCSứ ống chỉ </v>
      </c>
    </row>
    <row r="2047" spans="1:11" hidden="1">
      <c r="A2047" s="2969" t="s">
        <v>536</v>
      </c>
      <c r="B2047" s="3004"/>
      <c r="C2047" s="2969" t="s">
        <v>2938</v>
      </c>
      <c r="D2047" s="2968" t="s">
        <v>2547</v>
      </c>
      <c r="E2047" s="2968"/>
      <c r="F2047" s="2968">
        <v>50</v>
      </c>
      <c r="G2047" s="2968" t="s">
        <v>355</v>
      </c>
      <c r="H2047" s="2968"/>
      <c r="I2047" s="2968"/>
      <c r="J2047" s="2968" t="str">
        <f t="shared" si="63"/>
        <v>Stply-HT</v>
      </c>
      <c r="K2047" s="2969" t="str">
        <f t="shared" si="62"/>
        <v>Stply-HTSứ polymer cách điện hạ thế thanh cái tủ</v>
      </c>
    </row>
    <row r="2048" spans="1:11" hidden="1">
      <c r="A2048" s="2969" t="s">
        <v>556</v>
      </c>
      <c r="B2048" s="3004"/>
      <c r="C2048" s="2969" t="s">
        <v>2936</v>
      </c>
      <c r="D2048" s="2968" t="s">
        <v>2935</v>
      </c>
      <c r="E2048" s="2968"/>
      <c r="F2048" s="2968">
        <v>50</v>
      </c>
      <c r="G2048" s="2968" t="s">
        <v>355</v>
      </c>
      <c r="H2048" s="2968"/>
      <c r="I2048" s="2968"/>
      <c r="J2048" s="2968" t="str">
        <f t="shared" si="63"/>
        <v>ST120</v>
      </c>
      <c r="K2048" s="2969" t="str">
        <f t="shared" si="62"/>
        <v>ST120Sứ treo loại 120kN</v>
      </c>
    </row>
    <row r="2049" spans="1:11" hidden="1">
      <c r="A2049" s="2969" t="s">
        <v>112</v>
      </c>
      <c r="B2049" s="3004"/>
      <c r="C2049" s="2969" t="s">
        <v>2934</v>
      </c>
      <c r="D2049" s="2968" t="s">
        <v>2935</v>
      </c>
      <c r="E2049" s="2968"/>
      <c r="F2049" s="2968">
        <v>50</v>
      </c>
      <c r="G2049" s="2968" t="s">
        <v>355</v>
      </c>
      <c r="H2049" s="2968"/>
      <c r="I2049" s="2968"/>
      <c r="J2049" s="2968" t="str">
        <f t="shared" si="63"/>
        <v>ST</v>
      </c>
      <c r="K2049" s="2969" t="str">
        <f t="shared" si="62"/>
        <v>STSứ treo loại 70kN</v>
      </c>
    </row>
    <row r="2050" spans="1:11" hidden="1">
      <c r="A2050" s="2969" t="s">
        <v>1025</v>
      </c>
      <c r="B2050" s="3004"/>
      <c r="C2050" s="2969" t="s">
        <v>2937</v>
      </c>
      <c r="D2050" s="2968" t="s">
        <v>2506</v>
      </c>
      <c r="E2050" s="2968"/>
      <c r="F2050" s="2968">
        <v>5</v>
      </c>
      <c r="G2050" s="2968" t="s">
        <v>355</v>
      </c>
      <c r="H2050" s="2968"/>
      <c r="I2050" s="2968"/>
      <c r="J2050" s="2968" t="str">
        <f t="shared" si="63"/>
        <v>STply</v>
      </c>
      <c r="K2050" s="2969" t="str">
        <f t="shared" si="62"/>
        <v>STplySứ treo polymer</v>
      </c>
    </row>
    <row r="2051" spans="1:11" hidden="1">
      <c r="A2051" s="2969" t="s">
        <v>1249</v>
      </c>
      <c r="B2051" s="3016" t="s">
        <v>1250</v>
      </c>
      <c r="C2051" s="2969" t="s">
        <v>3433</v>
      </c>
      <c r="D2051" s="2968" t="s">
        <v>2547</v>
      </c>
      <c r="E2051" s="2968"/>
      <c r="F2051" s="2968">
        <v>50</v>
      </c>
      <c r="G2051" s="2968" t="s">
        <v>355</v>
      </c>
      <c r="H2051" s="2968"/>
      <c r="I2051" s="2968"/>
      <c r="J2051" s="2968" t="str">
        <f t="shared" si="63"/>
        <v>SXTg</v>
      </c>
      <c r="K2051" s="2969" t="str">
        <f t="shared" ref="K2051:K2114" si="64">A2051&amp;C2051</f>
        <v>SXTgSứ xuyên tường 24kV</v>
      </c>
    </row>
    <row r="2052" spans="1:11" hidden="1">
      <c r="A2052" s="2969" t="s">
        <v>130</v>
      </c>
      <c r="B2052" s="3004" t="s">
        <v>904</v>
      </c>
      <c r="C2052" s="2969" t="s">
        <v>2857</v>
      </c>
      <c r="D2052" s="2968" t="s">
        <v>1955</v>
      </c>
      <c r="E2052" s="2968"/>
      <c r="F2052" s="2968">
        <v>50</v>
      </c>
      <c r="G2052" s="2968" t="s">
        <v>510</v>
      </c>
      <c r="H2052" s="2968"/>
      <c r="I2052" s="2968"/>
      <c r="J2052" s="2968" t="str">
        <f t="shared" ref="J2052:J2115" si="65">A2052</f>
        <v>BTNN-TL min</v>
      </c>
      <c r="K2052" s="2969" t="str">
        <f t="shared" si="64"/>
        <v>BTNN-TL minTái lập bêtông nhựa nóng hạt mịn 3mm</v>
      </c>
    </row>
    <row r="2053" spans="1:11" hidden="1">
      <c r="A2053" s="2969" t="s">
        <v>1213</v>
      </c>
      <c r="B2053" s="3004" t="s">
        <v>2028</v>
      </c>
      <c r="C2053" s="2969" t="s">
        <v>2856</v>
      </c>
      <c r="D2053" s="2968" t="s">
        <v>1955</v>
      </c>
      <c r="E2053" s="2968"/>
      <c r="F2053" s="2968">
        <v>50</v>
      </c>
      <c r="G2053" s="2968" t="s">
        <v>510</v>
      </c>
      <c r="H2053" s="2968"/>
      <c r="I2053" s="2968"/>
      <c r="J2053" s="2968" t="str">
        <f t="shared" si="65"/>
        <v>BTNN-TL</v>
      </c>
      <c r="K2053" s="2969" t="str">
        <f t="shared" si="64"/>
        <v>BTNN-TLTái lập bêtông nhựa nóng hạt thô 7mm</v>
      </c>
    </row>
    <row r="2054" spans="1:11" hidden="1">
      <c r="A2054" s="2969" t="s">
        <v>619</v>
      </c>
      <c r="B2054" s="2986"/>
      <c r="C2054" s="3012" t="s">
        <v>3544</v>
      </c>
      <c r="D2054" s="2968" t="s">
        <v>2547</v>
      </c>
      <c r="E2054" s="2968"/>
      <c r="F2054" s="2968">
        <v>50</v>
      </c>
      <c r="G2054" s="2968" t="s">
        <v>510</v>
      </c>
      <c r="H2054" s="2968"/>
      <c r="I2054" s="2968"/>
      <c r="J2054" s="2968" t="str">
        <f t="shared" si="65"/>
        <v>BAKE6200</v>
      </c>
      <c r="K2054" s="2969" t="str">
        <f t="shared" si="64"/>
        <v>BAKE6200Tấm bakelit hay nhựa cách điện 600V (200x60x6)</v>
      </c>
    </row>
    <row r="2055" spans="1:11" hidden="1">
      <c r="A2055" s="2969" t="s">
        <v>1672</v>
      </c>
      <c r="B2055" s="2986"/>
      <c r="C2055" s="2969" t="s">
        <v>3003</v>
      </c>
      <c r="D2055" s="2968" t="s">
        <v>1955</v>
      </c>
      <c r="E2055" s="2968"/>
      <c r="F2055" s="2968">
        <v>50</v>
      </c>
      <c r="G2055" s="2968" t="s">
        <v>510</v>
      </c>
      <c r="H2055" s="2968"/>
      <c r="I2055" s="2968"/>
      <c r="J2055" s="2968" t="str">
        <f t="shared" si="65"/>
        <v>Nilong</v>
      </c>
      <c r="K2055" s="2969" t="str">
        <f t="shared" si="64"/>
        <v>NilongTấm nilông màu cảnh báo</v>
      </c>
    </row>
    <row r="2056" spans="1:11" hidden="1">
      <c r="A2056" s="2969" t="s">
        <v>7232</v>
      </c>
      <c r="B2056" s="3004"/>
      <c r="C2056" s="2969" t="s">
        <v>7233</v>
      </c>
      <c r="D2056" s="2968" t="s">
        <v>2433</v>
      </c>
      <c r="E2056" s="2968"/>
      <c r="F2056" s="2968">
        <v>50</v>
      </c>
      <c r="G2056" s="2968" t="s">
        <v>510</v>
      </c>
      <c r="H2056" s="2968"/>
      <c r="I2056" s="2968"/>
      <c r="J2056" s="2968" t="str">
        <f t="shared" si="65"/>
        <v>TAN14</v>
      </c>
      <c r="K2056" s="2969" t="str">
        <f t="shared" si="64"/>
        <v>TAN14Tán M14</v>
      </c>
    </row>
    <row r="2057" spans="1:11" hidden="1">
      <c r="A2057" s="2969" t="s">
        <v>7234</v>
      </c>
      <c r="B2057" s="3004"/>
      <c r="C2057" s="2969" t="s">
        <v>7235</v>
      </c>
      <c r="D2057" s="2968" t="s">
        <v>2547</v>
      </c>
      <c r="E2057" s="2968"/>
      <c r="F2057" s="2968">
        <v>50</v>
      </c>
      <c r="G2057" s="2968" t="s">
        <v>510</v>
      </c>
      <c r="H2057" s="2968"/>
      <c r="I2057" s="2968"/>
      <c r="J2057" s="2968" t="str">
        <f t="shared" si="65"/>
        <v>TAN16</v>
      </c>
      <c r="K2057" s="2969" t="str">
        <f t="shared" si="64"/>
        <v>TAN16Tán M16</v>
      </c>
    </row>
    <row r="2058" spans="1:11" hidden="1">
      <c r="A2058" s="2969" t="s">
        <v>7236</v>
      </c>
      <c r="B2058" s="3004"/>
      <c r="C2058" s="2969" t="s">
        <v>7237</v>
      </c>
      <c r="D2058" s="2968" t="s">
        <v>2547</v>
      </c>
      <c r="E2058" s="2968"/>
      <c r="F2058" s="2968">
        <v>50</v>
      </c>
      <c r="G2058" s="2968" t="s">
        <v>510</v>
      </c>
      <c r="H2058" s="2968"/>
      <c r="I2058" s="2968"/>
      <c r="J2058" s="2968" t="str">
        <f t="shared" si="65"/>
        <v>TAN22</v>
      </c>
      <c r="K2058" s="2969" t="str">
        <f t="shared" si="64"/>
        <v>TAN22Tán M22</v>
      </c>
    </row>
    <row r="2059" spans="1:11" hidden="1">
      <c r="A2059" s="2969" t="s">
        <v>124</v>
      </c>
      <c r="B2059" s="2986" t="s">
        <v>1770</v>
      </c>
      <c r="C2059" s="2969" t="s">
        <v>3438</v>
      </c>
      <c r="D2059" s="2968" t="s">
        <v>1818</v>
      </c>
      <c r="E2059" s="2968"/>
      <c r="F2059" s="2968">
        <v>50</v>
      </c>
      <c r="G2059" s="2968" t="s">
        <v>510</v>
      </c>
      <c r="H2059" s="2968"/>
      <c r="I2059" s="2968"/>
      <c r="J2059" s="2968" t="str">
        <f t="shared" si="65"/>
        <v>TC420</v>
      </c>
      <c r="K2059" s="2969" t="str">
        <f t="shared" si="64"/>
        <v>TC420Thanh cái đồng 4x20</v>
      </c>
    </row>
    <row r="2060" spans="1:11" hidden="1">
      <c r="A2060" s="2969" t="s">
        <v>123</v>
      </c>
      <c r="B2060" s="2986" t="s">
        <v>1971</v>
      </c>
      <c r="C2060" s="2969" t="s">
        <v>3437</v>
      </c>
      <c r="D2060" s="2968" t="s">
        <v>1818</v>
      </c>
      <c r="E2060" s="2968"/>
      <c r="F2060" s="2968">
        <v>50</v>
      </c>
      <c r="G2060" s="2968" t="s">
        <v>510</v>
      </c>
      <c r="H2060" s="2968"/>
      <c r="I2060" s="2968"/>
      <c r="J2060" s="2968" t="str">
        <f t="shared" si="65"/>
        <v>TC430</v>
      </c>
      <c r="K2060" s="2969" t="str">
        <f t="shared" si="64"/>
        <v>TC430Thanh cái đồng 4x30</v>
      </c>
    </row>
    <row r="2061" spans="1:11" hidden="1">
      <c r="A2061" s="2969" t="s">
        <v>1970</v>
      </c>
      <c r="B2061" s="2986" t="s">
        <v>1971</v>
      </c>
      <c r="C2061" s="2969" t="s">
        <v>3436</v>
      </c>
      <c r="D2061" s="2968" t="s">
        <v>1818</v>
      </c>
      <c r="E2061" s="2968"/>
      <c r="F2061" s="2968">
        <v>50</v>
      </c>
      <c r="G2061" s="2968" t="s">
        <v>510</v>
      </c>
      <c r="H2061" s="2968"/>
      <c r="I2061" s="2968"/>
      <c r="J2061" s="2968" t="str">
        <f t="shared" si="65"/>
        <v>TC450</v>
      </c>
      <c r="K2061" s="2969" t="str">
        <f t="shared" si="64"/>
        <v>TC450Thanh cái đồng 4x50</v>
      </c>
    </row>
    <row r="2062" spans="1:11" hidden="1">
      <c r="A2062" s="2969" t="s">
        <v>7238</v>
      </c>
      <c r="B2062" s="3004"/>
      <c r="C2062" s="2969" t="s">
        <v>7239</v>
      </c>
      <c r="D2062" s="2968" t="s">
        <v>2547</v>
      </c>
      <c r="E2062" s="2968"/>
      <c r="F2062" s="2968">
        <v>50</v>
      </c>
      <c r="G2062" s="2968" t="s">
        <v>510</v>
      </c>
      <c r="H2062" s="2968"/>
      <c r="I2062" s="2968"/>
      <c r="J2062" s="2968" t="str">
        <f t="shared" si="65"/>
        <v>CCOM800</v>
      </c>
      <c r="K2062" s="2969" t="str">
        <f t="shared" si="64"/>
        <v>CCOM800Thanh chống 10x40x710</v>
      </c>
    </row>
    <row r="2063" spans="1:11" hidden="1">
      <c r="A2063" s="2969" t="s">
        <v>4651</v>
      </c>
      <c r="B2063" s="3004"/>
      <c r="C2063" s="2969" t="s">
        <v>4785</v>
      </c>
      <c r="D2063" s="2968" t="s">
        <v>2547</v>
      </c>
      <c r="E2063" s="2968"/>
      <c r="F2063" s="2968">
        <v>50</v>
      </c>
      <c r="G2063" s="2968" t="s">
        <v>510</v>
      </c>
      <c r="H2063" s="2968"/>
      <c r="I2063" s="2968"/>
      <c r="J2063" s="2968" t="str">
        <f t="shared" si="65"/>
        <v>com40x10x720</v>
      </c>
      <c r="K2063" s="2969" t="str">
        <f t="shared" si="64"/>
        <v>com40x10x720Thanh chống Composite 10x40x720</v>
      </c>
    </row>
    <row r="2064" spans="1:11" hidden="1">
      <c r="A2064" s="2969" t="s">
        <v>7240</v>
      </c>
      <c r="B2064" s="3004"/>
      <c r="C2064" s="2969" t="s">
        <v>7241</v>
      </c>
      <c r="D2064" s="2968" t="s">
        <v>2547</v>
      </c>
      <c r="E2064" s="2968"/>
      <c r="F2064" s="2968">
        <v>50</v>
      </c>
      <c r="G2064" s="2968" t="s">
        <v>510</v>
      </c>
      <c r="H2064" s="2968"/>
      <c r="I2064" s="2968"/>
      <c r="J2064" s="2968" t="str">
        <f t="shared" si="65"/>
        <v>CCOM2400</v>
      </c>
      <c r="K2064" s="2969" t="str">
        <f t="shared" si="64"/>
        <v>CCOM2400Thanh chống Composite dẹp 10x40x920</v>
      </c>
    </row>
    <row r="2065" spans="1:11" hidden="1">
      <c r="A2065" s="2969" t="s">
        <v>4612</v>
      </c>
      <c r="B2065" s="3004"/>
      <c r="C2065" s="2969" t="s">
        <v>4613</v>
      </c>
      <c r="D2065" s="2968" t="s">
        <v>2547</v>
      </c>
      <c r="E2065" s="2968"/>
      <c r="F2065" s="2968">
        <v>50</v>
      </c>
      <c r="G2065" s="2968" t="s">
        <v>510</v>
      </c>
      <c r="H2065" s="2968"/>
      <c r="I2065" s="2968"/>
      <c r="J2065" s="2968" t="str">
        <f t="shared" si="65"/>
        <v>TC1150</v>
      </c>
      <c r="K2065" s="2969" t="str">
        <f t="shared" si="64"/>
        <v>TC1150Thanh chống đà  1150</v>
      </c>
    </row>
    <row r="2066" spans="1:11" hidden="1">
      <c r="A2066" s="2969" t="s">
        <v>4610</v>
      </c>
      <c r="B2066" s="3004"/>
      <c r="C2066" s="2969" t="s">
        <v>4611</v>
      </c>
      <c r="D2066" s="2968" t="s">
        <v>2547</v>
      </c>
      <c r="E2066" s="2968"/>
      <c r="F2066" s="2968">
        <v>50</v>
      </c>
      <c r="G2066" s="2968" t="s">
        <v>510</v>
      </c>
      <c r="H2066" s="2968"/>
      <c r="I2066" s="2968"/>
      <c r="J2066" s="2968" t="str">
        <f t="shared" si="65"/>
        <v>TC810</v>
      </c>
      <c r="K2066" s="2969" t="str">
        <f t="shared" si="64"/>
        <v>TC810Thanh chống đà  810</v>
      </c>
    </row>
    <row r="2067" spans="1:11" hidden="1">
      <c r="A2067" s="2969" t="s">
        <v>4608</v>
      </c>
      <c r="B2067" s="3004"/>
      <c r="C2067" s="2969" t="s">
        <v>4609</v>
      </c>
      <c r="D2067" s="2968" t="s">
        <v>2547</v>
      </c>
      <c r="E2067" s="2968"/>
      <c r="F2067" s="2968">
        <v>50</v>
      </c>
      <c r="G2067" s="2968" t="s">
        <v>510</v>
      </c>
      <c r="H2067" s="2968"/>
      <c r="I2067" s="2968"/>
      <c r="J2067" s="2968" t="str">
        <f t="shared" si="65"/>
        <v>TC920</v>
      </c>
      <c r="K2067" s="2969" t="str">
        <f t="shared" si="64"/>
        <v>TC920Thanh chống đà 920</v>
      </c>
    </row>
    <row r="2068" spans="1:11" hidden="1">
      <c r="A2068" s="2969" t="s">
        <v>4883</v>
      </c>
      <c r="B2068" s="3004"/>
      <c r="C2068" s="2969" t="s">
        <v>4890</v>
      </c>
      <c r="D2068" s="2968" t="s">
        <v>4577</v>
      </c>
      <c r="E2068" s="2968"/>
      <c r="F2068" s="2968">
        <v>50</v>
      </c>
      <c r="G2068" s="2968" t="s">
        <v>510</v>
      </c>
      <c r="H2068" s="2968"/>
      <c r="I2068" s="2968"/>
      <c r="J2068" s="2968" t="str">
        <f t="shared" si="65"/>
        <v>TCX</v>
      </c>
      <c r="K2068" s="2969" t="str">
        <f t="shared" si="64"/>
        <v>TCXThanh chống đà Compoxit dẹp 10x40x920 cho đà 2,4m</v>
      </c>
    </row>
    <row r="2069" spans="1:11" hidden="1">
      <c r="A2069" s="2969" t="s">
        <v>4578</v>
      </c>
      <c r="B2069" s="3004"/>
      <c r="C2069" s="2969" t="s">
        <v>4579</v>
      </c>
      <c r="D2069" s="2968" t="s">
        <v>4577</v>
      </c>
      <c r="E2069" s="2968"/>
      <c r="F2069" s="2968">
        <v>50</v>
      </c>
      <c r="G2069" s="2968" t="s">
        <v>510</v>
      </c>
      <c r="H2069" s="2968"/>
      <c r="I2069" s="2968"/>
      <c r="J2069" s="2968" t="str">
        <f t="shared" si="65"/>
        <v>t81</v>
      </c>
      <c r="K2069" s="2969" t="str">
        <f t="shared" si="64"/>
        <v>t81Thanh chống đà sắt góc L50x50x5 dài 0,81m</v>
      </c>
    </row>
    <row r="2070" spans="1:11" hidden="1">
      <c r="A2070" s="2969" t="s">
        <v>4582</v>
      </c>
      <c r="B2070" s="3004"/>
      <c r="C2070" s="2969" t="s">
        <v>4583</v>
      </c>
      <c r="D2070" s="2968" t="s">
        <v>4577</v>
      </c>
      <c r="E2070" s="2968"/>
      <c r="F2070" s="2968">
        <v>50</v>
      </c>
      <c r="G2070" s="2968" t="s">
        <v>510</v>
      </c>
      <c r="H2070" s="2968"/>
      <c r="I2070" s="2968"/>
      <c r="J2070" s="2968" t="str">
        <f t="shared" si="65"/>
        <v>t115</v>
      </c>
      <c r="K2070" s="2969" t="str">
        <f t="shared" si="64"/>
        <v>t115Thanh chống đà sắt góc L50x50x5 dài 1,15m</v>
      </c>
    </row>
    <row r="2071" spans="1:11" hidden="1">
      <c r="A2071" s="2969" t="s">
        <v>4886</v>
      </c>
      <c r="B2071" s="3004"/>
      <c r="C2071" s="2969" t="s">
        <v>4892</v>
      </c>
      <c r="D2071" s="2968" t="s">
        <v>4577</v>
      </c>
      <c r="E2071" s="2968"/>
      <c r="F2071" s="2968">
        <v>50</v>
      </c>
      <c r="G2071" s="2968" t="s">
        <v>510</v>
      </c>
      <c r="H2071" s="2968"/>
      <c r="I2071" s="2968"/>
      <c r="J2071" s="2968" t="str">
        <f t="shared" si="65"/>
        <v>t199</v>
      </c>
      <c r="K2071" s="2969" t="str">
        <f t="shared" si="64"/>
        <v>t199Thanh chống đà sắt góc L50x50x5 dài 1,99m</v>
      </c>
    </row>
    <row r="2072" spans="1:11" hidden="1">
      <c r="A2072" s="2969" t="s">
        <v>7242</v>
      </c>
      <c r="B2072" s="3004"/>
      <c r="C2072" s="2969" t="s">
        <v>7243</v>
      </c>
      <c r="D2072" s="2968" t="s">
        <v>2547</v>
      </c>
      <c r="E2072" s="2968"/>
      <c r="F2072" s="2968">
        <v>50</v>
      </c>
      <c r="G2072" s="2968" t="s">
        <v>510</v>
      </c>
      <c r="H2072" s="2968"/>
      <c r="I2072" s="2968"/>
      <c r="J2072" s="2968" t="str">
        <f t="shared" si="65"/>
        <v>C1150</v>
      </c>
      <c r="K2072" s="2969" t="str">
        <f t="shared" si="64"/>
        <v>C1150Thanh chống L50x50x5-1150</v>
      </c>
    </row>
    <row r="2073" spans="1:11" hidden="1">
      <c r="A2073" s="2969" t="s">
        <v>7244</v>
      </c>
      <c r="B2073" s="3004"/>
      <c r="C2073" s="2969" t="s">
        <v>7245</v>
      </c>
      <c r="D2073" s="2968" t="s">
        <v>2547</v>
      </c>
      <c r="E2073" s="2968"/>
      <c r="F2073" s="2968">
        <v>50</v>
      </c>
      <c r="G2073" s="2968" t="s">
        <v>510</v>
      </c>
      <c r="H2073" s="2968"/>
      <c r="I2073" s="2968"/>
      <c r="J2073" s="2968" t="str">
        <f t="shared" si="65"/>
        <v>C1990</v>
      </c>
      <c r="K2073" s="2969" t="str">
        <f t="shared" si="64"/>
        <v>C1990Thanh chống L50x50x5-1990</v>
      </c>
    </row>
    <row r="2074" spans="1:11" hidden="1">
      <c r="A2074" s="2969" t="s">
        <v>7246</v>
      </c>
      <c r="B2074" s="3004"/>
      <c r="C2074" s="2969" t="s">
        <v>7247</v>
      </c>
      <c r="D2074" s="2968" t="s">
        <v>2547</v>
      </c>
      <c r="E2074" s="2968"/>
      <c r="F2074" s="2968">
        <v>50</v>
      </c>
      <c r="G2074" s="2968" t="s">
        <v>510</v>
      </c>
      <c r="H2074" s="2968"/>
      <c r="I2074" s="2968"/>
      <c r="J2074" s="2968" t="str">
        <f t="shared" si="65"/>
        <v>C700</v>
      </c>
      <c r="K2074" s="2969" t="str">
        <f t="shared" si="64"/>
        <v>C700Thanh chống L50x50x5-700</v>
      </c>
    </row>
    <row r="2075" spans="1:11" hidden="1">
      <c r="A2075" s="2969" t="s">
        <v>7248</v>
      </c>
      <c r="B2075" s="3004"/>
      <c r="C2075" s="2969" t="s">
        <v>7249</v>
      </c>
      <c r="D2075" s="2968" t="s">
        <v>2547</v>
      </c>
      <c r="E2075" s="2968"/>
      <c r="F2075" s="2968">
        <v>50</v>
      </c>
      <c r="G2075" s="2968" t="s">
        <v>510</v>
      </c>
      <c r="H2075" s="2968"/>
      <c r="I2075" s="2968"/>
      <c r="J2075" s="2968" t="str">
        <f t="shared" si="65"/>
        <v>C810</v>
      </c>
      <c r="K2075" s="2969" t="str">
        <f t="shared" si="64"/>
        <v>C810Thanh chống L50x50x5-810</v>
      </c>
    </row>
    <row r="2076" spans="1:11" hidden="1">
      <c r="A2076" s="2969" t="s">
        <v>5084</v>
      </c>
      <c r="B2076" s="3004"/>
      <c r="C2076" s="2969" t="s">
        <v>5085</v>
      </c>
      <c r="D2076" s="2968" t="s">
        <v>2243</v>
      </c>
      <c r="E2076" s="2968"/>
      <c r="F2076" s="2968">
        <v>50</v>
      </c>
      <c r="G2076" s="2968" t="s">
        <v>510</v>
      </c>
      <c r="H2076" s="2968"/>
      <c r="I2076" s="2968"/>
      <c r="J2076" s="2968" t="str">
        <f t="shared" si="65"/>
        <v>SATV4</v>
      </c>
      <c r="K2076" s="2969" t="str">
        <f t="shared" si="64"/>
        <v>SATV4Thanh sắt V40x40x3-6000 - 17,7kg/thanh</v>
      </c>
    </row>
    <row r="2077" spans="1:11" hidden="1">
      <c r="A2077" s="2969" t="s">
        <v>5082</v>
      </c>
      <c r="B2077" s="3004"/>
      <c r="C2077" s="2969" t="s">
        <v>5083</v>
      </c>
      <c r="D2077" s="2968" t="s">
        <v>2243</v>
      </c>
      <c r="E2077" s="2968"/>
      <c r="F2077" s="2968">
        <v>50</v>
      </c>
      <c r="G2077" s="2968" t="s">
        <v>510</v>
      </c>
      <c r="H2077" s="2968"/>
      <c r="I2077" s="2968"/>
      <c r="J2077" s="2968" t="str">
        <f t="shared" si="65"/>
        <v>SATV5</v>
      </c>
      <c r="K2077" s="2969" t="str">
        <f t="shared" si="64"/>
        <v>SATV5Thanh sắt V50x50x5-4000 - 16kg/thanh</v>
      </c>
    </row>
    <row r="2078" spans="1:11" ht="16.5" hidden="1">
      <c r="A2078" s="2949" t="s">
        <v>6462</v>
      </c>
      <c r="B2078" s="3004"/>
      <c r="C2078" s="2969" t="s">
        <v>6464</v>
      </c>
      <c r="D2078" s="2968" t="s">
        <v>2433</v>
      </c>
      <c r="E2078" s="2968"/>
      <c r="F2078" s="2968">
        <v>3000</v>
      </c>
      <c r="G2078" s="2968" t="s">
        <v>510</v>
      </c>
      <c r="H2078" s="2968"/>
      <c r="I2078" s="2968"/>
      <c r="J2078" s="2968" t="str">
        <f t="shared" si="65"/>
        <v>SĐI-T</v>
      </c>
      <c r="K2078" s="2969" t="str">
        <f t="shared" si="64"/>
        <v>SĐI-TTháo Bộ cách điện đỉnh+ty sứ đơn</v>
      </c>
    </row>
    <row r="2079" spans="1:11" ht="16.5" hidden="1">
      <c r="A2079" s="2949" t="s">
        <v>6447</v>
      </c>
      <c r="B2079" s="3004"/>
      <c r="C2079" s="2969" t="s">
        <v>6459</v>
      </c>
      <c r="D2079" s="2968" t="s">
        <v>2433</v>
      </c>
      <c r="E2079" s="2968"/>
      <c r="F2079" s="2968">
        <v>3000</v>
      </c>
      <c r="G2079" s="2968" t="s">
        <v>510</v>
      </c>
      <c r="H2079" s="2968"/>
      <c r="I2079" s="2968"/>
      <c r="J2079" s="2968" t="str">
        <f t="shared" si="65"/>
        <v>SĐU-T</v>
      </c>
      <c r="K2079" s="2969" t="str">
        <f t="shared" si="64"/>
        <v>SĐU-TTháo Bộ cách điện đứng+ty sứ</v>
      </c>
    </row>
    <row r="2080" spans="1:11" hidden="1">
      <c r="A2080" s="2969" t="s">
        <v>194</v>
      </c>
      <c r="B2080" s="3004"/>
      <c r="C2080" s="2969" t="s">
        <v>2463</v>
      </c>
      <c r="D2080" s="2968" t="s">
        <v>2379</v>
      </c>
      <c r="E2080" s="2968"/>
      <c r="F2080" s="2968">
        <v>2000</v>
      </c>
      <c r="G2080" s="2968" t="s">
        <v>510</v>
      </c>
      <c r="H2080" s="2968"/>
      <c r="I2080" s="2968"/>
      <c r="J2080" s="2968" t="str">
        <f t="shared" si="65"/>
        <v>T CL12-B</v>
      </c>
      <c r="K2080" s="2969" t="str">
        <f t="shared" si="64"/>
        <v>T CL12-BTháo bộ chằng lệch đơn cho trụ 12m: CL12-B</v>
      </c>
    </row>
    <row r="2081" spans="1:11" hidden="1">
      <c r="A2081" s="2969" t="s">
        <v>204</v>
      </c>
      <c r="B2081" s="3004"/>
      <c r="C2081" s="2969" t="s">
        <v>2453</v>
      </c>
      <c r="D2081" s="2968" t="s">
        <v>2379</v>
      </c>
      <c r="E2081" s="2968"/>
      <c r="F2081" s="2968">
        <v>2000</v>
      </c>
      <c r="G2081" s="2968" t="s">
        <v>510</v>
      </c>
      <c r="H2081" s="2968"/>
      <c r="I2081" s="2968"/>
      <c r="J2081" s="2968" t="str">
        <f t="shared" si="65"/>
        <v>T CL-ht</v>
      </c>
      <c r="K2081" s="2969" t="str">
        <f t="shared" si="64"/>
        <v>T CL-htTháo bộ chằng lệch đơn cho trụ hạ thế: CL.ht</v>
      </c>
    </row>
    <row r="2082" spans="1:11" hidden="1">
      <c r="A2082" s="2969" t="s">
        <v>1266</v>
      </c>
      <c r="B2082" s="3004"/>
      <c r="C2082" s="2969" t="s">
        <v>2460</v>
      </c>
      <c r="D2082" s="2968" t="s">
        <v>2379</v>
      </c>
      <c r="E2082" s="2968"/>
      <c r="F2082" s="2968">
        <v>3000</v>
      </c>
      <c r="G2082" s="2968" t="s">
        <v>510</v>
      </c>
      <c r="H2082" s="2968"/>
      <c r="I2082" s="2968"/>
      <c r="J2082" s="2968" t="str">
        <f t="shared" si="65"/>
        <v>T CX12-B</v>
      </c>
      <c r="K2082" s="2969" t="str">
        <f t="shared" si="64"/>
        <v>T CX12-BTháo bộ chằng xuống đơn cho trụ 12m: CX12-B</v>
      </c>
    </row>
    <row r="2083" spans="1:11" hidden="1">
      <c r="A2083" s="2969" t="s">
        <v>6443</v>
      </c>
      <c r="B2083" s="3004" t="s">
        <v>5806</v>
      </c>
      <c r="C2083" s="2969" t="s">
        <v>6444</v>
      </c>
      <c r="D2083" s="2968" t="s">
        <v>2547</v>
      </c>
      <c r="E2083" s="2968"/>
      <c r="F2083" s="2968">
        <v>3000</v>
      </c>
      <c r="G2083" s="2968" t="s">
        <v>510</v>
      </c>
      <c r="H2083" s="2968"/>
      <c r="I2083" s="2968"/>
      <c r="J2083" s="2968" t="str">
        <f t="shared" si="65"/>
        <v>TL-DTH</v>
      </c>
      <c r="K2083" s="2969" t="str">
        <f t="shared" si="64"/>
        <v>TL-DTHTháo bộ đỡ dây trung hòa</v>
      </c>
    </row>
    <row r="2084" spans="1:11" ht="16.5" hidden="1">
      <c r="A2084" s="2949" t="s">
        <v>6449</v>
      </c>
      <c r="B2084" s="3004"/>
      <c r="C2084" s="2969" t="s">
        <v>6451</v>
      </c>
      <c r="D2084" s="2968" t="s">
        <v>2433</v>
      </c>
      <c r="E2084" s="2968"/>
      <c r="F2084" s="2968">
        <v>3000</v>
      </c>
      <c r="G2084" s="2968" t="s">
        <v>510</v>
      </c>
      <c r="H2084" s="2968"/>
      <c r="I2084" s="2968"/>
      <c r="J2084" s="2968" t="str">
        <f t="shared" si="65"/>
        <v>Đth-U-T</v>
      </c>
      <c r="K2084" s="2969" t="str">
        <f t="shared" si="64"/>
        <v>Đth-U-TTháo Bộ Uclevis đỡ dây trung hòa</v>
      </c>
    </row>
    <row r="2085" spans="1:11" hidden="1">
      <c r="A2085" s="2969" t="s">
        <v>6471</v>
      </c>
      <c r="B2085" s="3004"/>
      <c r="C2085" s="2969" t="s">
        <v>6473</v>
      </c>
      <c r="D2085" s="2968" t="s">
        <v>2379</v>
      </c>
      <c r="E2085" s="2968"/>
      <c r="F2085" s="2968">
        <v>3000</v>
      </c>
      <c r="G2085" s="2968" t="s">
        <v>510</v>
      </c>
      <c r="H2085" s="2968"/>
      <c r="I2085" s="2968"/>
      <c r="J2085" s="2968" t="str">
        <f t="shared" si="65"/>
        <v>X-20ĐL2/3-T</v>
      </c>
      <c r="K2085" s="2969" t="str">
        <f t="shared" si="64"/>
        <v>X-20ĐL2/3-TTháo Bộ xà lệch đơn L75x75x8 dài 2m</v>
      </c>
    </row>
    <row r="2086" spans="1:11" hidden="1">
      <c r="A2086" s="2969" t="s">
        <v>5833</v>
      </c>
      <c r="B2086" s="3004" t="s">
        <v>5821</v>
      </c>
      <c r="C2086" s="2969" t="s">
        <v>5834</v>
      </c>
      <c r="D2086" s="2968" t="s">
        <v>2547</v>
      </c>
      <c r="E2086" s="2968"/>
      <c r="F2086" s="2968">
        <v>3000</v>
      </c>
      <c r="G2086" s="2968" t="s">
        <v>510</v>
      </c>
      <c r="H2086" s="2968"/>
      <c r="I2086" s="2968"/>
      <c r="J2086" s="2968" t="str">
        <f t="shared" si="65"/>
        <v>TBulonduoiheo</v>
      </c>
      <c r="K2086" s="2969" t="str">
        <f t="shared" si="64"/>
        <v>TBulonduoiheoTháo bulon đuôi heo</v>
      </c>
    </row>
    <row r="2087" spans="1:11" hidden="1">
      <c r="A2087" s="2969" t="s">
        <v>5890</v>
      </c>
      <c r="B2087" s="3004" t="s">
        <v>5517</v>
      </c>
      <c r="C2087" s="2969" t="s">
        <v>5891</v>
      </c>
      <c r="D2087" s="2968" t="s">
        <v>2547</v>
      </c>
      <c r="E2087" s="2968"/>
      <c r="F2087" s="2968">
        <v>3000</v>
      </c>
      <c r="G2087" s="2968" t="s">
        <v>510</v>
      </c>
      <c r="H2087" s="2968"/>
      <c r="I2087" s="2968"/>
      <c r="J2087" s="2968" t="str">
        <f t="shared" si="65"/>
        <v>TCSVCo</v>
      </c>
      <c r="K2087" s="2969" t="str">
        <f t="shared" si="64"/>
        <v>TCSVCoTháo chống sét van dùng vật liệu composite, cấp điện áp &lt;=35kV</v>
      </c>
    </row>
    <row r="2088" spans="1:11" hidden="1">
      <c r="A2088" s="2969" t="s">
        <v>6445</v>
      </c>
      <c r="B2088" s="3004"/>
      <c r="C2088" s="2969" t="s">
        <v>6458</v>
      </c>
      <c r="D2088" s="2968" t="s">
        <v>3430</v>
      </c>
      <c r="E2088" s="2968"/>
      <c r="F2088" s="2968">
        <v>3000</v>
      </c>
      <c r="G2088" s="2968" t="s">
        <v>510</v>
      </c>
      <c r="H2088" s="2968"/>
      <c r="I2088" s="2968"/>
      <c r="J2088" s="2968" t="str">
        <f t="shared" si="65"/>
        <v>Xa1660-T</v>
      </c>
      <c r="K2088" s="2969" t="str">
        <f t="shared" si="64"/>
        <v>Xa1660-TTháo Đà 1,66m</v>
      </c>
    </row>
    <row r="2089" spans="1:11" hidden="1">
      <c r="A2089" s="2969" t="s">
        <v>5888</v>
      </c>
      <c r="B2089" s="3004" t="s">
        <v>5514</v>
      </c>
      <c r="C2089" s="2969" t="s">
        <v>5889</v>
      </c>
      <c r="D2089" s="2968" t="s">
        <v>2547</v>
      </c>
      <c r="E2089" s="2968"/>
      <c r="F2089" s="2968">
        <v>3000</v>
      </c>
      <c r="G2089" s="2968" t="s">
        <v>510</v>
      </c>
      <c r="H2089" s="2968"/>
      <c r="I2089" s="2968"/>
      <c r="J2089" s="2968" t="str">
        <f t="shared" si="65"/>
        <v>TDCL1P</v>
      </c>
      <c r="K2089" s="2969" t="str">
        <f t="shared" si="64"/>
        <v>TDCL1PTháo dao cách ly 1 pha không tiếp đất, cấp điện áp &lt;=35kV</v>
      </c>
    </row>
    <row r="2090" spans="1:11" hidden="1">
      <c r="A2090" s="2969" t="s">
        <v>5844</v>
      </c>
      <c r="B2090" s="3004" t="s">
        <v>5836</v>
      </c>
      <c r="C2090" s="2969" t="s">
        <v>5845</v>
      </c>
      <c r="D2090" s="2968" t="s">
        <v>2547</v>
      </c>
      <c r="E2090" s="2968"/>
      <c r="F2090" s="2968">
        <v>3000</v>
      </c>
      <c r="G2090" s="2968" t="s">
        <v>510</v>
      </c>
      <c r="H2090" s="2968"/>
      <c r="I2090" s="2968"/>
      <c r="J2090" s="2968" t="str">
        <f t="shared" si="65"/>
        <v>Tdke1pha</v>
      </c>
      <c r="K2090" s="2969" t="str">
        <f t="shared" si="64"/>
        <v>Tdke1phaTháo điện kế 1 pha</v>
      </c>
    </row>
    <row r="2091" spans="1:11" hidden="1">
      <c r="A2091" s="2969" t="s">
        <v>5846</v>
      </c>
      <c r="B2091" s="3004" t="s">
        <v>5839</v>
      </c>
      <c r="C2091" s="2969" t="s">
        <v>5847</v>
      </c>
      <c r="D2091" s="2968" t="s">
        <v>2547</v>
      </c>
      <c r="E2091" s="2968"/>
      <c r="F2091" s="2968">
        <v>3000</v>
      </c>
      <c r="G2091" s="2968" t="s">
        <v>510</v>
      </c>
      <c r="H2091" s="2968"/>
      <c r="I2091" s="2968"/>
      <c r="J2091" s="2968" t="str">
        <f t="shared" si="65"/>
        <v>Tdke3pha</v>
      </c>
      <c r="K2091" s="2969" t="str">
        <f t="shared" si="64"/>
        <v>Tdke3phaTháo điện kế 3 pha</v>
      </c>
    </row>
    <row r="2092" spans="1:11" hidden="1">
      <c r="A2092" s="2969" t="s">
        <v>5897</v>
      </c>
      <c r="B2092" s="3004" t="s">
        <v>5898</v>
      </c>
      <c r="C2092" s="2969" t="s">
        <v>5899</v>
      </c>
      <c r="D2092" s="2968" t="s">
        <v>2547</v>
      </c>
      <c r="E2092" s="2968"/>
      <c r="F2092" s="2968">
        <v>3000</v>
      </c>
      <c r="G2092" s="2968" t="s">
        <v>510</v>
      </c>
      <c r="H2092" s="2968"/>
      <c r="I2092" s="2968"/>
      <c r="J2092" s="2968" t="str">
        <f t="shared" si="65"/>
        <v>TFCO_228</v>
      </c>
      <c r="K2092" s="2969" t="str">
        <f t="shared" si="64"/>
        <v>TFCO_228Tháo FCO (định mức 228)</v>
      </c>
    </row>
    <row r="2093" spans="1:11" hidden="1">
      <c r="A2093" s="2969" t="s">
        <v>5494</v>
      </c>
      <c r="B2093" s="3004" t="s">
        <v>433</v>
      </c>
      <c r="C2093" s="2969" t="s">
        <v>5495</v>
      </c>
      <c r="D2093" s="2968" t="s">
        <v>2547</v>
      </c>
      <c r="E2093" s="2968"/>
      <c r="F2093" s="2968">
        <v>3000</v>
      </c>
      <c r="G2093" s="2968" t="s">
        <v>510</v>
      </c>
      <c r="H2093" s="2968"/>
      <c r="I2093" s="2968"/>
      <c r="J2093" s="2968" t="str">
        <f t="shared" si="65"/>
        <v>TFCO</v>
      </c>
      <c r="K2093" s="2969" t="str">
        <f t="shared" si="64"/>
        <v>TFCOTháo FCO 24KV (định mức 228)</v>
      </c>
    </row>
    <row r="2094" spans="1:11" hidden="1">
      <c r="A2094" s="2969" t="s">
        <v>5848</v>
      </c>
      <c r="B2094" s="3004" t="s">
        <v>5842</v>
      </c>
      <c r="C2094" s="2969" t="s">
        <v>5849</v>
      </c>
      <c r="D2094" s="2968" t="s">
        <v>2547</v>
      </c>
      <c r="E2094" s="2968"/>
      <c r="F2094" s="2968">
        <v>3000</v>
      </c>
      <c r="G2094" s="2968" t="s">
        <v>510</v>
      </c>
      <c r="H2094" s="2968"/>
      <c r="I2094" s="2968"/>
      <c r="J2094" s="2968" t="str">
        <f t="shared" si="65"/>
        <v>Thopdke</v>
      </c>
      <c r="K2094" s="2969" t="str">
        <f t="shared" si="64"/>
        <v>ThopdkeTháo hộp điện kế</v>
      </c>
    </row>
    <row r="2095" spans="1:11" hidden="1">
      <c r="A2095" s="2969" t="s">
        <v>5831</v>
      </c>
      <c r="B2095" s="3004" t="s">
        <v>5818</v>
      </c>
      <c r="C2095" s="2969" t="s">
        <v>5832</v>
      </c>
      <c r="D2095" s="2968" t="s">
        <v>2547</v>
      </c>
      <c r="E2095" s="2968"/>
      <c r="F2095" s="2968">
        <v>3000</v>
      </c>
      <c r="G2095" s="2968" t="s">
        <v>510</v>
      </c>
      <c r="H2095" s="2968"/>
      <c r="I2095" s="2968"/>
      <c r="J2095" s="2968" t="str">
        <f t="shared" si="65"/>
        <v>Tkepdung120</v>
      </c>
      <c r="K2095" s="2969" t="str">
        <f t="shared" si="64"/>
        <v>Tkepdung120Tháo kẹp dừng cáp ABC có tiết diện &lt;=120mm2</v>
      </c>
    </row>
    <row r="2096" spans="1:11" hidden="1">
      <c r="A2096" s="2969" t="s">
        <v>5829</v>
      </c>
      <c r="B2096" s="3004" t="s">
        <v>5815</v>
      </c>
      <c r="C2096" s="2969" t="s">
        <v>5830</v>
      </c>
      <c r="D2096" s="2968" t="s">
        <v>2547</v>
      </c>
      <c r="E2096" s="2968"/>
      <c r="F2096" s="2968">
        <v>3000</v>
      </c>
      <c r="G2096" s="2968" t="s">
        <v>510</v>
      </c>
      <c r="H2096" s="2968"/>
      <c r="I2096" s="2968"/>
      <c r="J2096" s="2968" t="str">
        <f t="shared" si="65"/>
        <v>Tkepdung70</v>
      </c>
      <c r="K2096" s="2969" t="str">
        <f t="shared" si="64"/>
        <v>Tkepdung70Tháo kẹp dừng cáp ABC có tiết diện &lt;=70mm2</v>
      </c>
    </row>
    <row r="2097" spans="1:11" hidden="1">
      <c r="A2097" s="2969" t="s">
        <v>5825</v>
      </c>
      <c r="B2097" s="3004" t="s">
        <v>5809</v>
      </c>
      <c r="C2097" s="2969" t="s">
        <v>5826</v>
      </c>
      <c r="D2097" s="2968" t="s">
        <v>2547</v>
      </c>
      <c r="E2097" s="2968"/>
      <c r="F2097" s="2968">
        <v>3000</v>
      </c>
      <c r="G2097" s="2968" t="s">
        <v>510</v>
      </c>
      <c r="H2097" s="2968"/>
      <c r="I2097" s="2968"/>
      <c r="J2097" s="2968" t="str">
        <f t="shared" si="65"/>
        <v>Thotline</v>
      </c>
      <c r="K2097" s="2969" t="str">
        <f t="shared" si="64"/>
        <v>ThotlineTháo kẹp hotline</v>
      </c>
    </row>
    <row r="2098" spans="1:11" hidden="1">
      <c r="A2098" s="2969" t="s">
        <v>5827</v>
      </c>
      <c r="B2098" s="3004" t="s">
        <v>5812</v>
      </c>
      <c r="C2098" s="2969" t="s">
        <v>5828</v>
      </c>
      <c r="D2098" s="2968" t="s">
        <v>2547</v>
      </c>
      <c r="E2098" s="2968"/>
      <c r="F2098" s="2968">
        <v>3000</v>
      </c>
      <c r="G2098" s="2968" t="s">
        <v>510</v>
      </c>
      <c r="H2098" s="2968"/>
      <c r="I2098" s="2968"/>
      <c r="J2098" s="2968" t="str">
        <f t="shared" si="65"/>
        <v>TIPC</v>
      </c>
      <c r="K2098" s="2969" t="str">
        <f t="shared" si="64"/>
        <v>TIPCTháo kẹp IPC</v>
      </c>
    </row>
    <row r="2099" spans="1:11" hidden="1">
      <c r="A2099" s="2969" t="s">
        <v>5823</v>
      </c>
      <c r="B2099" s="3004" t="s">
        <v>5806</v>
      </c>
      <c r="C2099" s="2969" t="s">
        <v>5824</v>
      </c>
      <c r="D2099" s="2968" t="s">
        <v>2547</v>
      </c>
      <c r="E2099" s="2968"/>
      <c r="F2099" s="2968">
        <v>3000</v>
      </c>
      <c r="G2099" s="2968" t="s">
        <v>510</v>
      </c>
      <c r="H2099" s="2968"/>
      <c r="I2099" s="2968"/>
      <c r="J2099" s="2968" t="str">
        <f t="shared" si="65"/>
        <v>Tkepquai</v>
      </c>
      <c r="K2099" s="2969" t="str">
        <f t="shared" si="64"/>
        <v>TkepquaiTháo kẹp quai</v>
      </c>
    </row>
    <row r="2100" spans="1:11">
      <c r="A2100" s="2969" t="s">
        <v>5886</v>
      </c>
      <c r="B2100" s="3004" t="s">
        <v>5516</v>
      </c>
      <c r="C2100" s="2969" t="s">
        <v>5887</v>
      </c>
      <c r="D2100" s="2968" t="s">
        <v>2547</v>
      </c>
      <c r="E2100" s="2968"/>
      <c r="F2100" s="2968">
        <v>3000</v>
      </c>
      <c r="G2100" s="2968" t="s">
        <v>510</v>
      </c>
      <c r="H2100" s="2968"/>
      <c r="I2100" s="2968"/>
      <c r="J2100" s="2968" t="str">
        <f t="shared" si="65"/>
        <v>TLBS35</v>
      </c>
      <c r="K2100" s="2969" t="str">
        <f t="shared" si="64"/>
        <v>TLBS35Tháo LBS, recloser, cấp điện áp &lt;=35kV</v>
      </c>
    </row>
    <row r="2101" spans="1:11" hidden="1">
      <c r="A2101" s="2969" t="s">
        <v>5878</v>
      </c>
      <c r="B2101" s="3004" t="s">
        <v>5501</v>
      </c>
      <c r="C2101" s="2969" t="s">
        <v>5879</v>
      </c>
      <c r="D2101" s="2968" t="s">
        <v>3285</v>
      </c>
      <c r="E2101" s="2968"/>
      <c r="F2101" s="2968">
        <v>3000</v>
      </c>
      <c r="G2101" s="2968" t="s">
        <v>510</v>
      </c>
      <c r="H2101" s="2968"/>
      <c r="I2101" s="2968"/>
      <c r="J2101" s="2968" t="str">
        <f t="shared" si="65"/>
        <v>TMBA1P100</v>
      </c>
      <c r="K2101" s="2969" t="str">
        <f t="shared" si="64"/>
        <v>TMBA1P100Tháo MBA 1 pha công suất &lt;=100kVA, 15;(10);(6)/0,4kV</v>
      </c>
    </row>
    <row r="2102" spans="1:11" hidden="1">
      <c r="A2102" s="2969" t="s">
        <v>5880</v>
      </c>
      <c r="B2102" s="3004" t="s">
        <v>5881</v>
      </c>
      <c r="C2102" s="2969" t="s">
        <v>5882</v>
      </c>
      <c r="D2102" s="2968" t="s">
        <v>3285</v>
      </c>
      <c r="E2102" s="2968"/>
      <c r="F2102" s="2968">
        <v>3000</v>
      </c>
      <c r="G2102" s="2968" t="s">
        <v>510</v>
      </c>
      <c r="H2102" s="2968"/>
      <c r="I2102" s="2968"/>
      <c r="J2102" s="2968" t="str">
        <f t="shared" si="65"/>
        <v>TMBA1P150</v>
      </c>
      <c r="K2102" s="2969" t="str">
        <f t="shared" si="64"/>
        <v>TMBA1P150Tháo MBA 1 pha công suất &lt;=150kVA, 15;(10);(6)/0,4kV</v>
      </c>
    </row>
    <row r="2103" spans="1:11" hidden="1">
      <c r="A2103" s="2969" t="s">
        <v>5883</v>
      </c>
      <c r="B2103" s="3004" t="s">
        <v>5884</v>
      </c>
      <c r="C2103" s="2969" t="s">
        <v>5885</v>
      </c>
      <c r="D2103" s="2968" t="s">
        <v>3285</v>
      </c>
      <c r="E2103" s="2968"/>
      <c r="F2103" s="2968">
        <v>3000</v>
      </c>
      <c r="G2103" s="2968" t="s">
        <v>510</v>
      </c>
      <c r="H2103" s="2968"/>
      <c r="I2103" s="2968"/>
      <c r="J2103" s="2968" t="str">
        <f t="shared" si="65"/>
        <v>TMBA1P250</v>
      </c>
      <c r="K2103" s="2969" t="str">
        <f t="shared" si="64"/>
        <v>TMBA1P250Tháo MBA 1 pha công suất &lt;=250kVA, 15;(10);(6)/0,4kV</v>
      </c>
    </row>
    <row r="2104" spans="1:11" hidden="1">
      <c r="A2104" s="2969" t="s">
        <v>5872</v>
      </c>
      <c r="B2104" s="3004" t="s">
        <v>5498</v>
      </c>
      <c r="C2104" s="2969" t="s">
        <v>5873</v>
      </c>
      <c r="D2104" s="2968" t="s">
        <v>3285</v>
      </c>
      <c r="E2104" s="2968"/>
      <c r="F2104" s="2968">
        <v>3000</v>
      </c>
      <c r="G2104" s="2968" t="s">
        <v>510</v>
      </c>
      <c r="H2104" s="2968"/>
      <c r="I2104" s="2968"/>
      <c r="J2104" s="2968" t="str">
        <f t="shared" si="65"/>
        <v>TMBA1P30</v>
      </c>
      <c r="K2104" s="2969" t="str">
        <f t="shared" si="64"/>
        <v>TMBA1P30Tháo MBA 1 pha công suất &lt;=30kVA, 15;(10);(6)/0,4kV</v>
      </c>
    </row>
    <row r="2105" spans="1:11" hidden="1">
      <c r="A2105" s="2969" t="s">
        <v>5874</v>
      </c>
      <c r="B2105" s="3004" t="s">
        <v>5499</v>
      </c>
      <c r="C2105" s="2969" t="s">
        <v>5875</v>
      </c>
      <c r="D2105" s="2968" t="s">
        <v>3285</v>
      </c>
      <c r="E2105" s="2968"/>
      <c r="F2105" s="2968">
        <v>3000</v>
      </c>
      <c r="G2105" s="2968" t="s">
        <v>510</v>
      </c>
      <c r="H2105" s="2968"/>
      <c r="I2105" s="2968"/>
      <c r="J2105" s="2968" t="str">
        <f t="shared" si="65"/>
        <v>TMBA1P50</v>
      </c>
      <c r="K2105" s="2969" t="str">
        <f t="shared" si="64"/>
        <v>TMBA1P50Tháo MBA 1 pha công suất &lt;=50kVA, 15;(10);(6)/0,4kV</v>
      </c>
    </row>
    <row r="2106" spans="1:11" hidden="1">
      <c r="A2106" s="2969" t="s">
        <v>5876</v>
      </c>
      <c r="B2106" s="3004" t="s">
        <v>5500</v>
      </c>
      <c r="C2106" s="2969" t="s">
        <v>5877</v>
      </c>
      <c r="D2106" s="2968" t="s">
        <v>3285</v>
      </c>
      <c r="E2106" s="2968"/>
      <c r="F2106" s="2968">
        <v>3000</v>
      </c>
      <c r="G2106" s="2968" t="s">
        <v>510</v>
      </c>
      <c r="H2106" s="2968"/>
      <c r="I2106" s="2968"/>
      <c r="J2106" s="2968" t="str">
        <f t="shared" si="65"/>
        <v>TMBA1P75</v>
      </c>
      <c r="K2106" s="2969" t="str">
        <f t="shared" si="64"/>
        <v>TMBA1P75Tháo MBA 1 pha công suất &lt;=75kVA, 15;(10);(6)/0,4kV</v>
      </c>
    </row>
    <row r="2107" spans="1:11" hidden="1">
      <c r="A2107" s="2969" t="s">
        <v>5860</v>
      </c>
      <c r="B2107" s="3004" t="s">
        <v>5504</v>
      </c>
      <c r="C2107" s="2969" t="s">
        <v>5861</v>
      </c>
      <c r="D2107" s="2968" t="s">
        <v>3285</v>
      </c>
      <c r="E2107" s="2968"/>
      <c r="F2107" s="2968">
        <v>3000</v>
      </c>
      <c r="G2107" s="2968" t="s">
        <v>510</v>
      </c>
      <c r="H2107" s="2968"/>
      <c r="I2107" s="2968"/>
      <c r="J2107" s="2968" t="str">
        <f t="shared" si="65"/>
        <v>TMBA3P100</v>
      </c>
      <c r="K2107" s="2969" t="str">
        <f t="shared" si="64"/>
        <v>TMBA3P100Tháo MBA 3 pha công suất &lt;=100kVA, 35(22)/0,4kV</v>
      </c>
    </row>
    <row r="2108" spans="1:11" hidden="1">
      <c r="A2108" s="2969" t="s">
        <v>5862</v>
      </c>
      <c r="B2108" s="3004" t="s">
        <v>5505</v>
      </c>
      <c r="C2108" s="2969" t="s">
        <v>5863</v>
      </c>
      <c r="D2108" s="2968" t="s">
        <v>3285</v>
      </c>
      <c r="E2108" s="2968"/>
      <c r="F2108" s="2968">
        <v>3000</v>
      </c>
      <c r="G2108" s="2968" t="s">
        <v>510</v>
      </c>
      <c r="H2108" s="2968"/>
      <c r="I2108" s="2968"/>
      <c r="J2108" s="2968" t="str">
        <f t="shared" si="65"/>
        <v>TMBA3P180</v>
      </c>
      <c r="K2108" s="2969" t="str">
        <f t="shared" si="64"/>
        <v>TMBA3P180Tháo MBA 3 pha công suất &lt;=180kVA, 35(22)/0,4kV</v>
      </c>
    </row>
    <row r="2109" spans="1:11" hidden="1">
      <c r="A2109" s="2969" t="s">
        <v>5854</v>
      </c>
      <c r="B2109" s="3004" t="s">
        <v>5855</v>
      </c>
      <c r="C2109" s="2969" t="s">
        <v>5856</v>
      </c>
      <c r="D2109" s="2968" t="s">
        <v>3285</v>
      </c>
      <c r="E2109" s="2968"/>
      <c r="F2109" s="2968">
        <v>3000</v>
      </c>
      <c r="G2109" s="2968" t="s">
        <v>510</v>
      </c>
      <c r="H2109" s="2968"/>
      <c r="I2109" s="2968"/>
      <c r="J2109" s="2968" t="str">
        <f t="shared" si="65"/>
        <v>TMBA3P30</v>
      </c>
      <c r="K2109" s="2969" t="str">
        <f t="shared" si="64"/>
        <v>TMBA3P30Tháo MBA 3 pha công suất &lt;=30kVA, 35(22)/0,4kV</v>
      </c>
    </row>
    <row r="2110" spans="1:11" hidden="1">
      <c r="A2110" s="2969" t="s">
        <v>5864</v>
      </c>
      <c r="B2110" s="3004" t="s">
        <v>5506</v>
      </c>
      <c r="C2110" s="2969" t="s">
        <v>5865</v>
      </c>
      <c r="D2110" s="2968" t="s">
        <v>3285</v>
      </c>
      <c r="E2110" s="2968"/>
      <c r="F2110" s="2968">
        <v>3000</v>
      </c>
      <c r="G2110" s="2968" t="s">
        <v>510</v>
      </c>
      <c r="H2110" s="2968"/>
      <c r="I2110" s="2968"/>
      <c r="J2110" s="2968" t="str">
        <f t="shared" si="65"/>
        <v>TMBA3P320</v>
      </c>
      <c r="K2110" s="2969" t="str">
        <f t="shared" si="64"/>
        <v>TMBA3P320Tháo MBA 3 pha công suất &lt;=320kVA, 35(22)/0,4kV</v>
      </c>
    </row>
    <row r="2111" spans="1:11" hidden="1">
      <c r="A2111" s="2969" t="s">
        <v>5857</v>
      </c>
      <c r="B2111" s="3004" t="s">
        <v>5858</v>
      </c>
      <c r="C2111" s="2969" t="s">
        <v>5859</v>
      </c>
      <c r="D2111" s="2968" t="s">
        <v>3285</v>
      </c>
      <c r="E2111" s="2968"/>
      <c r="F2111" s="2968">
        <v>3000</v>
      </c>
      <c r="G2111" s="2968" t="s">
        <v>510</v>
      </c>
      <c r="H2111" s="2968"/>
      <c r="I2111" s="2968"/>
      <c r="J2111" s="2968" t="str">
        <f t="shared" si="65"/>
        <v>TMBA3P50</v>
      </c>
      <c r="K2111" s="2969" t="str">
        <f t="shared" si="64"/>
        <v>TMBA3P50Tháo MBA 3 pha công suất &lt;=50kVA, 35(22)/0,4kV</v>
      </c>
    </row>
    <row r="2112" spans="1:11" hidden="1">
      <c r="A2112" s="2969" t="s">
        <v>5866</v>
      </c>
      <c r="B2112" s="3004" t="s">
        <v>5507</v>
      </c>
      <c r="C2112" s="2969" t="s">
        <v>5867</v>
      </c>
      <c r="D2112" s="2968" t="s">
        <v>3285</v>
      </c>
      <c r="E2112" s="2968"/>
      <c r="F2112" s="2968">
        <v>3000</v>
      </c>
      <c r="G2112" s="2968" t="s">
        <v>510</v>
      </c>
      <c r="H2112" s="2968"/>
      <c r="I2112" s="2968"/>
      <c r="J2112" s="2968" t="str">
        <f t="shared" si="65"/>
        <v>TMBA3P560</v>
      </c>
      <c r="K2112" s="2969" t="str">
        <f t="shared" si="64"/>
        <v>TMBA3P560Tháo MBA 3 pha công suất &lt;=560kVA, 35(22)/0,4kV</v>
      </c>
    </row>
    <row r="2113" spans="1:11" hidden="1">
      <c r="A2113" s="2969" t="s">
        <v>5868</v>
      </c>
      <c r="B2113" s="3004" t="s">
        <v>5508</v>
      </c>
      <c r="C2113" s="2969" t="s">
        <v>5869</v>
      </c>
      <c r="D2113" s="2968" t="s">
        <v>3285</v>
      </c>
      <c r="E2113" s="2968"/>
      <c r="F2113" s="2968">
        <v>3000</v>
      </c>
      <c r="G2113" s="2968" t="s">
        <v>510</v>
      </c>
      <c r="H2113" s="2968"/>
      <c r="I2113" s="2968"/>
      <c r="J2113" s="2968" t="str">
        <f t="shared" si="65"/>
        <v>TMBA3P750</v>
      </c>
      <c r="K2113" s="2969" t="str">
        <f t="shared" si="64"/>
        <v>TMBA3P750Tháo MBA 3 pha công suất &lt;=750kVA, 35(22)/0,4kV</v>
      </c>
    </row>
    <row r="2114" spans="1:11" hidden="1">
      <c r="A2114" s="2969" t="s">
        <v>5870</v>
      </c>
      <c r="B2114" s="3004" t="s">
        <v>5509</v>
      </c>
      <c r="C2114" s="2969" t="s">
        <v>5871</v>
      </c>
      <c r="D2114" s="2968" t="s">
        <v>3285</v>
      </c>
      <c r="E2114" s="2968"/>
      <c r="F2114" s="2968">
        <v>3000</v>
      </c>
      <c r="G2114" s="2968" t="s">
        <v>510</v>
      </c>
      <c r="H2114" s="2968"/>
      <c r="I2114" s="2968"/>
      <c r="J2114" s="2968" t="str">
        <f t="shared" si="65"/>
        <v>TMBA3P7501</v>
      </c>
      <c r="K2114" s="2969" t="str">
        <f t="shared" si="64"/>
        <v>TMBA3P7501Tháo MBA 3 pha công suất &gt;750kVA, 35(22)/0,4kV</v>
      </c>
    </row>
    <row r="2115" spans="1:11" hidden="1">
      <c r="A2115" s="2969" t="s">
        <v>1223</v>
      </c>
      <c r="B2115" s="2986" t="s">
        <v>432</v>
      </c>
      <c r="C2115" s="3012" t="s">
        <v>3257</v>
      </c>
      <c r="D2115" s="2968" t="s">
        <v>2433</v>
      </c>
      <c r="E2115" s="2968"/>
      <c r="F2115" s="2968">
        <v>3000</v>
      </c>
      <c r="G2115" s="2968" t="s">
        <v>510</v>
      </c>
      <c r="H2115" s="2968"/>
      <c r="I2115" s="2968"/>
      <c r="J2115" s="2968" t="str">
        <f t="shared" si="65"/>
        <v>LSD_T</v>
      </c>
      <c r="K2115" s="2969" t="str">
        <f t="shared" ref="K2115:K2178" si="66">A2115&amp;C2115</f>
        <v>LSD_TTháo sứ đứng 24KV</v>
      </c>
    </row>
    <row r="2116" spans="1:11" hidden="1">
      <c r="A2116" s="2969" t="s">
        <v>5900</v>
      </c>
      <c r="B2116" s="3004" t="s">
        <v>5479</v>
      </c>
      <c r="C2116" s="2969" t="s">
        <v>5901</v>
      </c>
      <c r="D2116" s="2968" t="s">
        <v>2433</v>
      </c>
      <c r="E2116" s="2968"/>
      <c r="F2116" s="2968">
        <v>3000</v>
      </c>
      <c r="G2116" s="2968" t="s">
        <v>510</v>
      </c>
      <c r="H2116" s="2968"/>
      <c r="I2116" s="2968"/>
      <c r="J2116" s="2968" t="str">
        <f t="shared" ref="J2116:J2179" si="67">A2116</f>
        <v>TSD_228</v>
      </c>
      <c r="K2116" s="2969" t="str">
        <f t="shared" si="66"/>
        <v>TSD_228Tháo sứ đứng 24KV trên cột (định mức 228)</v>
      </c>
    </row>
    <row r="2117" spans="1:11" hidden="1">
      <c r="A2117" s="2969" t="s">
        <v>5478</v>
      </c>
      <c r="B2117" s="3004" t="s">
        <v>5479</v>
      </c>
      <c r="C2117" s="2969" t="s">
        <v>5480</v>
      </c>
      <c r="D2117" s="2968" t="s">
        <v>2547</v>
      </c>
      <c r="E2117" s="2968"/>
      <c r="F2117" s="2968">
        <v>3000</v>
      </c>
      <c r="G2117" s="2968" t="s">
        <v>510</v>
      </c>
      <c r="H2117" s="2968"/>
      <c r="I2117" s="2968"/>
      <c r="J2117" s="2968" t="str">
        <f t="shared" si="67"/>
        <v>TSD</v>
      </c>
      <c r="K2117" s="2969" t="str">
        <f t="shared" si="66"/>
        <v>TSDTháo sứ đứng 24KV trên cột (theo ĐM 228)</v>
      </c>
    </row>
    <row r="2118" spans="1:11" hidden="1">
      <c r="A2118" s="2969" t="s">
        <v>5892</v>
      </c>
      <c r="B2118" s="3004" t="s">
        <v>5893</v>
      </c>
      <c r="C2118" s="2969" t="s">
        <v>5894</v>
      </c>
      <c r="D2118" s="2968" t="s">
        <v>2547</v>
      </c>
      <c r="E2118" s="2968"/>
      <c r="F2118" s="2968">
        <v>3000</v>
      </c>
      <c r="G2118" s="2968" t="s">
        <v>510</v>
      </c>
      <c r="H2118" s="2968"/>
      <c r="I2118" s="2968"/>
      <c r="J2118" s="2968" t="str">
        <f t="shared" si="67"/>
        <v>TTu1P_228</v>
      </c>
      <c r="K2118" s="2969" t="str">
        <f t="shared" si="66"/>
        <v>TTu1P_228Tháo tủ điện hạ áp xoay chiều 1P (định mức 228)</v>
      </c>
    </row>
    <row r="2119" spans="1:11" hidden="1">
      <c r="A2119" s="2969" t="s">
        <v>5895</v>
      </c>
      <c r="B2119" s="3004" t="s">
        <v>5893</v>
      </c>
      <c r="C2119" s="2969" t="s">
        <v>5896</v>
      </c>
      <c r="D2119" s="2968" t="s">
        <v>2547</v>
      </c>
      <c r="E2119" s="2968"/>
      <c r="F2119" s="2968">
        <v>3000</v>
      </c>
      <c r="G2119" s="2968" t="s">
        <v>510</v>
      </c>
      <c r="H2119" s="2968"/>
      <c r="I2119" s="2968"/>
      <c r="J2119" s="2968" t="str">
        <f t="shared" si="67"/>
        <v>TTu3P_228</v>
      </c>
      <c r="K2119" s="2969" t="str">
        <f t="shared" si="66"/>
        <v>TTu3P_228Tháo tủ điện hạ áp xoay chiều 3P (định mức 228)</v>
      </c>
    </row>
    <row r="2120" spans="1:11" hidden="1">
      <c r="A2120" s="2969" t="s">
        <v>1078</v>
      </c>
      <c r="B2120" s="3004"/>
      <c r="C2120" s="2969" t="s">
        <v>2416</v>
      </c>
      <c r="D2120" s="2968" t="s">
        <v>2379</v>
      </c>
      <c r="E2120" s="2968"/>
      <c r="F2120" s="2968">
        <v>2000</v>
      </c>
      <c r="G2120" s="2968" t="s">
        <v>510</v>
      </c>
      <c r="H2120" s="2968"/>
      <c r="I2120" s="2968"/>
      <c r="J2120" s="2968" t="str">
        <f t="shared" si="67"/>
        <v>TL X-21K</v>
      </c>
      <c r="K2120" s="2969" t="str">
        <f t="shared" si="66"/>
        <v xml:space="preserve">TL X-21KTháo và lắp bộ xà kép L75x75x8 dài 2.1m: X-21K </v>
      </c>
    </row>
    <row r="2121" spans="1:11" hidden="1">
      <c r="A2121" s="2969" t="s">
        <v>710</v>
      </c>
      <c r="B2121" s="3004"/>
      <c r="C2121" s="2969" t="s">
        <v>2421</v>
      </c>
      <c r="D2121" s="2968" t="s">
        <v>2379</v>
      </c>
      <c r="E2121" s="2968"/>
      <c r="F2121" s="2968">
        <v>2000</v>
      </c>
      <c r="G2121" s="2968" t="s">
        <v>510</v>
      </c>
      <c r="H2121" s="2968"/>
      <c r="I2121" s="2968"/>
      <c r="J2121" s="2968" t="str">
        <f t="shared" si="67"/>
        <v>TL X-26K</v>
      </c>
      <c r="K2121" s="2969" t="str">
        <f t="shared" si="66"/>
        <v xml:space="preserve">TL X-26KTháo và lắp bộ xà kép L75x75x8 dài 2.6m: X-26K_trụ PI </v>
      </c>
    </row>
    <row r="2122" spans="1:11" hidden="1">
      <c r="A2122" s="2969" t="s">
        <v>5977</v>
      </c>
      <c r="B2122" s="3004" t="s">
        <v>5978</v>
      </c>
      <c r="C2122" s="2969" t="s">
        <v>5979</v>
      </c>
      <c r="D2122" s="2968" t="s">
        <v>1818</v>
      </c>
      <c r="E2122" s="2968"/>
      <c r="F2122" s="2968">
        <v>3000</v>
      </c>
      <c r="G2122" s="2968" t="s">
        <v>510</v>
      </c>
      <c r="H2122" s="2968"/>
      <c r="I2122" s="2968"/>
      <c r="J2122" s="2968" t="str">
        <f t="shared" si="67"/>
        <v>TXPi140KG-228</v>
      </c>
      <c r="K2122" s="2969" t="str">
        <f t="shared" si="66"/>
        <v>TXPi140KG-228Tháo xà cho cột hình II, A trên cột, trọng lượng xà 140kg</v>
      </c>
    </row>
    <row r="2123" spans="1:11" hidden="1">
      <c r="A2123" s="2969" t="s">
        <v>5980</v>
      </c>
      <c r="B2123" s="3004" t="s">
        <v>5981</v>
      </c>
      <c r="C2123" s="2969" t="s">
        <v>5982</v>
      </c>
      <c r="D2123" s="2968" t="s">
        <v>1818</v>
      </c>
      <c r="E2123" s="2968"/>
      <c r="F2123" s="2968">
        <v>3000</v>
      </c>
      <c r="G2123" s="2968" t="s">
        <v>510</v>
      </c>
      <c r="H2123" s="2968"/>
      <c r="I2123" s="2968"/>
      <c r="J2123" s="2968" t="str">
        <f t="shared" si="67"/>
        <v>TXPi230KG-228</v>
      </c>
      <c r="K2123" s="2969" t="str">
        <f t="shared" si="66"/>
        <v>TXPi230KG-228Tháo xà cho cột hình II, A trên cột, trọng lượng xà 230kg</v>
      </c>
    </row>
    <row r="2124" spans="1:11" hidden="1">
      <c r="A2124" s="2969" t="s">
        <v>5983</v>
      </c>
      <c r="B2124" s="3004" t="s">
        <v>5984</v>
      </c>
      <c r="C2124" s="2969" t="s">
        <v>5985</v>
      </c>
      <c r="D2124" s="2968" t="s">
        <v>1818</v>
      </c>
      <c r="E2124" s="2968"/>
      <c r="F2124" s="2968">
        <v>3000</v>
      </c>
      <c r="G2124" s="2968" t="s">
        <v>510</v>
      </c>
      <c r="H2124" s="2968"/>
      <c r="I2124" s="2968"/>
      <c r="J2124" s="2968" t="str">
        <f t="shared" si="67"/>
        <v>TXPi320KG-228</v>
      </c>
      <c r="K2124" s="2969" t="str">
        <f t="shared" si="66"/>
        <v>TXPi320KG-228Tháo xà cho cột hình II, A trên cột, trọng lượng xà 320kg</v>
      </c>
    </row>
    <row r="2125" spans="1:11" hidden="1">
      <c r="A2125" s="2969" t="s">
        <v>5986</v>
      </c>
      <c r="B2125" s="3004" t="s">
        <v>5987</v>
      </c>
      <c r="C2125" s="2969" t="s">
        <v>5988</v>
      </c>
      <c r="D2125" s="2968" t="s">
        <v>1818</v>
      </c>
      <c r="E2125" s="2968"/>
      <c r="F2125" s="2968">
        <v>3000</v>
      </c>
      <c r="G2125" s="2968" t="s">
        <v>510</v>
      </c>
      <c r="H2125" s="2968"/>
      <c r="I2125" s="2968"/>
      <c r="J2125" s="2968" t="str">
        <f t="shared" si="67"/>
        <v>TXPi410KG-228</v>
      </c>
      <c r="K2125" s="2969" t="str">
        <f t="shared" si="66"/>
        <v>TXPi410KG-228Tháo xà cho cột hình II, A trên cột, trọng lượng xà 410kg</v>
      </c>
    </row>
    <row r="2126" spans="1:11" hidden="1">
      <c r="A2126" s="2969" t="s">
        <v>5991</v>
      </c>
      <c r="B2126" s="3004" t="s">
        <v>5930</v>
      </c>
      <c r="C2126" s="2969" t="s">
        <v>5992</v>
      </c>
      <c r="D2126" s="2968" t="s">
        <v>1818</v>
      </c>
      <c r="E2126" s="2968"/>
      <c r="F2126" s="2968">
        <v>3000</v>
      </c>
      <c r="G2126" s="2968" t="s">
        <v>510</v>
      </c>
      <c r="H2126" s="2968"/>
      <c r="I2126" s="2968"/>
      <c r="J2126" s="2968" t="str">
        <f t="shared" si="67"/>
        <v>TXCo800-228</v>
      </c>
      <c r="K2126" s="2969" t="str">
        <f t="shared" si="66"/>
        <v>TXCo800-228Tháo xà đỡ Composite trên cột dài 0,8m, trọng lượng xà 3kg</v>
      </c>
    </row>
    <row r="2127" spans="1:11" hidden="1">
      <c r="A2127" s="2969" t="s">
        <v>5995</v>
      </c>
      <c r="B2127" s="3004" t="s">
        <v>5930</v>
      </c>
      <c r="C2127" s="2969" t="s">
        <v>5996</v>
      </c>
      <c r="D2127" s="2968" t="s">
        <v>1818</v>
      </c>
      <c r="E2127" s="2968"/>
      <c r="F2127" s="2968">
        <v>3000</v>
      </c>
      <c r="G2127" s="2968" t="s">
        <v>510</v>
      </c>
      <c r="H2127" s="2968"/>
      <c r="I2127" s="2968"/>
      <c r="J2127" s="2968" t="str">
        <f t="shared" si="67"/>
        <v>TXCo260-228</v>
      </c>
      <c r="K2127" s="2969" t="str">
        <f t="shared" si="66"/>
        <v>TXCo260-228Tháo xà đỡ Composite trên cột dài 0,8m, trọng lượng xà 8kg</v>
      </c>
    </row>
    <row r="2128" spans="1:11" hidden="1">
      <c r="A2128" s="2969" t="s">
        <v>5993</v>
      </c>
      <c r="B2128" s="3004" t="s">
        <v>5930</v>
      </c>
      <c r="C2128" s="2969" t="s">
        <v>5994</v>
      </c>
      <c r="D2128" s="2968" t="s">
        <v>1818</v>
      </c>
      <c r="E2128" s="2968"/>
      <c r="F2128" s="2968">
        <v>3000</v>
      </c>
      <c r="G2128" s="2968" t="s">
        <v>510</v>
      </c>
      <c r="H2128" s="2968"/>
      <c r="I2128" s="2968"/>
      <c r="J2128" s="2968" t="str">
        <f t="shared" si="67"/>
        <v>TXCo240-228</v>
      </c>
      <c r="K2128" s="2969" t="str">
        <f t="shared" si="66"/>
        <v>TXCo240-228Tháo xà đỡ Composite trên cột dài 2,4m, trọng lượng xà 7,5kg</v>
      </c>
    </row>
    <row r="2129" spans="1:11" hidden="1">
      <c r="A2129" s="2969" t="s">
        <v>5938</v>
      </c>
      <c r="B2129" s="3004" t="s">
        <v>5939</v>
      </c>
      <c r="C2129" s="2969" t="s">
        <v>5940</v>
      </c>
      <c r="D2129" s="2968" t="s">
        <v>1818</v>
      </c>
      <c r="E2129" s="2968"/>
      <c r="F2129" s="2968">
        <v>3000</v>
      </c>
      <c r="G2129" s="2968" t="s">
        <v>510</v>
      </c>
      <c r="H2129" s="2968"/>
      <c r="I2129" s="2968"/>
      <c r="J2129" s="2968" t="str">
        <f t="shared" si="67"/>
        <v>TXĐ100KG-228</v>
      </c>
      <c r="K2129" s="2969" t="str">
        <f t="shared" si="66"/>
        <v>TXĐ100KG-228Tháo xà đỡ trên cột, trọng lượng xà 100kg</v>
      </c>
    </row>
    <row r="2130" spans="1:11" hidden="1">
      <c r="A2130" s="2969" t="s">
        <v>5941</v>
      </c>
      <c r="B2130" s="3004" t="s">
        <v>5942</v>
      </c>
      <c r="C2130" s="2969" t="s">
        <v>5943</v>
      </c>
      <c r="D2130" s="2968" t="s">
        <v>1818</v>
      </c>
      <c r="E2130" s="2968"/>
      <c r="F2130" s="2968">
        <v>3000</v>
      </c>
      <c r="G2130" s="2968" t="s">
        <v>510</v>
      </c>
      <c r="H2130" s="2968"/>
      <c r="I2130" s="2968"/>
      <c r="J2130" s="2968" t="str">
        <f t="shared" si="67"/>
        <v>TXĐ140KG-228</v>
      </c>
      <c r="K2130" s="2969" t="str">
        <f t="shared" si="66"/>
        <v>TXĐ140KG-228Tháo xà đỡ trên cột, trọng lượng xà 140kg</v>
      </c>
    </row>
    <row r="2131" spans="1:11" hidden="1">
      <c r="A2131" s="2969" t="s">
        <v>5929</v>
      </c>
      <c r="B2131" s="3004" t="s">
        <v>5930</v>
      </c>
      <c r="C2131" s="2969" t="s">
        <v>5931</v>
      </c>
      <c r="D2131" s="2968" t="s">
        <v>1818</v>
      </c>
      <c r="E2131" s="2968"/>
      <c r="F2131" s="2968">
        <v>3000</v>
      </c>
      <c r="G2131" s="2968" t="s">
        <v>510</v>
      </c>
      <c r="H2131" s="2968"/>
      <c r="I2131" s="2968"/>
      <c r="J2131" s="2968" t="str">
        <f t="shared" si="67"/>
        <v>TXĐ15KG-228</v>
      </c>
      <c r="K2131" s="2969" t="str">
        <f t="shared" si="66"/>
        <v>TXĐ15KG-228Tháo xà đỡ trên cột, trọng lượng xà 15kg</v>
      </c>
    </row>
    <row r="2132" spans="1:11" hidden="1">
      <c r="A2132" s="2969" t="s">
        <v>5944</v>
      </c>
      <c r="B2132" s="3004" t="s">
        <v>5945</v>
      </c>
      <c r="C2132" s="2969" t="s">
        <v>5946</v>
      </c>
      <c r="D2132" s="2968" t="s">
        <v>1818</v>
      </c>
      <c r="E2132" s="2968"/>
      <c r="F2132" s="2968">
        <v>3000</v>
      </c>
      <c r="G2132" s="2968" t="s">
        <v>510</v>
      </c>
      <c r="H2132" s="2968"/>
      <c r="I2132" s="2968"/>
      <c r="J2132" s="2968" t="str">
        <f t="shared" si="67"/>
        <v>TXĐ230KG-228</v>
      </c>
      <c r="K2132" s="2969" t="str">
        <f t="shared" si="66"/>
        <v>TXĐ230KG-228Tháo xà đỡ trên cột, trọng lượng xà 230kg</v>
      </c>
    </row>
    <row r="2133" spans="1:11" hidden="1">
      <c r="A2133" s="2969" t="s">
        <v>5932</v>
      </c>
      <c r="B2133" s="3004" t="s">
        <v>5933</v>
      </c>
      <c r="C2133" s="2969" t="s">
        <v>5934</v>
      </c>
      <c r="D2133" s="2968" t="s">
        <v>1818</v>
      </c>
      <c r="E2133" s="2968"/>
      <c r="F2133" s="2968">
        <v>3000</v>
      </c>
      <c r="G2133" s="2968" t="s">
        <v>510</v>
      </c>
      <c r="H2133" s="2968"/>
      <c r="I2133" s="2968"/>
      <c r="J2133" s="2968" t="str">
        <f t="shared" si="67"/>
        <v>TXĐ25KG-228</v>
      </c>
      <c r="K2133" s="2969" t="str">
        <f t="shared" si="66"/>
        <v>TXĐ25KG-228Tháo xà đỡ trên cột, trọng lượng xà 25kg</v>
      </c>
    </row>
    <row r="2134" spans="1:11" hidden="1">
      <c r="A2134" s="2969" t="s">
        <v>5935</v>
      </c>
      <c r="B2134" s="3004" t="s">
        <v>5936</v>
      </c>
      <c r="C2134" s="2969" t="s">
        <v>5937</v>
      </c>
      <c r="D2134" s="2968" t="s">
        <v>1818</v>
      </c>
      <c r="E2134" s="2968"/>
      <c r="F2134" s="2968">
        <v>3000</v>
      </c>
      <c r="G2134" s="2968" t="s">
        <v>510</v>
      </c>
      <c r="H2134" s="2968"/>
      <c r="I2134" s="2968"/>
      <c r="J2134" s="2968" t="str">
        <f t="shared" si="67"/>
        <v>TXĐ50KG-228</v>
      </c>
      <c r="K2134" s="2969" t="str">
        <f t="shared" si="66"/>
        <v>TXĐ50KG-228Tháo xà đỡ trên cột, trọng lượng xà 50kg</v>
      </c>
    </row>
    <row r="2135" spans="1:11" hidden="1">
      <c r="A2135" s="2969" t="s">
        <v>5989</v>
      </c>
      <c r="B2135" s="3004" t="s">
        <v>5930</v>
      </c>
      <c r="C2135" s="2969" t="s">
        <v>5990</v>
      </c>
      <c r="D2135" s="2968" t="s">
        <v>1818</v>
      </c>
      <c r="E2135" s="2968"/>
      <c r="F2135" s="2968">
        <v>3000</v>
      </c>
      <c r="G2135" s="2968" t="s">
        <v>510</v>
      </c>
      <c r="H2135" s="2968"/>
      <c r="I2135" s="2968"/>
      <c r="J2135" s="2968" t="str">
        <f t="shared" si="67"/>
        <v>TGIAT-228</v>
      </c>
      <c r="K2135" s="2969" t="str">
        <f t="shared" si="66"/>
        <v>TGIAT-228Tháo xà giá chữ T đỡ FCO, LA trên cột, trọng lượng xà 5,65kg</v>
      </c>
    </row>
    <row r="2136" spans="1:11" hidden="1">
      <c r="A2136" s="2969" t="s">
        <v>5965</v>
      </c>
      <c r="B2136" s="3004" t="s">
        <v>5966</v>
      </c>
      <c r="C2136" s="2969" t="s">
        <v>5967</v>
      </c>
      <c r="D2136" s="2968" t="s">
        <v>1818</v>
      </c>
      <c r="E2136" s="2968"/>
      <c r="F2136" s="2968">
        <v>3000</v>
      </c>
      <c r="G2136" s="2968" t="s">
        <v>510</v>
      </c>
      <c r="H2136" s="2968"/>
      <c r="I2136" s="2968"/>
      <c r="J2136" s="2968" t="str">
        <f t="shared" si="67"/>
        <v>TXĐup140KG-228</v>
      </c>
      <c r="K2136" s="2969" t="str">
        <f t="shared" si="66"/>
        <v>TXĐup140KG-228Tháo xà néo đúp trên cột, trọng lượng xà 140kg</v>
      </c>
    </row>
    <row r="2137" spans="1:11" hidden="1">
      <c r="A2137" s="2969" t="s">
        <v>5968</v>
      </c>
      <c r="B2137" s="3004" t="s">
        <v>5969</v>
      </c>
      <c r="C2137" s="2969" t="s">
        <v>5970</v>
      </c>
      <c r="D2137" s="2968" t="s">
        <v>1818</v>
      </c>
      <c r="E2137" s="2968"/>
      <c r="F2137" s="2968">
        <v>3000</v>
      </c>
      <c r="G2137" s="2968" t="s">
        <v>510</v>
      </c>
      <c r="H2137" s="2968"/>
      <c r="I2137" s="2968"/>
      <c r="J2137" s="2968" t="str">
        <f t="shared" si="67"/>
        <v>TXĐup230KG-228</v>
      </c>
      <c r="K2137" s="2969" t="str">
        <f t="shared" si="66"/>
        <v>TXĐup230KG-228Tháo xà néo đúp trên cột, trọng lượng xà 230kg</v>
      </c>
    </row>
    <row r="2138" spans="1:11" hidden="1">
      <c r="A2138" s="2969" t="s">
        <v>5971</v>
      </c>
      <c r="B2138" s="3004" t="s">
        <v>5972</v>
      </c>
      <c r="C2138" s="2969" t="s">
        <v>5973</v>
      </c>
      <c r="D2138" s="2968" t="s">
        <v>1818</v>
      </c>
      <c r="E2138" s="2968"/>
      <c r="F2138" s="2968">
        <v>3000</v>
      </c>
      <c r="G2138" s="2968" t="s">
        <v>510</v>
      </c>
      <c r="H2138" s="2968"/>
      <c r="I2138" s="2968"/>
      <c r="J2138" s="2968" t="str">
        <f t="shared" si="67"/>
        <v>TXĐup320KG-228</v>
      </c>
      <c r="K2138" s="2969" t="str">
        <f t="shared" si="66"/>
        <v>TXĐup320KG-228Tháo xà néo đúp trên cột, trọng lượng xà 320kg</v>
      </c>
    </row>
    <row r="2139" spans="1:11" hidden="1">
      <c r="A2139" s="2969" t="s">
        <v>5974</v>
      </c>
      <c r="B2139" s="3004" t="s">
        <v>5975</v>
      </c>
      <c r="C2139" s="2969" t="s">
        <v>5976</v>
      </c>
      <c r="D2139" s="2968" t="s">
        <v>1818</v>
      </c>
      <c r="E2139" s="2968"/>
      <c r="F2139" s="2968">
        <v>3000</v>
      </c>
      <c r="G2139" s="2968" t="s">
        <v>510</v>
      </c>
      <c r="H2139" s="2968"/>
      <c r="I2139" s="2968"/>
      <c r="J2139" s="2968" t="str">
        <f t="shared" si="67"/>
        <v>TXĐup410KG-228</v>
      </c>
      <c r="K2139" s="2969" t="str">
        <f t="shared" si="66"/>
        <v>TXĐup410KG-228Tháo xà néo đúp trên cột, trọng lượng xà 410kg</v>
      </c>
    </row>
    <row r="2140" spans="1:11" hidden="1">
      <c r="A2140" s="2969" t="s">
        <v>5956</v>
      </c>
      <c r="B2140" s="3004" t="s">
        <v>5957</v>
      </c>
      <c r="C2140" s="2969" t="s">
        <v>5958</v>
      </c>
      <c r="D2140" s="2968" t="s">
        <v>1818</v>
      </c>
      <c r="E2140" s="2968"/>
      <c r="F2140" s="2968">
        <v>3000</v>
      </c>
      <c r="G2140" s="2968" t="s">
        <v>510</v>
      </c>
      <c r="H2140" s="2968"/>
      <c r="I2140" s="2968"/>
      <c r="J2140" s="2968" t="str">
        <f t="shared" si="67"/>
        <v>TXN100KG-228</v>
      </c>
      <c r="K2140" s="2969" t="str">
        <f t="shared" si="66"/>
        <v>TXN100KG-228Tháo xà néo trên cột, trọng lượng xà 100kg</v>
      </c>
    </row>
    <row r="2141" spans="1:11" hidden="1">
      <c r="A2141" s="2969" t="s">
        <v>5959</v>
      </c>
      <c r="B2141" s="3004" t="s">
        <v>5960</v>
      </c>
      <c r="C2141" s="2969" t="s">
        <v>5961</v>
      </c>
      <c r="D2141" s="2968" t="s">
        <v>1818</v>
      </c>
      <c r="E2141" s="2968"/>
      <c r="F2141" s="2968">
        <v>3000</v>
      </c>
      <c r="G2141" s="2968" t="s">
        <v>510</v>
      </c>
      <c r="H2141" s="2968"/>
      <c r="I2141" s="2968"/>
      <c r="J2141" s="2968" t="str">
        <f t="shared" si="67"/>
        <v>TXn140KG-228</v>
      </c>
      <c r="K2141" s="2969" t="str">
        <f t="shared" si="66"/>
        <v>TXn140KG-228Tháo xà néo trên cột, trọng lượng xà 140kg</v>
      </c>
    </row>
    <row r="2142" spans="1:11" hidden="1">
      <c r="A2142" s="2969" t="s">
        <v>5947</v>
      </c>
      <c r="B2142" s="3004" t="s">
        <v>5948</v>
      </c>
      <c r="C2142" s="2969" t="s">
        <v>5949</v>
      </c>
      <c r="D2142" s="2968" t="s">
        <v>1818</v>
      </c>
      <c r="E2142" s="2968"/>
      <c r="F2142" s="2968">
        <v>3000</v>
      </c>
      <c r="G2142" s="2968" t="s">
        <v>510</v>
      </c>
      <c r="H2142" s="2968"/>
      <c r="I2142" s="2968"/>
      <c r="J2142" s="2968" t="str">
        <f t="shared" si="67"/>
        <v>TXN15KG-228</v>
      </c>
      <c r="K2142" s="2969" t="str">
        <f t="shared" si="66"/>
        <v>TXN15KG-228Tháo xà néo trên cột, trọng lượng xà 15kg</v>
      </c>
    </row>
    <row r="2143" spans="1:11" hidden="1">
      <c r="A2143" s="2969" t="s">
        <v>5962</v>
      </c>
      <c r="B2143" s="3004" t="s">
        <v>5963</v>
      </c>
      <c r="C2143" s="2969" t="s">
        <v>5964</v>
      </c>
      <c r="D2143" s="2968" t="s">
        <v>1818</v>
      </c>
      <c r="E2143" s="2968"/>
      <c r="F2143" s="2968">
        <v>3000</v>
      </c>
      <c r="G2143" s="2968" t="s">
        <v>510</v>
      </c>
      <c r="H2143" s="2968"/>
      <c r="I2143" s="2968"/>
      <c r="J2143" s="2968" t="str">
        <f t="shared" si="67"/>
        <v>TXN230KG-228</v>
      </c>
      <c r="K2143" s="2969" t="str">
        <f t="shared" si="66"/>
        <v>TXN230KG-228Tháo xà néo trên cột, trọng lượng xà 230kg</v>
      </c>
    </row>
    <row r="2144" spans="1:11" hidden="1">
      <c r="A2144" s="2969" t="s">
        <v>5950</v>
      </c>
      <c r="B2144" s="3004" t="s">
        <v>5951</v>
      </c>
      <c r="C2144" s="2969" t="s">
        <v>5952</v>
      </c>
      <c r="D2144" s="2968" t="s">
        <v>1818</v>
      </c>
      <c r="E2144" s="2968"/>
      <c r="F2144" s="2968">
        <v>3000</v>
      </c>
      <c r="G2144" s="2968" t="s">
        <v>510</v>
      </c>
      <c r="H2144" s="2968"/>
      <c r="I2144" s="2968"/>
      <c r="J2144" s="2968" t="str">
        <f t="shared" si="67"/>
        <v>TXN25KG-228</v>
      </c>
      <c r="K2144" s="2969" t="str">
        <f t="shared" si="66"/>
        <v>TXN25KG-228Tháo xà néo trên cột, trọng lượng xà 25kg</v>
      </c>
    </row>
    <row r="2145" spans="1:11" hidden="1">
      <c r="A2145" s="2969" t="s">
        <v>5953</v>
      </c>
      <c r="B2145" s="3004" t="s">
        <v>5954</v>
      </c>
      <c r="C2145" s="2969" t="s">
        <v>5955</v>
      </c>
      <c r="D2145" s="2968" t="s">
        <v>1818</v>
      </c>
      <c r="E2145" s="2968"/>
      <c r="F2145" s="2968">
        <v>3000</v>
      </c>
      <c r="G2145" s="2968" t="s">
        <v>510</v>
      </c>
      <c r="H2145" s="2968"/>
      <c r="I2145" s="2968"/>
      <c r="J2145" s="2968" t="str">
        <f t="shared" si="67"/>
        <v>TXN50KG-228</v>
      </c>
      <c r="K2145" s="2969" t="str">
        <f t="shared" si="66"/>
        <v>TXN50KG-228Tháo xà néo trên cột, trọng lượng xà 50kg</v>
      </c>
    </row>
    <row r="2146" spans="1:11" hidden="1">
      <c r="A2146" s="2969" t="s">
        <v>5914</v>
      </c>
      <c r="B2146" s="3004" t="s">
        <v>5915</v>
      </c>
      <c r="C2146" s="2969" t="s">
        <v>5916</v>
      </c>
      <c r="D2146" s="2968" t="s">
        <v>1818</v>
      </c>
      <c r="E2146" s="2968"/>
      <c r="F2146" s="2968">
        <v>3000</v>
      </c>
      <c r="G2146" s="2968" t="s">
        <v>510</v>
      </c>
      <c r="H2146" s="2968"/>
      <c r="I2146" s="2968"/>
      <c r="J2146" s="2968" t="str">
        <f t="shared" si="67"/>
        <v>TLCap1kg-228</v>
      </c>
      <c r="K2146" s="2969" t="str">
        <f t="shared" si="66"/>
        <v>TLCap1kg-228Thay cáp luồn trong ống, trọng lượng cáp &lt;= 1 kg/m (&lt;=95mm2) (định mức 228)</v>
      </c>
    </row>
    <row r="2147" spans="1:11" hidden="1">
      <c r="A2147" s="2969" t="s">
        <v>5917</v>
      </c>
      <c r="B2147" s="3004" t="s">
        <v>5918</v>
      </c>
      <c r="C2147" s="2969" t="s">
        <v>5919</v>
      </c>
      <c r="D2147" s="2968" t="s">
        <v>1818</v>
      </c>
      <c r="E2147" s="2968"/>
      <c r="F2147" s="2968">
        <v>3000</v>
      </c>
      <c r="G2147" s="2968" t="s">
        <v>510</v>
      </c>
      <c r="H2147" s="2968"/>
      <c r="I2147" s="2968"/>
      <c r="J2147" s="2968" t="str">
        <f t="shared" si="67"/>
        <v>TLCap2kg-228</v>
      </c>
      <c r="K2147" s="2969" t="str">
        <f t="shared" si="66"/>
        <v>TLCap2kg-228Thay cáp luồn trong ống, trọng lượng cáp &lt;= 2 kg/m (&lt;=200mm2) (định mức 228)</v>
      </c>
    </row>
    <row r="2148" spans="1:11" hidden="1">
      <c r="A2148" s="2969" t="s">
        <v>5920</v>
      </c>
      <c r="B2148" s="3004" t="s">
        <v>5921</v>
      </c>
      <c r="C2148" s="2969" t="s">
        <v>5922</v>
      </c>
      <c r="D2148" s="2968" t="s">
        <v>1818</v>
      </c>
      <c r="E2148" s="2968"/>
      <c r="F2148" s="2968">
        <v>3000</v>
      </c>
      <c r="G2148" s="2968" t="s">
        <v>510</v>
      </c>
      <c r="H2148" s="2968"/>
      <c r="I2148" s="2968"/>
      <c r="J2148" s="2968" t="str">
        <f t="shared" si="67"/>
        <v>TLCap3kg-228</v>
      </c>
      <c r="K2148" s="2969" t="str">
        <f t="shared" si="66"/>
        <v>TLCap3kg-228Thay cáp luồn trong ống, trọng lượng cáp &lt;= 3 kg/m (&lt;=300mm2) (định mức 228)</v>
      </c>
    </row>
    <row r="2149" spans="1:11" hidden="1">
      <c r="A2149" s="2969" t="s">
        <v>5923</v>
      </c>
      <c r="B2149" s="3004" t="s">
        <v>5924</v>
      </c>
      <c r="C2149" s="2969" t="s">
        <v>5925</v>
      </c>
      <c r="D2149" s="2968" t="s">
        <v>1818</v>
      </c>
      <c r="E2149" s="2968"/>
      <c r="F2149" s="2968">
        <v>3000</v>
      </c>
      <c r="G2149" s="2968" t="s">
        <v>510</v>
      </c>
      <c r="H2149" s="2968"/>
      <c r="I2149" s="2968"/>
      <c r="J2149" s="2968" t="str">
        <f t="shared" si="67"/>
        <v>TLCap4,5kg-228</v>
      </c>
      <c r="K2149" s="2969" t="str">
        <f t="shared" si="66"/>
        <v>TLCap4,5kg-228Thay cáp luồn trong ống, trọng lượng cáp &lt;= 4,5 kg/m (&lt;=400mm2) (định mức 228)</v>
      </c>
    </row>
    <row r="2150" spans="1:11" hidden="1">
      <c r="A2150" s="2969" t="s">
        <v>5926</v>
      </c>
      <c r="B2150" s="3004" t="s">
        <v>5927</v>
      </c>
      <c r="C2150" s="2969" t="s">
        <v>5928</v>
      </c>
      <c r="D2150" s="2968" t="s">
        <v>1818</v>
      </c>
      <c r="E2150" s="2968"/>
      <c r="F2150" s="2968">
        <v>3000</v>
      </c>
      <c r="G2150" s="2968" t="s">
        <v>510</v>
      </c>
      <c r="H2150" s="2968"/>
      <c r="I2150" s="2968"/>
      <c r="J2150" s="2968" t="str">
        <f t="shared" si="67"/>
        <v>TLCap6kg-228</v>
      </c>
      <c r="K2150" s="2969" t="str">
        <f t="shared" si="66"/>
        <v>TLCap6kg-228Thay cáp luồn trong ống, trọng lượng cáp &lt;= 6 kg/m (định mức 228)</v>
      </c>
    </row>
    <row r="2151" spans="1:11" hidden="1">
      <c r="A2151" s="2969" t="s">
        <v>878</v>
      </c>
      <c r="B2151" s="3004"/>
      <c r="C2151" s="2969" t="s">
        <v>2954</v>
      </c>
      <c r="D2151" s="2968" t="s">
        <v>2243</v>
      </c>
      <c r="E2151" s="2968"/>
      <c r="F2151" s="2968">
        <v>50</v>
      </c>
      <c r="G2151" s="2968" t="s">
        <v>510</v>
      </c>
      <c r="H2151" s="2968"/>
      <c r="I2151" s="2968"/>
      <c r="J2151" s="2968" t="str">
        <f t="shared" si="67"/>
        <v>thept2</v>
      </c>
      <c r="K2151" s="2969" t="str">
        <f t="shared" si="66"/>
        <v>thept2Thép tấm 2mm</v>
      </c>
    </row>
    <row r="2152" spans="1:11" hidden="1">
      <c r="A2152" s="2969" t="s">
        <v>340</v>
      </c>
      <c r="B2152" s="3004"/>
      <c r="C2152" s="2969" t="s">
        <v>2953</v>
      </c>
      <c r="D2152" s="2968" t="s">
        <v>2243</v>
      </c>
      <c r="E2152" s="2968"/>
      <c r="F2152" s="2968">
        <v>50</v>
      </c>
      <c r="G2152" s="2968" t="s">
        <v>510</v>
      </c>
      <c r="H2152" s="2968"/>
      <c r="I2152" s="2968"/>
      <c r="J2152" s="2968" t="str">
        <f t="shared" si="67"/>
        <v>thept4</v>
      </c>
      <c r="K2152" s="2969" t="str">
        <f t="shared" si="66"/>
        <v>thept4Thép tấm 4mm</v>
      </c>
    </row>
    <row r="2153" spans="1:11" hidden="1">
      <c r="A2153" s="2969" t="s">
        <v>697</v>
      </c>
      <c r="B2153" s="3004"/>
      <c r="C2153" s="2969" t="s">
        <v>2952</v>
      </c>
      <c r="D2153" s="2968" t="s">
        <v>2243</v>
      </c>
      <c r="E2153" s="2968"/>
      <c r="F2153" s="2968">
        <v>50</v>
      </c>
      <c r="G2153" s="2968" t="s">
        <v>510</v>
      </c>
      <c r="H2153" s="2968"/>
      <c r="I2153" s="2968"/>
      <c r="J2153" s="2968" t="str">
        <f t="shared" si="67"/>
        <v>thept5</v>
      </c>
      <c r="K2153" s="2969" t="str">
        <f t="shared" si="66"/>
        <v>thept5Thép tấm 5mm</v>
      </c>
    </row>
    <row r="2154" spans="1:11" hidden="1">
      <c r="A2154" s="2969" t="s">
        <v>52</v>
      </c>
      <c r="B2154" s="3004"/>
      <c r="C2154" s="2969" t="s">
        <v>2951</v>
      </c>
      <c r="D2154" s="2968" t="s">
        <v>2243</v>
      </c>
      <c r="E2154" s="2968"/>
      <c r="F2154" s="2968">
        <v>50</v>
      </c>
      <c r="G2154" s="2968" t="s">
        <v>510</v>
      </c>
      <c r="H2154" s="2968"/>
      <c r="I2154" s="2968"/>
      <c r="J2154" s="2968" t="str">
        <f t="shared" si="67"/>
        <v>thept6</v>
      </c>
      <c r="K2154" s="2969" t="str">
        <f t="shared" si="66"/>
        <v>thept6Thép tấm 6mm</v>
      </c>
    </row>
    <row r="2155" spans="1:11" hidden="1">
      <c r="A2155" s="2969" t="s">
        <v>1910</v>
      </c>
      <c r="B2155" s="2986" t="s">
        <v>1665</v>
      </c>
      <c r="C2155" s="2969" t="s">
        <v>3379</v>
      </c>
      <c r="D2155" s="2968" t="s">
        <v>2547</v>
      </c>
      <c r="E2155" s="2968"/>
      <c r="F2155" s="2968">
        <v>50</v>
      </c>
      <c r="G2155" s="2968" t="s">
        <v>510</v>
      </c>
      <c r="H2155" s="2968"/>
      <c r="I2155" s="2968"/>
      <c r="J2155" s="2968" t="str">
        <f t="shared" si="67"/>
        <v>TUDKDT</v>
      </c>
      <c r="K2155" s="2969" t="str">
        <f t="shared" si="66"/>
        <v>TUDKDTThùng điện kế 450x300x200mm đo đếm trung thế</v>
      </c>
    </row>
    <row r="2156" spans="1:11" hidden="1">
      <c r="A2156" s="2969" t="s">
        <v>7250</v>
      </c>
      <c r="B2156" s="3004" t="s">
        <v>7251</v>
      </c>
      <c r="C2156" s="2969" t="s">
        <v>3379</v>
      </c>
      <c r="D2156" s="2968" t="s">
        <v>2433</v>
      </c>
      <c r="E2156" s="2968"/>
      <c r="F2156" s="2968">
        <v>2000</v>
      </c>
      <c r="G2156" s="2968" t="s">
        <v>355</v>
      </c>
      <c r="H2156" s="2968"/>
      <c r="I2156" s="2968"/>
      <c r="J2156" s="2968" t="str">
        <f t="shared" si="67"/>
        <v>TUDK</v>
      </c>
      <c r="K2156" s="2969" t="str">
        <f t="shared" si="66"/>
        <v>TUDKThùng điện kế 450x300x200mm đo đếm trung thế</v>
      </c>
    </row>
    <row r="2157" spans="1:11" hidden="1">
      <c r="A2157" s="2969" t="s">
        <v>5716</v>
      </c>
      <c r="B2157" s="3004"/>
      <c r="C2157" s="2969" t="s">
        <v>5717</v>
      </c>
      <c r="D2157" s="2968" t="s">
        <v>2547</v>
      </c>
      <c r="E2157" s="2968"/>
      <c r="F2157" s="2968">
        <v>50</v>
      </c>
      <c r="G2157" s="2968" t="s">
        <v>355</v>
      </c>
      <c r="H2157" s="2968"/>
      <c r="I2157" s="2968"/>
      <c r="J2157" s="2968" t="str">
        <f t="shared" si="67"/>
        <v>TĐCĐABC120</v>
      </c>
      <c r="K2157" s="2969" t="str">
        <f t="shared" si="66"/>
        <v>TĐCĐABC120Tiếp địa cố định cáp ABC 120mm2</v>
      </c>
    </row>
    <row r="2158" spans="1:11" hidden="1">
      <c r="A2158" s="2969" t="s">
        <v>5718</v>
      </c>
      <c r="B2158" s="3004"/>
      <c r="C2158" s="2969" t="s">
        <v>5719</v>
      </c>
      <c r="D2158" s="2968" t="s">
        <v>2547</v>
      </c>
      <c r="E2158" s="2968"/>
      <c r="F2158" s="2968">
        <v>50</v>
      </c>
      <c r="G2158" s="2968" t="s">
        <v>355</v>
      </c>
      <c r="H2158" s="2968"/>
      <c r="I2158" s="2968"/>
      <c r="J2158" s="2968" t="str">
        <f t="shared" si="67"/>
        <v>TĐCĐABC95</v>
      </c>
      <c r="K2158" s="2969" t="str">
        <f t="shared" si="66"/>
        <v>TĐCĐABC95Tiếp địa cố định cáp ABC 95mm2</v>
      </c>
    </row>
    <row r="2159" spans="1:11" hidden="1">
      <c r="A2159" s="2969" t="s">
        <v>7252</v>
      </c>
      <c r="B2159" s="3004"/>
      <c r="C2159" s="2969" t="s">
        <v>7253</v>
      </c>
      <c r="D2159" s="2968" t="s">
        <v>2379</v>
      </c>
      <c r="E2159" s="2968"/>
      <c r="F2159" s="2968">
        <v>2000</v>
      </c>
      <c r="G2159" s="2968" t="s">
        <v>1898</v>
      </c>
      <c r="H2159" s="2968"/>
      <c r="I2159" s="2968"/>
      <c r="J2159" s="2968" t="str">
        <f t="shared" si="67"/>
        <v>TDLA1</v>
      </c>
      <c r="K2159" s="2969" t="str">
        <f t="shared" si="66"/>
        <v>TDLA1Tiếp địa LA trụ 12m (1 pha)</v>
      </c>
    </row>
    <row r="2160" spans="1:11" hidden="1">
      <c r="A2160" s="2969" t="s">
        <v>7254</v>
      </c>
      <c r="B2160" s="3004"/>
      <c r="C2160" s="2969" t="s">
        <v>7255</v>
      </c>
      <c r="D2160" s="2968" t="s">
        <v>2379</v>
      </c>
      <c r="E2160" s="2968"/>
      <c r="F2160" s="2968">
        <v>2000</v>
      </c>
      <c r="G2160" s="2968" t="s">
        <v>1898</v>
      </c>
      <c r="H2160" s="2968"/>
      <c r="I2160" s="2968"/>
      <c r="J2160" s="2968" t="str">
        <f t="shared" si="67"/>
        <v>TDLA</v>
      </c>
      <c r="K2160" s="2969" t="str">
        <f t="shared" si="66"/>
        <v>TDLATiếp địa LA trụ 12m (3 pha)</v>
      </c>
    </row>
    <row r="2161" spans="1:11" hidden="1">
      <c r="A2161" s="2969" t="s">
        <v>7256</v>
      </c>
      <c r="B2161" s="3004"/>
      <c r="C2161" s="2969" t="s">
        <v>7257</v>
      </c>
      <c r="D2161" s="2968" t="s">
        <v>2379</v>
      </c>
      <c r="E2161" s="2968"/>
      <c r="F2161" s="2968">
        <v>2000</v>
      </c>
      <c r="G2161" s="2968" t="s">
        <v>1898</v>
      </c>
      <c r="H2161" s="2968"/>
      <c r="I2161" s="2968"/>
      <c r="J2161" s="2968" t="str">
        <f t="shared" si="67"/>
        <v>TDLL10</v>
      </c>
      <c r="K2161" s="2969" t="str">
        <f t="shared" si="66"/>
        <v>TDLL10Tiếp địa lặp lại (trụ 10,5m)</v>
      </c>
    </row>
    <row r="2162" spans="1:11" hidden="1">
      <c r="A2162" s="2969" t="s">
        <v>2137</v>
      </c>
      <c r="B2162" s="3004"/>
      <c r="C2162" s="2969" t="s">
        <v>2384</v>
      </c>
      <c r="D2162" s="2968" t="s">
        <v>2379</v>
      </c>
      <c r="E2162" s="2968"/>
      <c r="F2162" s="2968">
        <v>2000</v>
      </c>
      <c r="G2162" s="2968" t="s">
        <v>1898</v>
      </c>
      <c r="H2162" s="2968"/>
      <c r="I2162" s="2968"/>
      <c r="J2162" s="2968" t="str">
        <f t="shared" si="67"/>
        <v>TDTT105</v>
      </c>
      <c r="K2162" s="2969" t="str">
        <f t="shared" si="66"/>
        <v>TDTT105Tiếp địa lặp lại (trụ 10.5m)</v>
      </c>
    </row>
    <row r="2163" spans="1:11" hidden="1">
      <c r="A2163" s="2969" t="s">
        <v>1633</v>
      </c>
      <c r="B2163" s="3004"/>
      <c r="C2163" s="2969" t="s">
        <v>2385</v>
      </c>
      <c r="D2163" s="2968" t="s">
        <v>2379</v>
      </c>
      <c r="E2163" s="2968"/>
      <c r="F2163" s="2968">
        <v>2000</v>
      </c>
      <c r="G2163" s="2968" t="s">
        <v>1898</v>
      </c>
      <c r="H2163" s="2968"/>
      <c r="I2163" s="2968"/>
      <c r="J2163" s="2968" t="str">
        <f t="shared" si="67"/>
        <v>TDTT12</v>
      </c>
      <c r="K2163" s="2969" t="str">
        <f t="shared" si="66"/>
        <v>TDTT12Tiếp địa lặp lại (trụ 12m)</v>
      </c>
    </row>
    <row r="2164" spans="1:11" hidden="1">
      <c r="A2164" s="2969" t="s">
        <v>7258</v>
      </c>
      <c r="B2164" s="3004"/>
      <c r="C2164" s="2969" t="s">
        <v>2388</v>
      </c>
      <c r="D2164" s="2968" t="s">
        <v>2379</v>
      </c>
      <c r="E2164" s="2968"/>
      <c r="F2164" s="2968">
        <v>2000</v>
      </c>
      <c r="G2164" s="2968" t="s">
        <v>1898</v>
      </c>
      <c r="H2164" s="2968"/>
      <c r="I2164" s="2968"/>
      <c r="J2164" s="2968" t="str">
        <f t="shared" si="67"/>
        <v>TDLL14</v>
      </c>
      <c r="K2164" s="2969" t="str">
        <f t="shared" si="66"/>
        <v>TDLL14Tiếp địa lặp lại (trụ 14m)</v>
      </c>
    </row>
    <row r="2165" spans="1:11" hidden="1">
      <c r="A2165" s="2969" t="s">
        <v>1634</v>
      </c>
      <c r="B2165" s="3004"/>
      <c r="C2165" s="2969" t="s">
        <v>2388</v>
      </c>
      <c r="D2165" s="2968" t="s">
        <v>2379</v>
      </c>
      <c r="E2165" s="2968"/>
      <c r="F2165" s="2968">
        <v>2000</v>
      </c>
      <c r="G2165" s="2968" t="s">
        <v>1898</v>
      </c>
      <c r="H2165" s="2968"/>
      <c r="I2165" s="2968"/>
      <c r="J2165" s="2968" t="str">
        <f t="shared" si="67"/>
        <v>TDTT14</v>
      </c>
      <c r="K2165" s="2969" t="str">
        <f t="shared" si="66"/>
        <v>TDTT14Tiếp địa lặp lại (trụ 14m)</v>
      </c>
    </row>
    <row r="2166" spans="1:11" hidden="1">
      <c r="A2166" s="2969" t="s">
        <v>7259</v>
      </c>
      <c r="B2166" s="3004"/>
      <c r="C2166" s="2969" t="s">
        <v>2389</v>
      </c>
      <c r="D2166" s="2968" t="s">
        <v>2379</v>
      </c>
      <c r="E2166" s="2968"/>
      <c r="F2166" s="2968">
        <v>2000</v>
      </c>
      <c r="G2166" s="2968" t="s">
        <v>1898</v>
      </c>
      <c r="H2166" s="2968"/>
      <c r="I2166" s="2968"/>
      <c r="J2166" s="2968" t="str">
        <f t="shared" si="67"/>
        <v>TDLL20</v>
      </c>
      <c r="K2166" s="2969" t="str">
        <f t="shared" si="66"/>
        <v>TDLL20Tiếp địa lặp lại (trụ 20m)</v>
      </c>
    </row>
    <row r="2167" spans="1:11" hidden="1">
      <c r="A2167" s="2969" t="s">
        <v>1979</v>
      </c>
      <c r="B2167" s="3004"/>
      <c r="C2167" s="2969" t="s">
        <v>2389</v>
      </c>
      <c r="D2167" s="2968" t="s">
        <v>2379</v>
      </c>
      <c r="E2167" s="2968"/>
      <c r="F2167" s="2968">
        <v>2000</v>
      </c>
      <c r="G2167" s="2968" t="s">
        <v>1898</v>
      </c>
      <c r="H2167" s="2968"/>
      <c r="I2167" s="2968"/>
      <c r="J2167" s="2968" t="str">
        <f t="shared" si="67"/>
        <v>TDTT20</v>
      </c>
      <c r="K2167" s="2969" t="str">
        <f t="shared" si="66"/>
        <v>TDTT20Tiếp địa lặp lại (trụ 20m)</v>
      </c>
    </row>
    <row r="2168" spans="1:11" hidden="1">
      <c r="A2168" s="2969" t="s">
        <v>1558</v>
      </c>
      <c r="B2168" s="3004"/>
      <c r="C2168" s="2969" t="s">
        <v>2378</v>
      </c>
      <c r="D2168" s="2968" t="s">
        <v>2379</v>
      </c>
      <c r="E2168" s="2968"/>
      <c r="F2168" s="2968">
        <v>2000</v>
      </c>
      <c r="G2168" s="2968" t="s">
        <v>1898</v>
      </c>
      <c r="H2168" s="2968"/>
      <c r="I2168" s="2968"/>
      <c r="J2168" s="2968" t="str">
        <f t="shared" si="67"/>
        <v>TD75</v>
      </c>
      <c r="K2168" s="2969" t="str">
        <f t="shared" si="66"/>
        <v>TD75Tiếp địa lặp lại (trụ 7.5m)</v>
      </c>
    </row>
    <row r="2169" spans="1:11" hidden="1">
      <c r="A2169" s="2969" t="s">
        <v>7260</v>
      </c>
      <c r="B2169" s="3004"/>
      <c r="C2169" s="2969" t="s">
        <v>7261</v>
      </c>
      <c r="D2169" s="2968" t="s">
        <v>2379</v>
      </c>
      <c r="E2169" s="2968"/>
      <c r="F2169" s="2968">
        <v>2000</v>
      </c>
      <c r="G2169" s="2968" t="s">
        <v>1898</v>
      </c>
      <c r="H2169" s="2968"/>
      <c r="I2169" s="2968"/>
      <c r="J2169" s="2968" t="str">
        <f t="shared" si="67"/>
        <v>TDLL85</v>
      </c>
      <c r="K2169" s="2969" t="str">
        <f t="shared" si="66"/>
        <v>TDLL85Tiếp địa lặp lại (trụ 8,5m)</v>
      </c>
    </row>
    <row r="2170" spans="1:11" hidden="1">
      <c r="A2170" s="2969" t="s">
        <v>1559</v>
      </c>
      <c r="B2170" s="3004"/>
      <c r="C2170" s="2969" t="s">
        <v>2381</v>
      </c>
      <c r="D2170" s="2968" t="s">
        <v>2379</v>
      </c>
      <c r="E2170" s="2968"/>
      <c r="F2170" s="2968">
        <v>2000</v>
      </c>
      <c r="G2170" s="2968" t="s">
        <v>1898</v>
      </c>
      <c r="H2170" s="2968"/>
      <c r="I2170" s="2968"/>
      <c r="J2170" s="2968" t="str">
        <f t="shared" si="67"/>
        <v>TD85</v>
      </c>
      <c r="K2170" s="2969" t="str">
        <f t="shared" si="66"/>
        <v>TD85Tiếp địa lặp lại (trụ 8.4m)</v>
      </c>
    </row>
    <row r="2171" spans="1:11" hidden="1">
      <c r="A2171" s="2969" t="s">
        <v>2230</v>
      </c>
      <c r="B2171" s="3004"/>
      <c r="C2171" s="2969" t="s">
        <v>2386</v>
      </c>
      <c r="D2171" s="2968" t="s">
        <v>2379</v>
      </c>
      <c r="E2171" s="2968"/>
      <c r="F2171" s="2968">
        <v>2000</v>
      </c>
      <c r="G2171" s="2968" t="s">
        <v>1898</v>
      </c>
      <c r="H2171" s="2968"/>
      <c r="I2171" s="2968"/>
      <c r="J2171" s="2968" t="str">
        <f t="shared" si="67"/>
        <v>TDLL12</v>
      </c>
      <c r="K2171" s="2969" t="str">
        <f t="shared" si="66"/>
        <v>TDLL12Tiếp địa lặp lại trụ 12m</v>
      </c>
    </row>
    <row r="2172" spans="1:11" hidden="1">
      <c r="A2172" s="2969" t="s">
        <v>5</v>
      </c>
      <c r="B2172" s="3004"/>
      <c r="C2172" s="2969" t="s">
        <v>4227</v>
      </c>
      <c r="D2172" s="2968" t="s">
        <v>2379</v>
      </c>
      <c r="E2172" s="2968"/>
      <c r="F2172" s="2968">
        <v>2000</v>
      </c>
      <c r="G2172" s="2968" t="s">
        <v>1898</v>
      </c>
      <c r="H2172" s="2968"/>
      <c r="I2172" s="2968"/>
      <c r="J2172" s="2968" t="str">
        <f t="shared" si="67"/>
        <v>TD85ABC</v>
      </c>
      <c r="K2172" s="2969" t="str">
        <f t="shared" si="66"/>
        <v>TD85ABCTiếp địa lặp lại trụ 7,5m cáp ABC</v>
      </c>
    </row>
    <row r="2173" spans="1:11" hidden="1">
      <c r="A2173" s="2969" t="s">
        <v>545</v>
      </c>
      <c r="B2173" s="3004"/>
      <c r="C2173" s="2969" t="s">
        <v>2390</v>
      </c>
      <c r="D2173" s="2968" t="s">
        <v>2379</v>
      </c>
      <c r="E2173" s="2968"/>
      <c r="F2173" s="2968">
        <v>2000</v>
      </c>
      <c r="G2173" s="2968" t="s">
        <v>1898</v>
      </c>
      <c r="H2173" s="2968"/>
      <c r="I2173" s="2968"/>
      <c r="J2173" s="2968" t="str">
        <f t="shared" si="67"/>
        <v>TDMT</v>
      </c>
      <c r="K2173" s="2969" t="str">
        <f t="shared" si="66"/>
        <v>TDMTTiếp địa mái tole</v>
      </c>
    </row>
    <row r="2174" spans="1:11" hidden="1">
      <c r="A2174" s="2969" t="s">
        <v>6339</v>
      </c>
      <c r="B2174" s="3004"/>
      <c r="C2174" s="2969" t="s">
        <v>6340</v>
      </c>
      <c r="D2174" s="2968" t="s">
        <v>2379</v>
      </c>
      <c r="E2174" s="2968"/>
      <c r="F2174" s="2968">
        <v>2000</v>
      </c>
      <c r="G2174" s="2968" t="s">
        <v>1898</v>
      </c>
      <c r="H2174" s="2968"/>
      <c r="I2174" s="2968"/>
      <c r="J2174" s="2968" t="str">
        <f t="shared" si="67"/>
        <v>TDTBA</v>
      </c>
      <c r="K2174" s="2969" t="str">
        <f t="shared" si="66"/>
        <v>TDTBATiếp địa trạm biến áp</v>
      </c>
    </row>
    <row r="2175" spans="1:11" hidden="1">
      <c r="A2175" s="2969" t="s">
        <v>1050</v>
      </c>
      <c r="B2175" s="3004"/>
      <c r="C2175" s="2969" t="s">
        <v>2391</v>
      </c>
      <c r="D2175" s="2968" t="s">
        <v>2379</v>
      </c>
      <c r="E2175" s="2968"/>
      <c r="F2175" s="2968">
        <v>2000</v>
      </c>
      <c r="G2175" s="2968" t="s">
        <v>1898</v>
      </c>
      <c r="H2175" s="2968"/>
      <c r="I2175" s="2968"/>
      <c r="J2175" s="2968" t="str">
        <f t="shared" si="67"/>
        <v>TDDD</v>
      </c>
      <c r="K2175" s="2969" t="str">
        <f t="shared" si="66"/>
        <v>TDDDTiếp địa trụ đo đếm</v>
      </c>
    </row>
    <row r="2176" spans="1:11">
      <c r="A2176" s="2969" t="s">
        <v>6405</v>
      </c>
      <c r="B2176" s="3004"/>
      <c r="C2176" s="2969" t="s">
        <v>6406</v>
      </c>
      <c r="D2176" s="2968" t="s">
        <v>2379</v>
      </c>
      <c r="E2176" s="2968"/>
      <c r="F2176" s="2968">
        <v>2000</v>
      </c>
      <c r="G2176" s="2968" t="s">
        <v>1898</v>
      </c>
      <c r="H2176" s="2968"/>
      <c r="I2176" s="2968"/>
      <c r="J2176" s="2968" t="str">
        <f t="shared" si="67"/>
        <v>TDTB</v>
      </c>
      <c r="K2176" s="2969" t="str">
        <f t="shared" si="66"/>
        <v>TDTBTiếp địa trụ Recloser, LBS</v>
      </c>
    </row>
    <row r="2177" spans="1:11" hidden="1">
      <c r="A2177" s="2969" t="s">
        <v>513</v>
      </c>
      <c r="B2177" s="3004"/>
      <c r="C2177" s="2969" t="s">
        <v>2383</v>
      </c>
      <c r="D2177" s="2968" t="s">
        <v>2379</v>
      </c>
      <c r="E2177" s="2968"/>
      <c r="F2177" s="2968">
        <v>2000</v>
      </c>
      <c r="G2177" s="2968" t="s">
        <v>1898</v>
      </c>
      <c r="H2177" s="2968"/>
      <c r="I2177" s="2968"/>
      <c r="J2177" s="2968" t="str">
        <f t="shared" si="67"/>
        <v>TDTUPP</v>
      </c>
      <c r="K2177" s="2969" t="str">
        <f t="shared" si="66"/>
        <v>TDTUPPTiếp địa tủ phân phối hạ thế</v>
      </c>
    </row>
    <row r="2178" spans="1:11" hidden="1">
      <c r="A2178" s="2969" t="s">
        <v>6468</v>
      </c>
      <c r="B2178" s="3004"/>
      <c r="C2178" s="2969" t="s">
        <v>6470</v>
      </c>
      <c r="D2178" s="2968" t="s">
        <v>2271</v>
      </c>
      <c r="E2178" s="2968"/>
      <c r="F2178" s="2968">
        <v>3000</v>
      </c>
      <c r="G2178" s="2968" t="s">
        <v>510</v>
      </c>
      <c r="H2178" s="2968"/>
      <c r="I2178" s="2968"/>
      <c r="J2178" s="2968" t="str">
        <f t="shared" si="67"/>
        <v>BTLT 12-L</v>
      </c>
      <c r="K2178" s="2969" t="str">
        <f t="shared" si="66"/>
        <v>BTLT 12-LTrồng Trụ bê tông ly tâm 12m</v>
      </c>
    </row>
    <row r="2179" spans="1:11" hidden="1">
      <c r="A2179" s="2969" t="s">
        <v>299</v>
      </c>
      <c r="B2179" s="3004"/>
      <c r="C2179" s="2969" t="s">
        <v>2400</v>
      </c>
      <c r="D2179" s="2968" t="s">
        <v>2271</v>
      </c>
      <c r="E2179" s="2968"/>
      <c r="F2179" s="2968">
        <v>2000</v>
      </c>
      <c r="G2179" s="2968" t="s">
        <v>7262</v>
      </c>
      <c r="H2179" s="2968"/>
      <c r="I2179" s="2968"/>
      <c r="J2179" s="2968" t="str">
        <f t="shared" si="67"/>
        <v>BTLT 10.5</v>
      </c>
      <c r="K2179" s="2969" t="str">
        <f t="shared" ref="K2179:K2242" si="68">A2179&amp;C2179</f>
        <v>BTLT 10.5Trụ bê tông ly tâm 10.5m</v>
      </c>
    </row>
    <row r="2180" spans="1:11" hidden="1">
      <c r="A2180" s="2969" t="s">
        <v>7263</v>
      </c>
      <c r="B2180" s="3004" t="s">
        <v>6866</v>
      </c>
      <c r="C2180" s="2969" t="s">
        <v>2400</v>
      </c>
      <c r="D2180" s="2968" t="s">
        <v>2271</v>
      </c>
      <c r="E2180" s="2968"/>
      <c r="F2180" s="2968">
        <v>2000</v>
      </c>
      <c r="G2180" s="2968" t="s">
        <v>7262</v>
      </c>
      <c r="H2180" s="2968"/>
      <c r="I2180" s="2968"/>
      <c r="J2180" s="2968" t="str">
        <f t="shared" ref="J2180:J2243" si="69">A2180</f>
        <v>BTLT10</v>
      </c>
      <c r="K2180" s="2969" t="str">
        <f t="shared" si="68"/>
        <v>BTLT10Trụ bê tông ly tâm 10.5m</v>
      </c>
    </row>
    <row r="2181" spans="1:11" hidden="1">
      <c r="A2181" s="2969" t="s">
        <v>7264</v>
      </c>
      <c r="B2181" s="3004" t="s">
        <v>7031</v>
      </c>
      <c r="C2181" s="2969" t="s">
        <v>7265</v>
      </c>
      <c r="D2181" s="2968" t="s">
        <v>2271</v>
      </c>
      <c r="E2181" s="2968"/>
      <c r="F2181" s="2968">
        <v>2000</v>
      </c>
      <c r="G2181" s="2968" t="s">
        <v>7262</v>
      </c>
      <c r="H2181" s="2968"/>
      <c r="I2181" s="2968"/>
      <c r="J2181" s="2968" t="str">
        <f t="shared" si="69"/>
        <v>TRU10SDL</v>
      </c>
      <c r="K2181" s="2969" t="str">
        <f t="shared" si="68"/>
        <v>TRU10SDLTrụ bê tông ly tâm 10.5m (SDL)</v>
      </c>
    </row>
    <row r="2182" spans="1:11" hidden="1">
      <c r="A2182" s="2969" t="s">
        <v>4607</v>
      </c>
      <c r="B2182" s="3004"/>
      <c r="C2182" s="2969" t="s">
        <v>3695</v>
      </c>
      <c r="D2182" s="2968" t="s">
        <v>2433</v>
      </c>
      <c r="E2182" s="2968"/>
      <c r="F2182" s="2968">
        <v>2000</v>
      </c>
      <c r="G2182" s="2968" t="s">
        <v>7262</v>
      </c>
      <c r="H2182" s="2968"/>
      <c r="I2182" s="2968"/>
      <c r="J2182" s="2968" t="str">
        <f t="shared" si="69"/>
        <v>BTLT 12 F540</v>
      </c>
      <c r="K2182" s="2969" t="str">
        <f t="shared" si="68"/>
        <v>BTLT 12 F540Trụ bê tông ly tâm 12m</v>
      </c>
    </row>
    <row r="2183" spans="1:11" hidden="1">
      <c r="A2183" s="2969" t="s">
        <v>7266</v>
      </c>
      <c r="B2183" s="3004"/>
      <c r="C2183" s="2969" t="s">
        <v>3695</v>
      </c>
      <c r="D2183" s="2968" t="s">
        <v>2379</v>
      </c>
      <c r="E2183" s="2968"/>
      <c r="F2183" s="2968">
        <v>2000</v>
      </c>
      <c r="G2183" s="2968" t="s">
        <v>7262</v>
      </c>
      <c r="H2183" s="2968"/>
      <c r="I2183" s="2968"/>
      <c r="J2183" s="2968" t="str">
        <f t="shared" si="69"/>
        <v>BTLT-12</v>
      </c>
      <c r="K2183" s="2969" t="str">
        <f t="shared" si="68"/>
        <v>BTLT-12Trụ bê tông ly tâm 12m</v>
      </c>
    </row>
    <row r="2184" spans="1:11" hidden="1">
      <c r="A2184" s="2969" t="s">
        <v>7267</v>
      </c>
      <c r="B2184" s="3004" t="s">
        <v>7022</v>
      </c>
      <c r="C2184" s="2969" t="s">
        <v>7268</v>
      </c>
      <c r="D2184" s="2968" t="s">
        <v>2271</v>
      </c>
      <c r="E2184" s="2968"/>
      <c r="F2184" s="2968">
        <v>2000</v>
      </c>
      <c r="G2184" s="2968" t="s">
        <v>7262</v>
      </c>
      <c r="H2184" s="2968"/>
      <c r="I2184" s="2968"/>
      <c r="J2184" s="2968" t="str">
        <f t="shared" si="69"/>
        <v>TRU12SDL</v>
      </c>
      <c r="K2184" s="2969" t="str">
        <f t="shared" si="68"/>
        <v>TRU12SDLTrụ bê tông ly tâm 12m (SDL)</v>
      </c>
    </row>
    <row r="2185" spans="1:11" hidden="1">
      <c r="A2185" s="2969" t="s">
        <v>2302</v>
      </c>
      <c r="B2185" s="3004"/>
      <c r="C2185" s="2969" t="s">
        <v>2405</v>
      </c>
      <c r="D2185" s="2968" t="s">
        <v>2271</v>
      </c>
      <c r="E2185" s="2968"/>
      <c r="F2185" s="2968">
        <v>2000</v>
      </c>
      <c r="G2185" s="2968" t="s">
        <v>7262</v>
      </c>
      <c r="H2185" s="2968"/>
      <c r="I2185" s="2968"/>
      <c r="J2185" s="2968" t="str">
        <f t="shared" si="69"/>
        <v>BTLT 12 TĐ</v>
      </c>
      <c r="K2185" s="2969" t="str">
        <f t="shared" si="68"/>
        <v>BTLT 12 TĐTrụ bê tông ly tâm 12m (tiếp địa có sẵn) trồng thủ công+cơ giới</v>
      </c>
    </row>
    <row r="2186" spans="1:11" hidden="1">
      <c r="A2186" s="2969" t="s">
        <v>6440</v>
      </c>
      <c r="B2186" s="3004"/>
      <c r="C2186" s="2969" t="s">
        <v>7269</v>
      </c>
      <c r="D2186" s="2968" t="s">
        <v>2379</v>
      </c>
      <c r="E2186" s="2968"/>
      <c r="F2186" s="2968">
        <v>2000</v>
      </c>
      <c r="G2186" s="2968" t="s">
        <v>7262</v>
      </c>
      <c r="H2186" s="2968"/>
      <c r="I2186" s="2968"/>
      <c r="J2186" s="2968" t="str">
        <f t="shared" si="69"/>
        <v>BTLT-12HH</v>
      </c>
      <c r="K2186" s="2969" t="str">
        <f t="shared" si="68"/>
        <v>BTLT-12HHTrụ bê tông ly tâm 12m hiện hữu</v>
      </c>
    </row>
    <row r="2187" spans="1:11" hidden="1">
      <c r="A2187" s="2969" t="s">
        <v>1182</v>
      </c>
      <c r="B2187" s="3004"/>
      <c r="C2187" s="2969" t="s">
        <v>2403</v>
      </c>
      <c r="D2187" s="2968" t="s">
        <v>2271</v>
      </c>
      <c r="E2187" s="2968"/>
      <c r="F2187" s="2968">
        <v>2000</v>
      </c>
      <c r="G2187" s="2968" t="s">
        <v>7262</v>
      </c>
      <c r="H2187" s="2968"/>
      <c r="I2187" s="2968"/>
      <c r="J2187" s="2968" t="str">
        <f t="shared" si="69"/>
        <v>BTLT 12 TC</v>
      </c>
      <c r="K2187" s="2969" t="str">
        <f t="shared" si="68"/>
        <v>BTLT 12 TCTrụ bê tông ly tâm 12m trồng thủ công</v>
      </c>
    </row>
    <row r="2188" spans="1:11" hidden="1">
      <c r="A2188" s="2969" t="s">
        <v>7270</v>
      </c>
      <c r="B2188" s="3004" t="s">
        <v>5376</v>
      </c>
      <c r="C2188" s="2969" t="s">
        <v>2403</v>
      </c>
      <c r="D2188" s="2968" t="s">
        <v>2271</v>
      </c>
      <c r="E2188" s="2968"/>
      <c r="F2188" s="2968">
        <v>2000</v>
      </c>
      <c r="G2188" s="2968" t="s">
        <v>7262</v>
      </c>
      <c r="H2188" s="2968"/>
      <c r="I2188" s="2968"/>
      <c r="J2188" s="2968" t="str">
        <f t="shared" si="69"/>
        <v>BTLT12TC</v>
      </c>
      <c r="K2188" s="2969" t="str">
        <f t="shared" si="68"/>
        <v>BTLT12TCTrụ bê tông ly tâm 12m trồng thủ công</v>
      </c>
    </row>
    <row r="2189" spans="1:11" hidden="1">
      <c r="A2189" s="2969" t="s">
        <v>300</v>
      </c>
      <c r="B2189" s="3004"/>
      <c r="C2189" s="2969" t="s">
        <v>2404</v>
      </c>
      <c r="D2189" s="2968" t="s">
        <v>2271</v>
      </c>
      <c r="E2189" s="2968"/>
      <c r="F2189" s="2968">
        <v>2000</v>
      </c>
      <c r="G2189" s="2968" t="s">
        <v>7262</v>
      </c>
      <c r="H2189" s="2968"/>
      <c r="I2189" s="2968"/>
      <c r="J2189" s="2968" t="str">
        <f t="shared" si="69"/>
        <v>BTLT 12</v>
      </c>
      <c r="K2189" s="2969" t="str">
        <f t="shared" si="68"/>
        <v>BTLT 12Trụ bê tông ly tâm 12m trồng thủ công+cơ giới</v>
      </c>
    </row>
    <row r="2190" spans="1:11" hidden="1">
      <c r="A2190" s="2969" t="s">
        <v>7271</v>
      </c>
      <c r="B2190" s="3004" t="s">
        <v>7019</v>
      </c>
      <c r="C2190" s="2969" t="s">
        <v>2404</v>
      </c>
      <c r="D2190" s="2968" t="s">
        <v>2271</v>
      </c>
      <c r="E2190" s="2968"/>
      <c r="F2190" s="2968">
        <v>2000</v>
      </c>
      <c r="G2190" s="2968" t="s">
        <v>7262</v>
      </c>
      <c r="H2190" s="2968"/>
      <c r="I2190" s="2968"/>
      <c r="J2190" s="2968" t="str">
        <f t="shared" si="69"/>
        <v>BTLT12</v>
      </c>
      <c r="K2190" s="2969" t="str">
        <f t="shared" si="68"/>
        <v>BTLT12Trụ bê tông ly tâm 12m trồng thủ công+cơ giới</v>
      </c>
    </row>
    <row r="2191" spans="1:11" hidden="1">
      <c r="A2191" s="2969" t="s">
        <v>301</v>
      </c>
      <c r="B2191" s="3004"/>
      <c r="C2191" s="2969" t="s">
        <v>2407</v>
      </c>
      <c r="D2191" s="2968" t="s">
        <v>2271</v>
      </c>
      <c r="E2191" s="2968"/>
      <c r="F2191" s="2968">
        <v>2000</v>
      </c>
      <c r="G2191" s="2968" t="s">
        <v>7262</v>
      </c>
      <c r="H2191" s="2968"/>
      <c r="I2191" s="2968"/>
      <c r="J2191" s="2968" t="str">
        <f t="shared" si="69"/>
        <v>BTLT 14</v>
      </c>
      <c r="K2191" s="2969" t="str">
        <f t="shared" si="68"/>
        <v>BTLT 14Trụ bê tông ly tâm 14m</v>
      </c>
    </row>
    <row r="2192" spans="1:11" hidden="1">
      <c r="A2192" s="2969" t="s">
        <v>7272</v>
      </c>
      <c r="B2192" s="3004" t="s">
        <v>7025</v>
      </c>
      <c r="C2192" s="2969" t="s">
        <v>2407</v>
      </c>
      <c r="D2192" s="2968" t="s">
        <v>2271</v>
      </c>
      <c r="E2192" s="2968"/>
      <c r="F2192" s="2968">
        <v>2000</v>
      </c>
      <c r="G2192" s="2968" t="s">
        <v>7262</v>
      </c>
      <c r="H2192" s="2968"/>
      <c r="I2192" s="2968"/>
      <c r="J2192" s="2968" t="str">
        <f t="shared" si="69"/>
        <v>BTLT14</v>
      </c>
      <c r="K2192" s="2969" t="str">
        <f t="shared" si="68"/>
        <v>BTLT14Trụ bê tông ly tâm 14m</v>
      </c>
    </row>
    <row r="2193" spans="1:11" hidden="1">
      <c r="A2193" s="2969" t="s">
        <v>756</v>
      </c>
      <c r="B2193" s="3004"/>
      <c r="C2193" s="2969" t="s">
        <v>2408</v>
      </c>
      <c r="D2193" s="2968" t="s">
        <v>2271</v>
      </c>
      <c r="E2193" s="2968"/>
      <c r="F2193" s="2968">
        <v>2000</v>
      </c>
      <c r="G2193" s="2968" t="s">
        <v>7262</v>
      </c>
      <c r="H2193" s="2968"/>
      <c r="I2193" s="2968"/>
      <c r="J2193" s="2968" t="str">
        <f t="shared" si="69"/>
        <v>BTLT 20</v>
      </c>
      <c r="K2193" s="2969" t="str">
        <f t="shared" si="68"/>
        <v>BTLT 20Trụ bê tông ly tâm 20m</v>
      </c>
    </row>
    <row r="2194" spans="1:11" hidden="1">
      <c r="A2194" s="2969" t="s">
        <v>7273</v>
      </c>
      <c r="B2194" s="3004" t="s">
        <v>7028</v>
      </c>
      <c r="C2194" s="2969" t="s">
        <v>2408</v>
      </c>
      <c r="D2194" s="2968" t="s">
        <v>2271</v>
      </c>
      <c r="E2194" s="2968"/>
      <c r="F2194" s="2968">
        <v>2000</v>
      </c>
      <c r="G2194" s="2968" t="s">
        <v>7262</v>
      </c>
      <c r="H2194" s="2968"/>
      <c r="I2194" s="2968"/>
      <c r="J2194" s="2968" t="str">
        <f t="shared" si="69"/>
        <v>BTLT20</v>
      </c>
      <c r="K2194" s="2969" t="str">
        <f t="shared" si="68"/>
        <v>BTLT20Trụ bê tông ly tâm 20m</v>
      </c>
    </row>
    <row r="2195" spans="1:11" hidden="1">
      <c r="A2195" s="2969" t="s">
        <v>232</v>
      </c>
      <c r="B2195" s="3004"/>
      <c r="C2195" s="2969" t="s">
        <v>2393</v>
      </c>
      <c r="D2195" s="2968" t="s">
        <v>2271</v>
      </c>
      <c r="E2195" s="2968"/>
      <c r="F2195" s="2968">
        <v>2000</v>
      </c>
      <c r="G2195" s="2968" t="s">
        <v>7262</v>
      </c>
      <c r="H2195" s="2968"/>
      <c r="I2195" s="2968"/>
      <c r="J2195" s="2968" t="str">
        <f t="shared" si="69"/>
        <v>BTLT 7.5</v>
      </c>
      <c r="K2195" s="2969" t="str">
        <f t="shared" si="68"/>
        <v>BTLT 7.5Trụ bê tông ly tâm 7.5m</v>
      </c>
    </row>
    <row r="2196" spans="1:11" hidden="1">
      <c r="A2196" s="2969" t="s">
        <v>231</v>
      </c>
      <c r="B2196" s="3004"/>
      <c r="C2196" s="2969" t="s">
        <v>4484</v>
      </c>
      <c r="D2196" s="2968" t="s">
        <v>2271</v>
      </c>
      <c r="E2196" s="2968"/>
      <c r="F2196" s="2968">
        <v>2000</v>
      </c>
      <c r="G2196" s="2968" t="s">
        <v>7262</v>
      </c>
      <c r="H2196" s="2968"/>
      <c r="I2196" s="2968"/>
      <c r="J2196" s="2968" t="str">
        <f t="shared" si="69"/>
        <v>BTLT 8.5</v>
      </c>
      <c r="K2196" s="2969" t="str">
        <f t="shared" si="68"/>
        <v>BTLT 8.5Trụ bê tông ly tâm 8.4m</v>
      </c>
    </row>
    <row r="2197" spans="1:11" hidden="1">
      <c r="A2197" s="2969" t="s">
        <v>184</v>
      </c>
      <c r="B2197" s="3004"/>
      <c r="C2197" s="2969" t="s">
        <v>2395</v>
      </c>
      <c r="D2197" s="2968" t="s">
        <v>2271</v>
      </c>
      <c r="E2197" s="2968"/>
      <c r="F2197" s="2968">
        <v>2000</v>
      </c>
      <c r="G2197" s="2968" t="s">
        <v>7262</v>
      </c>
      <c r="H2197" s="2968"/>
      <c r="I2197" s="2968"/>
      <c r="J2197" s="2968" t="str">
        <f t="shared" si="69"/>
        <v>BTLT 8.4TD</v>
      </c>
      <c r="K2197" s="2969" t="str">
        <f t="shared" si="68"/>
        <v>BTLT 8.4TDTrụ bê tông ly tâm 8.4m có dây tiếp địa</v>
      </c>
    </row>
    <row r="2198" spans="1:11" hidden="1">
      <c r="A2198" s="2969" t="s">
        <v>4485</v>
      </c>
      <c r="B2198" s="3004"/>
      <c r="C2198" s="2969" t="s">
        <v>2394</v>
      </c>
      <c r="D2198" s="2968" t="s">
        <v>2271</v>
      </c>
      <c r="E2198" s="2968"/>
      <c r="F2198" s="2968">
        <v>2000</v>
      </c>
      <c r="G2198" s="2968" t="s">
        <v>7262</v>
      </c>
      <c r="H2198" s="2968"/>
      <c r="I2198" s="2968"/>
      <c r="J2198" s="2968" t="str">
        <f t="shared" si="69"/>
        <v xml:space="preserve">BTLT 8.4 </v>
      </c>
      <c r="K2198" s="2969" t="str">
        <f t="shared" si="68"/>
        <v>BTLT 8.4 Trụ bê tông ly tâm 8.4m không dây tiếp địa</v>
      </c>
    </row>
    <row r="2199" spans="1:11" hidden="1">
      <c r="A2199" s="2969" t="s">
        <v>7274</v>
      </c>
      <c r="B2199" s="3004"/>
      <c r="C2199" s="2969" t="s">
        <v>7275</v>
      </c>
      <c r="D2199" s="2968" t="s">
        <v>2271</v>
      </c>
      <c r="E2199" s="2968"/>
      <c r="F2199" s="2968">
        <v>2000</v>
      </c>
      <c r="G2199" s="2968" t="s">
        <v>7262</v>
      </c>
      <c r="H2199" s="2968"/>
      <c r="I2199" s="2968"/>
      <c r="J2199" s="2968" t="str">
        <f t="shared" si="69"/>
        <v>BTLT85</v>
      </c>
      <c r="K2199" s="2969" t="str">
        <f t="shared" si="68"/>
        <v>BTLT85Trụ bê tông ly tâm 8.5m</v>
      </c>
    </row>
    <row r="2200" spans="1:11" hidden="1">
      <c r="A2200" s="2969" t="s">
        <v>114</v>
      </c>
      <c r="B2200" s="3004"/>
      <c r="C2200" s="2969" t="s">
        <v>2983</v>
      </c>
      <c r="D2200" s="2968" t="s">
        <v>2823</v>
      </c>
      <c r="E2200" s="2968"/>
      <c r="F2200" s="2968">
        <v>49</v>
      </c>
      <c r="G2200" s="2968" t="s">
        <v>7262</v>
      </c>
      <c r="H2200" s="2968"/>
      <c r="I2200" s="2968"/>
      <c r="J2200" s="2968" t="str">
        <f t="shared" si="69"/>
        <v>T105</v>
      </c>
      <c r="K2200" s="2969" t="str">
        <f t="shared" si="68"/>
        <v>T105Trụ BTLT 10,5m F350 dự ứng lực</v>
      </c>
    </row>
    <row r="2201" spans="1:11" hidden="1">
      <c r="A2201" s="2969" t="s">
        <v>1869</v>
      </c>
      <c r="B2201" s="3004"/>
      <c r="C2201" s="2969" t="s">
        <v>2982</v>
      </c>
      <c r="D2201" s="2968" t="s">
        <v>2823</v>
      </c>
      <c r="E2201" s="2968"/>
      <c r="F2201" s="2968">
        <v>49</v>
      </c>
      <c r="G2201" s="2968" t="s">
        <v>7262</v>
      </c>
      <c r="H2201" s="2968"/>
      <c r="I2201" s="2968"/>
      <c r="J2201" s="2968" t="str">
        <f t="shared" si="69"/>
        <v>T10</v>
      </c>
      <c r="K2201" s="2969" t="str">
        <f t="shared" si="68"/>
        <v>T10Trụ BTLT 10,5m F480 dự ứng lực</v>
      </c>
    </row>
    <row r="2202" spans="1:11" hidden="1">
      <c r="A2202" s="2969" t="s">
        <v>115</v>
      </c>
      <c r="B2202" s="3004"/>
      <c r="C2202" s="2969" t="s">
        <v>4574</v>
      </c>
      <c r="D2202" s="2968" t="s">
        <v>2823</v>
      </c>
      <c r="E2202" s="2968"/>
      <c r="F2202" s="2968">
        <v>49</v>
      </c>
      <c r="G2202" s="2968" t="s">
        <v>7262</v>
      </c>
      <c r="H2202" s="2968"/>
      <c r="I2202" s="2968"/>
      <c r="J2202" s="2968" t="str">
        <f t="shared" si="69"/>
        <v>T12</v>
      </c>
      <c r="K2202" s="2969" t="str">
        <f t="shared" si="68"/>
        <v>T12Trụ BTLT 12m F540 dự ứng lực</v>
      </c>
    </row>
    <row r="2203" spans="1:11" hidden="1">
      <c r="A2203" s="2969" t="s">
        <v>4573</v>
      </c>
      <c r="B2203" s="3004"/>
      <c r="C2203" s="2969" t="s">
        <v>4574</v>
      </c>
      <c r="D2203" s="2968" t="s">
        <v>2823</v>
      </c>
      <c r="E2203" s="2968"/>
      <c r="F2203" s="2968">
        <v>49</v>
      </c>
      <c r="G2203" s="2968" t="s">
        <v>7262</v>
      </c>
      <c r="H2203" s="2968"/>
      <c r="I2203" s="2968"/>
      <c r="J2203" s="2968" t="str">
        <f t="shared" si="69"/>
        <v>T12540</v>
      </c>
      <c r="K2203" s="2969" t="str">
        <f t="shared" si="68"/>
        <v>T12540Trụ BTLT 12m F540 dự ứng lực</v>
      </c>
    </row>
    <row r="2204" spans="1:11" hidden="1">
      <c r="A2204" s="2969" t="s">
        <v>2406</v>
      </c>
      <c r="B2204" s="3004"/>
      <c r="C2204" s="2969" t="s">
        <v>6419</v>
      </c>
      <c r="D2204" s="2968" t="s">
        <v>2823</v>
      </c>
      <c r="E2204" s="2968"/>
      <c r="F2204" s="2968">
        <v>49</v>
      </c>
      <c r="G2204" s="2968" t="s">
        <v>7262</v>
      </c>
      <c r="H2204" s="2968"/>
      <c r="I2204" s="2968"/>
      <c r="J2204" s="2968" t="str">
        <f t="shared" si="69"/>
        <v>T12TĐ</v>
      </c>
      <c r="K2204" s="2969" t="str">
        <f t="shared" si="68"/>
        <v>T12TĐTrụ BTLT 12m F540 dự ứng lực (tiếp địa có sẵn)</v>
      </c>
    </row>
    <row r="2205" spans="1:11" hidden="1">
      <c r="A2205" s="2969" t="s">
        <v>5195</v>
      </c>
      <c r="B2205" s="3004"/>
      <c r="C2205" s="2969" t="s">
        <v>5196</v>
      </c>
      <c r="D2205" s="2968" t="s">
        <v>2823</v>
      </c>
      <c r="E2205" s="2968"/>
      <c r="F2205" s="2968">
        <v>49</v>
      </c>
      <c r="G2205" s="2968" t="s">
        <v>7262</v>
      </c>
      <c r="H2205" s="2968"/>
      <c r="I2205" s="2968"/>
      <c r="J2205" s="2968" t="str">
        <f t="shared" si="69"/>
        <v>T12f54TE</v>
      </c>
      <c r="K2205" s="2969" t="str">
        <f t="shared" si="68"/>
        <v>T12f54TETrụ BTLT 12m F540 dự ứng lực có dây tiếp địa trong thân trụ</v>
      </c>
    </row>
    <row r="2206" spans="1:11" hidden="1">
      <c r="A2206" s="2969" t="s">
        <v>5192</v>
      </c>
      <c r="B2206" s="3004"/>
      <c r="C2206" s="2969" t="s">
        <v>5196</v>
      </c>
      <c r="D2206" s="2968" t="s">
        <v>2823</v>
      </c>
      <c r="E2206" s="2968"/>
      <c r="F2206" s="2968">
        <v>49</v>
      </c>
      <c r="G2206" s="2968" t="s">
        <v>7262</v>
      </c>
      <c r="H2206" s="2968"/>
      <c r="I2206" s="2968"/>
      <c r="J2206" s="2968" t="str">
        <f t="shared" si="69"/>
        <v>T12TE</v>
      </c>
      <c r="K2206" s="2969" t="str">
        <f t="shared" si="68"/>
        <v>T12TETrụ BTLT 12m F540 dự ứng lực có dây tiếp địa trong thân trụ</v>
      </c>
    </row>
    <row r="2207" spans="1:11" hidden="1">
      <c r="A2207" s="2969" t="s">
        <v>5193</v>
      </c>
      <c r="B2207" s="3004"/>
      <c r="C2207" s="2969" t="s">
        <v>5194</v>
      </c>
      <c r="D2207" s="2968" t="s">
        <v>2823</v>
      </c>
      <c r="E2207" s="2968"/>
      <c r="F2207" s="2968">
        <v>49</v>
      </c>
      <c r="G2207" s="2968" t="s">
        <v>7262</v>
      </c>
      <c r="H2207" s="2968"/>
      <c r="I2207" s="2968"/>
      <c r="J2207" s="2968" t="str">
        <f t="shared" si="69"/>
        <v>T12f54</v>
      </c>
      <c r="K2207" s="2969" t="str">
        <f t="shared" si="68"/>
        <v>T12f54Trụ BTLT 12m F540 dự ứng lực, K=2</v>
      </c>
    </row>
    <row r="2208" spans="1:11" hidden="1">
      <c r="A2208" s="2969" t="s">
        <v>107</v>
      </c>
      <c r="B2208" s="3004"/>
      <c r="C2208" s="2969" t="s">
        <v>2985</v>
      </c>
      <c r="D2208" s="2968" t="s">
        <v>2823</v>
      </c>
      <c r="E2208" s="2968"/>
      <c r="F2208" s="2968">
        <v>49</v>
      </c>
      <c r="G2208" s="2968" t="s">
        <v>7262</v>
      </c>
      <c r="H2208" s="2968"/>
      <c r="I2208" s="2968"/>
      <c r="J2208" s="2968" t="str">
        <f t="shared" si="69"/>
        <v>T14</v>
      </c>
      <c r="K2208" s="2969" t="str">
        <f t="shared" si="68"/>
        <v>T14Trụ BTLT 14m F650 dự ứng lực</v>
      </c>
    </row>
    <row r="2209" spans="1:11" hidden="1">
      <c r="A2209" s="2969" t="s">
        <v>5197</v>
      </c>
      <c r="B2209" s="3004"/>
      <c r="C2209" s="2969" t="s">
        <v>5198</v>
      </c>
      <c r="D2209" s="2968" t="s">
        <v>2823</v>
      </c>
      <c r="E2209" s="2968"/>
      <c r="F2209" s="2968">
        <v>49</v>
      </c>
      <c r="G2209" s="2968" t="s">
        <v>7262</v>
      </c>
      <c r="H2209" s="2968"/>
      <c r="I2209" s="2968"/>
      <c r="J2209" s="2968" t="str">
        <f t="shared" si="69"/>
        <v>T14f95</v>
      </c>
      <c r="K2209" s="2969" t="str">
        <f t="shared" si="68"/>
        <v>T14f95Trụ BTLT 14m F950 dự ứng lực</v>
      </c>
    </row>
    <row r="2210" spans="1:11" hidden="1">
      <c r="A2210" s="2969" t="s">
        <v>5199</v>
      </c>
      <c r="B2210" s="3004"/>
      <c r="C2210" s="2969" t="s">
        <v>5200</v>
      </c>
      <c r="D2210" s="2968" t="s">
        <v>2823</v>
      </c>
      <c r="E2210" s="2968"/>
      <c r="F2210" s="2968">
        <v>49</v>
      </c>
      <c r="G2210" s="2968" t="s">
        <v>7262</v>
      </c>
      <c r="H2210" s="2968"/>
      <c r="I2210" s="2968"/>
      <c r="J2210" s="2968" t="str">
        <f t="shared" si="69"/>
        <v>T16</v>
      </c>
      <c r="K2210" s="2969" t="str">
        <f t="shared" si="68"/>
        <v>T16Trụ BTLT 16m F650 dự ứng lực</v>
      </c>
    </row>
    <row r="2211" spans="1:11" hidden="1">
      <c r="A2211" s="2969" t="s">
        <v>5201</v>
      </c>
      <c r="B2211" s="3004"/>
      <c r="C2211" s="2969" t="s">
        <v>5202</v>
      </c>
      <c r="D2211" s="2968" t="s">
        <v>2823</v>
      </c>
      <c r="E2211" s="2968"/>
      <c r="F2211" s="2968">
        <v>49</v>
      </c>
      <c r="G2211" s="2968" t="s">
        <v>7262</v>
      </c>
      <c r="H2211" s="2968"/>
      <c r="I2211" s="2968"/>
      <c r="J2211" s="2968" t="str">
        <f t="shared" si="69"/>
        <v>T16f95</v>
      </c>
      <c r="K2211" s="2969" t="str">
        <f t="shared" si="68"/>
        <v>T16f95Trụ BTLT 16m F950 dự ứng lực</v>
      </c>
    </row>
    <row r="2212" spans="1:11" hidden="1">
      <c r="A2212" s="2969" t="s">
        <v>5203</v>
      </c>
      <c r="B2212" s="3004"/>
      <c r="C2212" s="2969" t="s">
        <v>5204</v>
      </c>
      <c r="D2212" s="2968" t="s">
        <v>2823</v>
      </c>
      <c r="E2212" s="2968"/>
      <c r="F2212" s="2968">
        <v>49</v>
      </c>
      <c r="G2212" s="2968" t="s">
        <v>7262</v>
      </c>
      <c r="H2212" s="2968"/>
      <c r="I2212" s="2968"/>
      <c r="J2212" s="2968" t="str">
        <f t="shared" si="69"/>
        <v>T18</v>
      </c>
      <c r="K2212" s="2969" t="str">
        <f t="shared" si="68"/>
        <v>T18Trụ BTLT 18m F920 dự ứng lực</v>
      </c>
    </row>
    <row r="2213" spans="1:11" hidden="1">
      <c r="A2213" s="2969" t="s">
        <v>2086</v>
      </c>
      <c r="B2213" s="3004"/>
      <c r="C2213" s="2969" t="s">
        <v>2986</v>
      </c>
      <c r="D2213" s="2968" t="s">
        <v>2823</v>
      </c>
      <c r="E2213" s="2968"/>
      <c r="F2213" s="2968">
        <v>49</v>
      </c>
      <c r="G2213" s="2968" t="s">
        <v>7262</v>
      </c>
      <c r="H2213" s="2968"/>
      <c r="I2213" s="2968"/>
      <c r="J2213" s="2968" t="str">
        <f t="shared" si="69"/>
        <v>T20</v>
      </c>
      <c r="K2213" s="2969" t="str">
        <f t="shared" si="68"/>
        <v>T20Trụ BTLT 20m F1000 dự ứng lực</v>
      </c>
    </row>
    <row r="2214" spans="1:11" hidden="1">
      <c r="A2214" s="2969" t="s">
        <v>1529</v>
      </c>
      <c r="B2214" s="3004"/>
      <c r="C2214" s="2969" t="s">
        <v>2978</v>
      </c>
      <c r="D2214" s="2968" t="s">
        <v>2823</v>
      </c>
      <c r="E2214" s="2968"/>
      <c r="F2214" s="2968">
        <v>49</v>
      </c>
      <c r="G2214" s="2968" t="s">
        <v>7262</v>
      </c>
      <c r="H2214" s="2968"/>
      <c r="I2214" s="2968"/>
      <c r="J2214" s="2968" t="str">
        <f t="shared" si="69"/>
        <v>T75</v>
      </c>
      <c r="K2214" s="2969" t="str">
        <f t="shared" si="68"/>
        <v>T75Trụ BTLT 7,5m F200 dự ứng lực</v>
      </c>
    </row>
    <row r="2215" spans="1:11" hidden="1">
      <c r="A2215" s="2969" t="s">
        <v>871</v>
      </c>
      <c r="B2215" s="3004"/>
      <c r="C2215" s="2969" t="s">
        <v>2979</v>
      </c>
      <c r="D2215" s="2968" t="s">
        <v>2823</v>
      </c>
      <c r="E2215" s="2968"/>
      <c r="F2215" s="2968">
        <v>49</v>
      </c>
      <c r="G2215" s="2968" t="s">
        <v>7262</v>
      </c>
      <c r="H2215" s="2968"/>
      <c r="I2215" s="2968"/>
      <c r="J2215" s="2968" t="str">
        <f t="shared" si="69"/>
        <v>T84</v>
      </c>
      <c r="K2215" s="2969" t="str">
        <f t="shared" si="68"/>
        <v>T84Trụ BTLT 8,4m F200 dự ứng lực</v>
      </c>
    </row>
    <row r="2216" spans="1:11" hidden="1">
      <c r="A2216" s="2969" t="s">
        <v>185</v>
      </c>
      <c r="B2216" s="3004"/>
      <c r="C2216" s="2969" t="s">
        <v>2980</v>
      </c>
      <c r="D2216" s="2968" t="s">
        <v>2823</v>
      </c>
      <c r="E2216" s="2968"/>
      <c r="F2216" s="2968">
        <v>49</v>
      </c>
      <c r="G2216" s="2968" t="s">
        <v>7262</v>
      </c>
      <c r="H2216" s="2968"/>
      <c r="I2216" s="2968"/>
      <c r="J2216" s="2968" t="str">
        <f t="shared" si="69"/>
        <v>T84td</v>
      </c>
      <c r="K2216" s="2969" t="str">
        <f t="shared" si="68"/>
        <v>T84tdTrụ BTLT 8,4m F200 dự ứng lực có dây tiếp địa</v>
      </c>
    </row>
    <row r="2217" spans="1:11" hidden="1">
      <c r="A2217" s="2969" t="s">
        <v>989</v>
      </c>
      <c r="B2217" s="3004"/>
      <c r="C2217" s="2969" t="s">
        <v>2981</v>
      </c>
      <c r="D2217" s="2968" t="s">
        <v>2823</v>
      </c>
      <c r="E2217" s="2968"/>
      <c r="F2217" s="2968">
        <v>49</v>
      </c>
      <c r="G2217" s="2968" t="s">
        <v>7262</v>
      </c>
      <c r="H2217" s="2968"/>
      <c r="I2217" s="2968"/>
      <c r="J2217" s="2968" t="str">
        <f t="shared" si="69"/>
        <v>T85</v>
      </c>
      <c r="K2217" s="2969" t="str">
        <f t="shared" si="68"/>
        <v>T85Trụ BTLT 8,5m F200 dự ứng lực</v>
      </c>
    </row>
    <row r="2218" spans="1:11" hidden="1">
      <c r="A2218" s="2969" t="s">
        <v>7276</v>
      </c>
      <c r="B2218" s="3004"/>
      <c r="C2218" s="2969" t="s">
        <v>7277</v>
      </c>
      <c r="D2218" s="2968" t="s">
        <v>2823</v>
      </c>
      <c r="E2218" s="2968"/>
      <c r="F2218" s="2968">
        <v>50</v>
      </c>
      <c r="G2218" s="2968" t="s">
        <v>7262</v>
      </c>
      <c r="H2218" s="2968"/>
      <c r="I2218" s="2968"/>
      <c r="J2218" s="2968" t="str">
        <f t="shared" si="69"/>
        <v>T85300</v>
      </c>
      <c r="K2218" s="2969" t="str">
        <f t="shared" si="68"/>
        <v>T85300Trụ BTLT 8,5m F300 dự ứng lực</v>
      </c>
    </row>
    <row r="2219" spans="1:11" hidden="1">
      <c r="A2219" s="2969" t="s">
        <v>950</v>
      </c>
      <c r="B2219" s="3004"/>
      <c r="C2219" s="2969" t="s">
        <v>2392</v>
      </c>
      <c r="D2219" s="2968" t="s">
        <v>2271</v>
      </c>
      <c r="E2219" s="2968"/>
      <c r="F2219" s="2968">
        <v>2000</v>
      </c>
      <c r="G2219" s="2968" t="s">
        <v>7262</v>
      </c>
      <c r="H2219" s="2968"/>
      <c r="I2219" s="2968"/>
      <c r="J2219" s="2968" t="str">
        <f t="shared" si="69"/>
        <v>TRUTHEP</v>
      </c>
      <c r="K2219" s="2969" t="str">
        <f t="shared" si="68"/>
        <v>TRUTHEPTrụ thép bát giác cao 6m</v>
      </c>
    </row>
    <row r="2220" spans="1:11" hidden="1">
      <c r="A2220" s="2969" t="s">
        <v>439</v>
      </c>
      <c r="B2220" s="2986"/>
      <c r="C2220" s="3012" t="s">
        <v>3614</v>
      </c>
      <c r="D2220" s="2968" t="s">
        <v>2823</v>
      </c>
      <c r="E2220" s="2968"/>
      <c r="F2220" s="2968">
        <v>49</v>
      </c>
      <c r="G2220" s="2968" t="s">
        <v>7262</v>
      </c>
      <c r="H2220" s="2968"/>
      <c r="I2220" s="2968"/>
      <c r="J2220" s="2968" t="str">
        <f t="shared" si="69"/>
        <v>TRTHEP6</v>
      </c>
      <c r="K2220" s="2969" t="str">
        <f t="shared" si="68"/>
        <v>TRTHEP6Trụ thép tròn cao 6 mét</v>
      </c>
    </row>
    <row r="2221" spans="1:11" hidden="1">
      <c r="A2221" s="2969" t="s">
        <v>386</v>
      </c>
      <c r="B2221" s="2986"/>
      <c r="C2221" s="3012" t="s">
        <v>3615</v>
      </c>
      <c r="D2221" s="2968" t="s">
        <v>2823</v>
      </c>
      <c r="E2221" s="2968"/>
      <c r="F2221" s="2968">
        <v>49</v>
      </c>
      <c r="G2221" s="2968" t="s">
        <v>7262</v>
      </c>
      <c r="H2221" s="2968"/>
      <c r="I2221" s="2968"/>
      <c r="J2221" s="2968" t="str">
        <f t="shared" si="69"/>
        <v>TRTHEP7</v>
      </c>
      <c r="K2221" s="2969" t="str">
        <f t="shared" si="68"/>
        <v>TRTHEP7Trụ thép tròn cao 7 mét</v>
      </c>
    </row>
    <row r="2222" spans="1:11">
      <c r="A2222" s="2969" t="s">
        <v>11</v>
      </c>
      <c r="B2222" s="3004" t="s">
        <v>1384</v>
      </c>
      <c r="C2222" s="2969" t="s">
        <v>3370</v>
      </c>
      <c r="D2222" s="2968" t="s">
        <v>3355</v>
      </c>
      <c r="E2222" s="2968"/>
      <c r="F2222" s="2968">
        <v>50</v>
      </c>
      <c r="G2222" s="2968" t="s">
        <v>6510</v>
      </c>
      <c r="H2222" s="2968"/>
      <c r="I2222" s="2968"/>
      <c r="J2222" s="2968" t="str">
        <f t="shared" si="69"/>
        <v>TU LBS</v>
      </c>
      <c r="K2222" s="2969" t="str">
        <f t="shared" si="68"/>
        <v>TU LBSTủ + LBS 24kV 3 pha 630A -16kA + Fuse 80A</v>
      </c>
    </row>
    <row r="2223" spans="1:11" hidden="1">
      <c r="A2223" s="2969" t="s">
        <v>5549</v>
      </c>
      <c r="B2223" s="3004" t="s">
        <v>5548</v>
      </c>
      <c r="C2223" s="2969" t="s">
        <v>5550</v>
      </c>
      <c r="D2223" s="2968" t="s">
        <v>2547</v>
      </c>
      <c r="E2223" s="2968"/>
      <c r="F2223" s="2968">
        <v>50</v>
      </c>
      <c r="G2223" s="2968" t="s">
        <v>355</v>
      </c>
      <c r="H2223" s="2968"/>
      <c r="I2223" s="2968"/>
      <c r="J2223" s="2968" t="str">
        <f t="shared" si="69"/>
        <v>TUACB1600</v>
      </c>
      <c r="K2223" s="2969" t="str">
        <f t="shared" si="68"/>
        <v>TUACB1600Tủ ACB + thanh cái 1600A</v>
      </c>
    </row>
    <row r="2224" spans="1:11" hidden="1">
      <c r="A2224" s="2969" t="s">
        <v>5551</v>
      </c>
      <c r="B2224" s="3004" t="s">
        <v>5548</v>
      </c>
      <c r="C2224" s="2969" t="s">
        <v>5552</v>
      </c>
      <c r="D2224" s="2968" t="s">
        <v>2547</v>
      </c>
      <c r="E2224" s="2968"/>
      <c r="F2224" s="2968">
        <v>50</v>
      </c>
      <c r="G2224" s="2968" t="s">
        <v>355</v>
      </c>
      <c r="H2224" s="2968"/>
      <c r="I2224" s="2968"/>
      <c r="J2224" s="2968" t="str">
        <f t="shared" si="69"/>
        <v>TUACB2000</v>
      </c>
      <c r="K2224" s="2969" t="str">
        <f t="shared" si="68"/>
        <v>TUACB2000Tủ ACB + thanh cái 2000A</v>
      </c>
    </row>
    <row r="2225" spans="1:11" hidden="1">
      <c r="A2225" s="2969" t="s">
        <v>5553</v>
      </c>
      <c r="B2225" s="3004" t="s">
        <v>5548</v>
      </c>
      <c r="C2225" s="2969" t="s">
        <v>5554</v>
      </c>
      <c r="D2225" s="2968" t="s">
        <v>2547</v>
      </c>
      <c r="E2225" s="2968"/>
      <c r="F2225" s="2968">
        <v>50</v>
      </c>
      <c r="G2225" s="2968" t="s">
        <v>355</v>
      </c>
      <c r="H2225" s="2968"/>
      <c r="I2225" s="2968"/>
      <c r="J2225" s="2968" t="str">
        <f t="shared" si="69"/>
        <v>TUACB2500</v>
      </c>
      <c r="K2225" s="2969" t="str">
        <f t="shared" si="68"/>
        <v>TUACB2500Tủ ACB + thanh cái 2500A</v>
      </c>
    </row>
    <row r="2226" spans="1:11" hidden="1">
      <c r="A2226" s="2969" t="s">
        <v>5556</v>
      </c>
      <c r="B2226" s="3004" t="s">
        <v>5548</v>
      </c>
      <c r="C2226" s="2969" t="s">
        <v>5557</v>
      </c>
      <c r="D2226" s="2968" t="s">
        <v>2547</v>
      </c>
      <c r="E2226" s="2968"/>
      <c r="F2226" s="2968">
        <v>50</v>
      </c>
      <c r="G2226" s="2968" t="s">
        <v>355</v>
      </c>
      <c r="H2226" s="2968"/>
      <c r="I2226" s="2968"/>
      <c r="J2226" s="2968" t="str">
        <f t="shared" si="69"/>
        <v>TUACB5000</v>
      </c>
      <c r="K2226" s="2969" t="str">
        <f t="shared" si="68"/>
        <v>TUACB5000Tủ ACB + thanh cái 5000A</v>
      </c>
    </row>
    <row r="2227" spans="1:11" hidden="1">
      <c r="A2227" s="2969" t="s">
        <v>884</v>
      </c>
      <c r="B2227" s="3004" t="s">
        <v>1021</v>
      </c>
      <c r="C2227" s="2969" t="s">
        <v>3374</v>
      </c>
      <c r="D2227" s="2968" t="s">
        <v>2547</v>
      </c>
      <c r="E2227" s="2968"/>
      <c r="F2227" s="2968">
        <v>50</v>
      </c>
      <c r="G2227" s="2968" t="s">
        <v>355</v>
      </c>
      <c r="H2227" s="2968"/>
      <c r="I2227" s="2968"/>
      <c r="J2227" s="2968" t="str">
        <f t="shared" si="69"/>
        <v>TUACB3200</v>
      </c>
      <c r="K2227" s="2969" t="str">
        <f t="shared" si="68"/>
        <v>TUACB3200Tủ ACB 3200 + giá nới + khoá</v>
      </c>
    </row>
    <row r="2228" spans="1:11" hidden="1">
      <c r="A2228" s="2969" t="s">
        <v>625</v>
      </c>
      <c r="B2228" s="3004" t="s">
        <v>1021</v>
      </c>
      <c r="C2228" s="2969" t="s">
        <v>3375</v>
      </c>
      <c r="D2228" s="2968" t="s">
        <v>2547</v>
      </c>
      <c r="E2228" s="2968"/>
      <c r="F2228" s="2968">
        <v>50</v>
      </c>
      <c r="G2228" s="2968" t="s">
        <v>355</v>
      </c>
      <c r="H2228" s="2968"/>
      <c r="I2228" s="2968"/>
      <c r="J2228" s="2968" t="str">
        <f t="shared" si="69"/>
        <v>TUACB4000</v>
      </c>
      <c r="K2228" s="2969" t="str">
        <f t="shared" si="68"/>
        <v>TUACB4000Tủ ACB 4000 + giá nới + khoá</v>
      </c>
    </row>
    <row r="2229" spans="1:11" hidden="1">
      <c r="A2229" s="2969" t="s">
        <v>1375</v>
      </c>
      <c r="B2229" s="3004" t="s">
        <v>1021</v>
      </c>
      <c r="C2229" s="2969" t="s">
        <v>3373</v>
      </c>
      <c r="D2229" s="2968" t="s">
        <v>2547</v>
      </c>
      <c r="E2229" s="2968"/>
      <c r="F2229" s="2968">
        <v>50</v>
      </c>
      <c r="G2229" s="2968" t="s">
        <v>355</v>
      </c>
      <c r="H2229" s="2968"/>
      <c r="I2229" s="2968"/>
      <c r="J2229" s="2968" t="str">
        <f t="shared" si="69"/>
        <v>TUACB</v>
      </c>
      <c r="K2229" s="2969" t="str">
        <f t="shared" si="68"/>
        <v>TUACBTủ ACB trạm 3 pha + khoá</v>
      </c>
    </row>
    <row r="2230" spans="1:11" hidden="1">
      <c r="A2230" s="2969" t="s">
        <v>755</v>
      </c>
      <c r="B2230" s="3004" t="s">
        <v>1383</v>
      </c>
      <c r="C2230" s="2969" t="s">
        <v>4798</v>
      </c>
      <c r="D2230" s="2968" t="s">
        <v>3355</v>
      </c>
      <c r="E2230" s="2968"/>
      <c r="F2230" s="2968">
        <v>2000</v>
      </c>
      <c r="G2230" s="2968" t="s">
        <v>6510</v>
      </c>
      <c r="H2230" s="2968"/>
      <c r="I2230" s="2968"/>
      <c r="J2230" s="2968" t="str">
        <f t="shared" si="69"/>
        <v>TUBU40</v>
      </c>
      <c r="K2230" s="2969" t="str">
        <f t="shared" si="68"/>
        <v>TUBU40Tụ bù 1 pha 30Kvar</v>
      </c>
    </row>
    <row r="2231" spans="1:11" hidden="1">
      <c r="A2231" s="2969" t="s">
        <v>1020</v>
      </c>
      <c r="B2231" s="3004" t="s">
        <v>1750</v>
      </c>
      <c r="C2231" s="2969" t="s">
        <v>3377</v>
      </c>
      <c r="D2231" s="2968" t="s">
        <v>2547</v>
      </c>
      <c r="E2231" s="2968"/>
      <c r="F2231" s="2968">
        <v>50</v>
      </c>
      <c r="G2231" s="2968" t="s">
        <v>355</v>
      </c>
      <c r="H2231" s="2968"/>
      <c r="I2231" s="2968"/>
      <c r="J2231" s="2968" t="str">
        <f t="shared" si="69"/>
        <v>TUAP1</v>
      </c>
      <c r="K2231" s="2969" t="str">
        <f t="shared" si="68"/>
        <v>TUAP1Tủ CB trạm 1 pha + khóa + boulon</v>
      </c>
    </row>
    <row r="2232" spans="1:11" hidden="1">
      <c r="A2232" s="2969" t="s">
        <v>612</v>
      </c>
      <c r="B2232" s="3004" t="s">
        <v>1751</v>
      </c>
      <c r="C2232" s="2969" t="s">
        <v>3376</v>
      </c>
      <c r="D2232" s="2968" t="s">
        <v>2547</v>
      </c>
      <c r="E2232" s="2968"/>
      <c r="F2232" s="2968">
        <v>50</v>
      </c>
      <c r="G2232" s="2968" t="s">
        <v>355</v>
      </c>
      <c r="H2232" s="2968"/>
      <c r="I2232" s="2968"/>
      <c r="J2232" s="2968" t="str">
        <f t="shared" si="69"/>
        <v>TUAP3-N</v>
      </c>
      <c r="K2232" s="2969" t="str">
        <f t="shared" si="68"/>
        <v>TUAP3-NTủ CB trạm 3 pha + khoá + bulon</v>
      </c>
    </row>
    <row r="2233" spans="1:11">
      <c r="A2233" s="2969" t="s">
        <v>1785</v>
      </c>
      <c r="B2233" s="3004" t="s">
        <v>1384</v>
      </c>
      <c r="C2233" s="2969" t="s">
        <v>3371</v>
      </c>
      <c r="D2233" s="2968" t="s">
        <v>3355</v>
      </c>
      <c r="E2233" s="2968"/>
      <c r="F2233" s="2968">
        <v>50</v>
      </c>
      <c r="G2233" s="2968" t="s">
        <v>355</v>
      </c>
      <c r="H2233" s="2968"/>
      <c r="I2233" s="2968"/>
      <c r="J2233" s="2968" t="str">
        <f t="shared" si="69"/>
        <v>TUTC LBS</v>
      </c>
      <c r="K2233" s="2969" t="str">
        <f t="shared" si="68"/>
        <v>TUTC LBSTủ đấu nối thanh cái LBS (GAM2)</v>
      </c>
    </row>
    <row r="2234" spans="1:11" hidden="1">
      <c r="A2234" s="2969" t="s">
        <v>835</v>
      </c>
      <c r="B2234" s="2986" t="s">
        <v>1665</v>
      </c>
      <c r="C2234" s="2969" t="s">
        <v>3378</v>
      </c>
      <c r="D2234" s="2968" t="s">
        <v>2547</v>
      </c>
      <c r="E2234" s="2968"/>
      <c r="F2234" s="2968">
        <v>50</v>
      </c>
      <c r="G2234" s="2968" t="s">
        <v>355</v>
      </c>
      <c r="H2234" s="2968"/>
      <c r="I2234" s="2968"/>
      <c r="J2234" s="2968" t="str">
        <f t="shared" si="69"/>
        <v>TUN</v>
      </c>
      <c r="K2234" s="2969" t="str">
        <f t="shared" si="68"/>
        <v>TUNTủ điện kế 1 pha</v>
      </c>
    </row>
    <row r="2235" spans="1:11" hidden="1">
      <c r="A2235" s="2969" t="s">
        <v>2053</v>
      </c>
      <c r="B2235" s="3004" t="s">
        <v>1795</v>
      </c>
      <c r="C2235" s="2969" t="s">
        <v>2594</v>
      </c>
      <c r="D2235" s="2968" t="s">
        <v>2547</v>
      </c>
      <c r="E2235" s="2968"/>
      <c r="F2235" s="2968">
        <v>50</v>
      </c>
      <c r="G2235" s="2968" t="s">
        <v>355</v>
      </c>
      <c r="H2235" s="2968"/>
      <c r="I2235" s="2968"/>
      <c r="J2235" s="2968" t="str">
        <f t="shared" si="69"/>
        <v>TUDKCS</v>
      </c>
      <c r="K2235" s="2969" t="str">
        <f t="shared" si="68"/>
        <v>TUDKCSTủ điều khiển chiếu sáng</v>
      </c>
    </row>
    <row r="2236" spans="1:11" hidden="1">
      <c r="A2236" s="2969" t="s">
        <v>1591</v>
      </c>
      <c r="B2236" s="3004" t="s">
        <v>1384</v>
      </c>
      <c r="C2236" s="2969" t="s">
        <v>3372</v>
      </c>
      <c r="D2236" s="2968" t="s">
        <v>3355</v>
      </c>
      <c r="E2236" s="2968"/>
      <c r="F2236" s="2968">
        <v>50</v>
      </c>
      <c r="G2236" s="2968" t="s">
        <v>355</v>
      </c>
      <c r="H2236" s="2968"/>
      <c r="I2236" s="2968"/>
      <c r="J2236" s="2968" t="str">
        <f t="shared" si="69"/>
        <v>TUDS</v>
      </c>
      <c r="K2236" s="2969" t="str">
        <f t="shared" si="68"/>
        <v>TUDSTủ DS 3 pha 630-800A</v>
      </c>
    </row>
    <row r="2237" spans="1:11">
      <c r="A2237" s="2969" t="s">
        <v>1590</v>
      </c>
      <c r="B2237" s="3004" t="s">
        <v>1384</v>
      </c>
      <c r="C2237" s="2969" t="s">
        <v>3369</v>
      </c>
      <c r="D2237" s="2968" t="s">
        <v>3355</v>
      </c>
      <c r="E2237" s="2968"/>
      <c r="F2237" s="2968">
        <v>50</v>
      </c>
      <c r="G2237" s="2968" t="s">
        <v>355</v>
      </c>
      <c r="H2237" s="2968"/>
      <c r="I2237" s="2968"/>
      <c r="J2237" s="2968" t="str">
        <f t="shared" si="69"/>
        <v>TULBS</v>
      </c>
      <c r="K2237" s="2969" t="str">
        <f t="shared" si="68"/>
        <v>TULBSTủ LBS 3 pha 630-800A</v>
      </c>
    </row>
    <row r="2238" spans="1:11" hidden="1">
      <c r="A2238" s="2969" t="s">
        <v>5564</v>
      </c>
      <c r="B2238" s="3004" t="s">
        <v>5548</v>
      </c>
      <c r="C2238" s="2969" t="s">
        <v>5565</v>
      </c>
      <c r="D2238" s="2968" t="s">
        <v>2547</v>
      </c>
      <c r="E2238" s="2968"/>
      <c r="F2238" s="2968">
        <v>50</v>
      </c>
      <c r="G2238" s="2968" t="s">
        <v>355</v>
      </c>
      <c r="H2238" s="2968"/>
      <c r="I2238" s="2968"/>
      <c r="J2238" s="2968" t="str">
        <f t="shared" si="69"/>
        <v>TUMCCB1250</v>
      </c>
      <c r="K2238" s="2969" t="str">
        <f t="shared" si="68"/>
        <v>TUMCCB1250Tủ MCCB + thanh cái 1250A</v>
      </c>
    </row>
    <row r="2239" spans="1:11" hidden="1">
      <c r="A2239" s="2969" t="s">
        <v>5566</v>
      </c>
      <c r="B2239" s="3004" t="s">
        <v>5548</v>
      </c>
      <c r="C2239" s="2969" t="s">
        <v>5567</v>
      </c>
      <c r="D2239" s="2968" t="s">
        <v>2547</v>
      </c>
      <c r="E2239" s="2968"/>
      <c r="F2239" s="2968">
        <v>50</v>
      </c>
      <c r="G2239" s="2968" t="s">
        <v>355</v>
      </c>
      <c r="H2239" s="2968"/>
      <c r="I2239" s="2968"/>
      <c r="J2239" s="2968" t="str">
        <f t="shared" si="69"/>
        <v>TUMCCB1600</v>
      </c>
      <c r="K2239" s="2969" t="str">
        <f t="shared" si="68"/>
        <v>TUMCCB1600Tủ MCCB + thanh cái 1600A</v>
      </c>
    </row>
    <row r="2240" spans="1:11" hidden="1">
      <c r="A2240" s="2969" t="s">
        <v>5562</v>
      </c>
      <c r="B2240" s="3004" t="s">
        <v>5548</v>
      </c>
      <c r="C2240" s="2969" t="s">
        <v>5563</v>
      </c>
      <c r="D2240" s="2968" t="s">
        <v>2547</v>
      </c>
      <c r="E2240" s="2968"/>
      <c r="F2240" s="2968">
        <v>50</v>
      </c>
      <c r="G2240" s="2968" t="s">
        <v>355</v>
      </c>
      <c r="H2240" s="2968"/>
      <c r="I2240" s="2968"/>
      <c r="J2240" s="2968" t="str">
        <f t="shared" si="69"/>
        <v>TUMCCB-TN</v>
      </c>
      <c r="K2240" s="2969" t="str">
        <f t="shared" si="68"/>
        <v xml:space="preserve">TUMCCB-TNTủ MCCB + tụ bù trạm nền </v>
      </c>
    </row>
    <row r="2241" spans="1:11" hidden="1">
      <c r="A2241" s="2969" t="s">
        <v>6343</v>
      </c>
      <c r="B2241" s="3004" t="s">
        <v>5548</v>
      </c>
      <c r="C2241" s="2969" t="s">
        <v>6344</v>
      </c>
      <c r="D2241" s="2968" t="s">
        <v>2433</v>
      </c>
      <c r="E2241" s="2968"/>
      <c r="F2241" s="2968">
        <v>2000</v>
      </c>
      <c r="G2241" s="2968" t="s">
        <v>355</v>
      </c>
      <c r="H2241" s="2968"/>
      <c r="I2241" s="2968"/>
      <c r="J2241" s="2968" t="str">
        <f t="shared" si="69"/>
        <v>TUMCCB3P</v>
      </c>
      <c r="K2241" s="2969" t="str">
        <f t="shared" si="68"/>
        <v>TUMCCB3PTủ MCCB trạm 3 pha</v>
      </c>
    </row>
    <row r="2242" spans="1:11" hidden="1">
      <c r="A2242" s="2969" t="s">
        <v>5558</v>
      </c>
      <c r="B2242" s="3004" t="s">
        <v>5548</v>
      </c>
      <c r="C2242" s="2969" t="s">
        <v>5559</v>
      </c>
      <c r="D2242" s="2968" t="s">
        <v>2547</v>
      </c>
      <c r="E2242" s="2968"/>
      <c r="F2242" s="2968">
        <v>50</v>
      </c>
      <c r="G2242" s="2968" t="s">
        <v>355</v>
      </c>
      <c r="H2242" s="2968"/>
      <c r="I2242" s="2968"/>
      <c r="J2242" s="2968" t="str">
        <f t="shared" si="69"/>
        <v>TUMCCB-TG1</v>
      </c>
      <c r="K2242" s="2969" t="str">
        <f t="shared" si="68"/>
        <v>TUMCCB-TG1Tủ MCCB trạm giàn 1 ngăn</v>
      </c>
    </row>
    <row r="2243" spans="1:11" hidden="1">
      <c r="A2243" s="2969" t="s">
        <v>5560</v>
      </c>
      <c r="B2243" s="3004" t="s">
        <v>5548</v>
      </c>
      <c r="C2243" s="2969" t="s">
        <v>5561</v>
      </c>
      <c r="D2243" s="2968" t="s">
        <v>2547</v>
      </c>
      <c r="E2243" s="2968"/>
      <c r="F2243" s="2968">
        <v>50</v>
      </c>
      <c r="G2243" s="2968" t="s">
        <v>355</v>
      </c>
      <c r="H2243" s="2968"/>
      <c r="I2243" s="2968"/>
      <c r="J2243" s="2968" t="str">
        <f t="shared" si="69"/>
        <v>TUMCCB-TG</v>
      </c>
      <c r="K2243" s="2969" t="str">
        <f t="shared" ref="K2243:K2306" si="70">A2243&amp;C2243</f>
        <v>TUMCCB-TGTủ MCCB trạm giàn 2 ngăn</v>
      </c>
    </row>
    <row r="2244" spans="1:11" hidden="1">
      <c r="A2244" s="2969" t="s">
        <v>5568</v>
      </c>
      <c r="B2244" s="3004" t="s">
        <v>5548</v>
      </c>
      <c r="C2244" s="2969" t="s">
        <v>5561</v>
      </c>
      <c r="D2244" s="2968" t="s">
        <v>2547</v>
      </c>
      <c r="E2244" s="2968"/>
      <c r="F2244" s="2968">
        <v>50</v>
      </c>
      <c r="G2244" s="2968" t="s">
        <v>355</v>
      </c>
      <c r="H2244" s="2968"/>
      <c r="I2244" s="2968"/>
      <c r="J2244" s="2968" t="str">
        <f t="shared" ref="J2244:J2307" si="71">A2244</f>
        <v>TuTG</v>
      </c>
      <c r="K2244" s="2969" t="str">
        <f t="shared" si="70"/>
        <v>TuTGTủ MCCB trạm giàn 2 ngăn</v>
      </c>
    </row>
    <row r="2245" spans="1:11" hidden="1">
      <c r="A2245" s="2969" t="s">
        <v>5569</v>
      </c>
      <c r="B2245" s="3004" t="s">
        <v>5570</v>
      </c>
      <c r="C2245" s="2969" t="s">
        <v>5571</v>
      </c>
      <c r="D2245" s="2968" t="s">
        <v>2547</v>
      </c>
      <c r="E2245" s="2968"/>
      <c r="F2245" s="2968">
        <v>50</v>
      </c>
      <c r="G2245" s="2968" t="s">
        <v>355</v>
      </c>
      <c r="H2245" s="2968"/>
      <c r="I2245" s="2968"/>
      <c r="J2245" s="2968" t="str">
        <f t="shared" si="71"/>
        <v>TUMCCB1P-T</v>
      </c>
      <c r="K2245" s="2969" t="str">
        <f t="shared" si="70"/>
        <v>TUMCCB1P-TTủ MCCB trạm treo 1 pha</v>
      </c>
    </row>
    <row r="2246" spans="1:11" hidden="1">
      <c r="A2246" s="2969" t="s">
        <v>5572</v>
      </c>
      <c r="B2246" s="3004" t="s">
        <v>5548</v>
      </c>
      <c r="C2246" s="2969" t="s">
        <v>5573</v>
      </c>
      <c r="D2246" s="2968" t="s">
        <v>2547</v>
      </c>
      <c r="E2246" s="2968"/>
      <c r="F2246" s="2968">
        <v>50</v>
      </c>
      <c r="G2246" s="2968" t="s">
        <v>355</v>
      </c>
      <c r="H2246" s="2968"/>
      <c r="I2246" s="2968"/>
      <c r="J2246" s="2968" t="str">
        <f t="shared" si="71"/>
        <v>TUMCCB3P-T</v>
      </c>
      <c r="K2246" s="2969" t="str">
        <f t="shared" si="70"/>
        <v>TUMCCB3P-TTủ MCCB trạm treo 3 pha</v>
      </c>
    </row>
    <row r="2247" spans="1:11" hidden="1">
      <c r="A2247" s="2969" t="s">
        <v>913</v>
      </c>
      <c r="B2247" s="2986" t="s">
        <v>1665</v>
      </c>
      <c r="C2247" s="2969" t="s">
        <v>3383</v>
      </c>
      <c r="D2247" s="2968" t="s">
        <v>2547</v>
      </c>
      <c r="E2247" s="2968"/>
      <c r="F2247" s="2968">
        <v>50</v>
      </c>
      <c r="G2247" s="2968" t="s">
        <v>355</v>
      </c>
      <c r="H2247" s="2968"/>
      <c r="I2247" s="2968"/>
      <c r="J2247" s="2968" t="str">
        <f t="shared" si="71"/>
        <v>TUPP</v>
      </c>
      <c r="K2247" s="2969" t="str">
        <f t="shared" si="70"/>
        <v>TUPPTủ phân phối hạ thế</v>
      </c>
    </row>
    <row r="2248" spans="1:11">
      <c r="A2248" s="2969" t="s">
        <v>5541</v>
      </c>
      <c r="B2248" s="3004" t="s">
        <v>1384</v>
      </c>
      <c r="C2248" s="2969" t="s">
        <v>5542</v>
      </c>
      <c r="D2248" s="2968" t="s">
        <v>3355</v>
      </c>
      <c r="E2248" s="2968"/>
      <c r="F2248" s="2968">
        <v>50</v>
      </c>
      <c r="G2248" s="2968" t="s">
        <v>355</v>
      </c>
      <c r="H2248" s="2968"/>
      <c r="I2248" s="2968"/>
      <c r="J2248" s="2968" t="str">
        <f t="shared" si="71"/>
        <v>TU RMUIQI</v>
      </c>
      <c r="K2248" s="2969" t="str">
        <f t="shared" si="70"/>
        <v>TU RMUIQITủ RMU 24kV 3 pha 630A -16kA IQI: 02 ngăn LBS 630A-16kA + 01 ngăn LBS Fuse 40A</v>
      </c>
    </row>
    <row r="2249" spans="1:11" hidden="1">
      <c r="A2249" s="2969" t="s">
        <v>5546</v>
      </c>
      <c r="B2249" s="3004" t="s">
        <v>5544</v>
      </c>
      <c r="C2249" s="2969" t="s">
        <v>5547</v>
      </c>
      <c r="D2249" s="2968" t="s">
        <v>3355</v>
      </c>
      <c r="E2249" s="2968"/>
      <c r="F2249" s="2968">
        <v>50</v>
      </c>
      <c r="G2249" s="2968" t="s">
        <v>355</v>
      </c>
      <c r="H2249" s="2968"/>
      <c r="I2249" s="2968"/>
      <c r="J2249" s="2968" t="str">
        <f t="shared" si="71"/>
        <v>RMU2L1T</v>
      </c>
      <c r="K2249" s="2969" t="str">
        <f t="shared" si="70"/>
        <v>RMU2L1TTủ RMU 3 pha 630A -16kA 3 ngăn IQI + vỏ tủ +phụ kiện + báo áp suất khí (20kA/S)</v>
      </c>
    </row>
    <row r="2250" spans="1:11" hidden="1">
      <c r="A2250" s="2969" t="s">
        <v>5543</v>
      </c>
      <c r="B2250" s="3004" t="s">
        <v>5544</v>
      </c>
      <c r="C2250" s="2969" t="s">
        <v>5545</v>
      </c>
      <c r="D2250" s="2968" t="s">
        <v>3355</v>
      </c>
      <c r="E2250" s="2968"/>
      <c r="F2250" s="2968">
        <v>50</v>
      </c>
      <c r="G2250" s="2968" t="s">
        <v>355</v>
      </c>
      <c r="H2250" s="2968"/>
      <c r="I2250" s="2968"/>
      <c r="J2250" s="2968" t="str">
        <f t="shared" si="71"/>
        <v>RMU3L1T</v>
      </c>
      <c r="K2250" s="2969" t="str">
        <f t="shared" si="70"/>
        <v>RMU3L1TTủ RMU 4 ngăn IQII + 03 Bộ cảnh báo sự cố +phụ kiện + báo áp suất khí (20kA/S) + vỏ tủ</v>
      </c>
    </row>
    <row r="2251" spans="1:11" hidden="1">
      <c r="A2251" s="2969" t="s">
        <v>5510</v>
      </c>
      <c r="B2251" s="3004" t="s">
        <v>5511</v>
      </c>
      <c r="C2251" s="2969" t="s">
        <v>5512</v>
      </c>
      <c r="D2251" s="2968" t="s">
        <v>3355</v>
      </c>
      <c r="E2251" s="2968"/>
      <c r="F2251" s="2968">
        <v>50</v>
      </c>
      <c r="G2251" s="2968" t="s">
        <v>355</v>
      </c>
      <c r="H2251" s="2968"/>
      <c r="I2251" s="2968"/>
      <c r="J2251" s="2968" t="str">
        <f t="shared" si="71"/>
        <v>TR10001Vo</v>
      </c>
      <c r="K2251" s="2969" t="str">
        <f t="shared" si="70"/>
        <v>TR10001VoTủ trạm hợp bộ đến 1000kVA</v>
      </c>
    </row>
    <row r="2252" spans="1:11" hidden="1">
      <c r="A2252" s="2969" t="s">
        <v>7278</v>
      </c>
      <c r="B2252" s="3004" t="s">
        <v>5548</v>
      </c>
      <c r="C2252" s="2969" t="s">
        <v>7279</v>
      </c>
      <c r="D2252" s="2968" t="s">
        <v>2433</v>
      </c>
      <c r="E2252" s="2968"/>
      <c r="F2252" s="2968">
        <v>2000</v>
      </c>
      <c r="G2252" s="2968" t="s">
        <v>355</v>
      </c>
      <c r="H2252" s="2968"/>
      <c r="I2252" s="2968"/>
      <c r="J2252" s="2968" t="str">
        <f t="shared" si="71"/>
        <v>TU3PN</v>
      </c>
      <c r="K2252" s="2969" t="str">
        <f t="shared" si="70"/>
        <v>TU3PNTủ trạm nền (3 pha)</v>
      </c>
    </row>
    <row r="2253" spans="1:11" hidden="1">
      <c r="A2253" s="2969" t="s">
        <v>7280</v>
      </c>
      <c r="B2253" s="3004" t="s">
        <v>5548</v>
      </c>
      <c r="C2253" s="2969" t="s">
        <v>7281</v>
      </c>
      <c r="D2253" s="2968" t="s">
        <v>2433</v>
      </c>
      <c r="E2253" s="2968"/>
      <c r="F2253" s="2968">
        <v>2000</v>
      </c>
      <c r="G2253" s="2968" t="s">
        <v>355</v>
      </c>
      <c r="H2253" s="2968"/>
      <c r="I2253" s="2968"/>
      <c r="J2253" s="2968" t="str">
        <f t="shared" si="71"/>
        <v>TUAP3G</v>
      </c>
      <c r="K2253" s="2969" t="str">
        <f t="shared" si="70"/>
        <v>TUAP3GTủ trạm treo + khóa + boulon + Bakelit + Collier (3 pha)</v>
      </c>
    </row>
    <row r="2254" spans="1:11" hidden="1">
      <c r="A2254" s="2969" t="s">
        <v>7282</v>
      </c>
      <c r="B2254" s="3004" t="s">
        <v>5548</v>
      </c>
      <c r="C2254" s="2969" t="s">
        <v>7283</v>
      </c>
      <c r="D2254" s="2968" t="s">
        <v>2433</v>
      </c>
      <c r="E2254" s="2968"/>
      <c r="F2254" s="2968">
        <v>50</v>
      </c>
      <c r="G2254" s="2968" t="s">
        <v>355</v>
      </c>
      <c r="H2254" s="2968"/>
      <c r="I2254" s="2968"/>
      <c r="J2254" s="2968" t="str">
        <f t="shared" si="71"/>
        <v>TUAP1G</v>
      </c>
      <c r="K2254" s="2969" t="str">
        <f t="shared" si="70"/>
        <v>TUAP1GTủ trạm treo + khóa + boulon + Bakelit + Collier-trụ ghép (3 pha)</v>
      </c>
    </row>
    <row r="2255" spans="1:11" hidden="1">
      <c r="A2255" s="2969" t="s">
        <v>2186</v>
      </c>
      <c r="B2255" s="3004" t="s">
        <v>1383</v>
      </c>
      <c r="C2255" s="2969" t="s">
        <v>3354</v>
      </c>
      <c r="D2255" s="2968" t="s">
        <v>3355</v>
      </c>
      <c r="E2255" s="2968"/>
      <c r="F2255" s="2968">
        <v>2000</v>
      </c>
      <c r="G2255" s="2968" t="s">
        <v>355</v>
      </c>
      <c r="H2255" s="2968"/>
      <c r="I2255" s="2968"/>
      <c r="J2255" s="2968" t="str">
        <f t="shared" si="71"/>
        <v>TUBU1000</v>
      </c>
      <c r="K2255" s="2969" t="str">
        <f t="shared" si="70"/>
        <v>TUBU1000Tủ tụ bù hạ thế 1000kVAr</v>
      </c>
    </row>
    <row r="2256" spans="1:11" hidden="1">
      <c r="A2256" s="2969" t="s">
        <v>1788</v>
      </c>
      <c r="B2256" s="3004" t="s">
        <v>1754</v>
      </c>
      <c r="C2256" s="2969" t="s">
        <v>3366</v>
      </c>
      <c r="D2256" s="2968" t="s">
        <v>3355</v>
      </c>
      <c r="E2256" s="2968"/>
      <c r="F2256" s="2968">
        <v>2000</v>
      </c>
      <c r="G2256" s="2968" t="s">
        <v>355</v>
      </c>
      <c r="H2256" s="2968"/>
      <c r="I2256" s="2968"/>
      <c r="J2256" s="2968" t="str">
        <f t="shared" si="71"/>
        <v>TUBU100</v>
      </c>
      <c r="K2256" s="2969" t="str">
        <f t="shared" si="70"/>
        <v>TUBU100Tủ tụ bù hạ thế 100kVAr</v>
      </c>
    </row>
    <row r="2257" spans="1:11" hidden="1">
      <c r="A2257" s="2969" t="s">
        <v>5527</v>
      </c>
      <c r="B2257" s="3004" t="s">
        <v>5528</v>
      </c>
      <c r="C2257" s="2969" t="s">
        <v>5529</v>
      </c>
      <c r="D2257" s="2968" t="s">
        <v>3355</v>
      </c>
      <c r="E2257" s="2968"/>
      <c r="F2257" s="2968">
        <v>2000</v>
      </c>
      <c r="G2257" s="2968" t="s">
        <v>355</v>
      </c>
      <c r="H2257" s="2968"/>
      <c r="I2257" s="2968"/>
      <c r="J2257" s="2968" t="str">
        <f t="shared" si="71"/>
        <v>TUBU1200</v>
      </c>
      <c r="K2257" s="2969" t="str">
        <f t="shared" si="70"/>
        <v>TUBU1200Tủ tụ bù hạ thế 1200kVAr</v>
      </c>
    </row>
    <row r="2258" spans="1:11" hidden="1">
      <c r="A2258" s="2969" t="s">
        <v>769</v>
      </c>
      <c r="B2258" s="3004" t="s">
        <v>1383</v>
      </c>
      <c r="C2258" s="2969" t="s">
        <v>3365</v>
      </c>
      <c r="D2258" s="2968" t="s">
        <v>3355</v>
      </c>
      <c r="E2258" s="2968"/>
      <c r="F2258" s="2968">
        <v>2000</v>
      </c>
      <c r="G2258" s="2968" t="s">
        <v>355</v>
      </c>
      <c r="H2258" s="2968"/>
      <c r="I2258" s="2968"/>
      <c r="J2258" s="2968" t="str">
        <f t="shared" si="71"/>
        <v>TUBU130</v>
      </c>
      <c r="K2258" s="2969" t="str">
        <f t="shared" si="70"/>
        <v>TUBU130Tủ tụ bù hạ thế 130kVAr</v>
      </c>
    </row>
    <row r="2259" spans="1:11" hidden="1">
      <c r="A2259" s="2969" t="s">
        <v>484</v>
      </c>
      <c r="B2259" s="3004" t="s">
        <v>1383</v>
      </c>
      <c r="C2259" s="2969" t="s">
        <v>3364</v>
      </c>
      <c r="D2259" s="2968" t="s">
        <v>3355</v>
      </c>
      <c r="E2259" s="2968"/>
      <c r="F2259" s="2968">
        <v>2000</v>
      </c>
      <c r="G2259" s="2968" t="s">
        <v>355</v>
      </c>
      <c r="H2259" s="2968"/>
      <c r="I2259" s="2968"/>
      <c r="J2259" s="2968" t="str">
        <f t="shared" si="71"/>
        <v>TUBU135</v>
      </c>
      <c r="K2259" s="2969" t="str">
        <f t="shared" si="70"/>
        <v>TUBU135Tủ tụ bù hạ thế 135kVAr</v>
      </c>
    </row>
    <row r="2260" spans="1:11" hidden="1">
      <c r="A2260" s="2969" t="s">
        <v>5537</v>
      </c>
      <c r="B2260" s="3004" t="s">
        <v>5534</v>
      </c>
      <c r="C2260" s="2969" t="s">
        <v>5538</v>
      </c>
      <c r="D2260" s="2968" t="s">
        <v>3355</v>
      </c>
      <c r="E2260" s="2968"/>
      <c r="F2260" s="2968">
        <v>2000</v>
      </c>
      <c r="G2260" s="2968" t="s">
        <v>355</v>
      </c>
      <c r="H2260" s="2968"/>
      <c r="I2260" s="2968"/>
      <c r="J2260" s="2968" t="str">
        <f t="shared" si="71"/>
        <v>TUBU140</v>
      </c>
      <c r="K2260" s="2969" t="str">
        <f t="shared" si="70"/>
        <v>TUBU140Tủ tụ bù hạ thế 140kVAr</v>
      </c>
    </row>
    <row r="2261" spans="1:11" hidden="1">
      <c r="A2261" s="2969" t="s">
        <v>724</v>
      </c>
      <c r="B2261" s="3004" t="s">
        <v>1383</v>
      </c>
      <c r="C2261" s="2969" t="s">
        <v>3363</v>
      </c>
      <c r="D2261" s="2968" t="s">
        <v>3355</v>
      </c>
      <c r="E2261" s="2968"/>
      <c r="F2261" s="2968">
        <v>2000</v>
      </c>
      <c r="G2261" s="2968" t="s">
        <v>355</v>
      </c>
      <c r="H2261" s="2968"/>
      <c r="I2261" s="2968"/>
      <c r="J2261" s="2968" t="str">
        <f t="shared" si="71"/>
        <v>TUBU160</v>
      </c>
      <c r="K2261" s="2969" t="str">
        <f t="shared" si="70"/>
        <v>TUBU160Tủ tụ bù hạ thế 160kVAr</v>
      </c>
    </row>
    <row r="2262" spans="1:11" hidden="1">
      <c r="A2262" s="2969" t="s">
        <v>1952</v>
      </c>
      <c r="B2262" s="3004" t="s">
        <v>1383</v>
      </c>
      <c r="C2262" s="2969" t="s">
        <v>3362</v>
      </c>
      <c r="D2262" s="2968" t="s">
        <v>3355</v>
      </c>
      <c r="E2262" s="2968"/>
      <c r="F2262" s="2968">
        <v>2000</v>
      </c>
      <c r="G2262" s="2968" t="s">
        <v>355</v>
      </c>
      <c r="H2262" s="2968"/>
      <c r="I2262" s="2968"/>
      <c r="J2262" s="2968" t="str">
        <f t="shared" si="71"/>
        <v>TUBU220</v>
      </c>
      <c r="K2262" s="2969" t="str">
        <f t="shared" si="70"/>
        <v>TUBU220Tủ tụ bù hạ thế 220kVAr</v>
      </c>
    </row>
    <row r="2263" spans="1:11" hidden="1">
      <c r="A2263" s="2969" t="s">
        <v>731</v>
      </c>
      <c r="B2263" s="3004" t="s">
        <v>1383</v>
      </c>
      <c r="C2263" s="2969" t="s">
        <v>3361</v>
      </c>
      <c r="D2263" s="2968" t="s">
        <v>3355</v>
      </c>
      <c r="E2263" s="2968"/>
      <c r="F2263" s="2968">
        <v>2000</v>
      </c>
      <c r="G2263" s="2968" t="s">
        <v>355</v>
      </c>
      <c r="H2263" s="2968"/>
      <c r="I2263" s="2968"/>
      <c r="J2263" s="2968" t="str">
        <f t="shared" si="71"/>
        <v>TUBU250</v>
      </c>
      <c r="K2263" s="2969" t="str">
        <f t="shared" si="70"/>
        <v>TUBU250Tủ tụ bù hạ thế 250kVAr</v>
      </c>
    </row>
    <row r="2264" spans="1:11" hidden="1">
      <c r="A2264" s="2969" t="s">
        <v>1787</v>
      </c>
      <c r="B2264" s="3004" t="s">
        <v>1383</v>
      </c>
      <c r="C2264" s="2969" t="s">
        <v>3360</v>
      </c>
      <c r="D2264" s="2968" t="s">
        <v>3355</v>
      </c>
      <c r="E2264" s="2968"/>
      <c r="F2264" s="2968">
        <v>2000</v>
      </c>
      <c r="G2264" s="2968" t="s">
        <v>355</v>
      </c>
      <c r="H2264" s="2968"/>
      <c r="I2264" s="2968"/>
      <c r="J2264" s="2968" t="str">
        <f t="shared" si="71"/>
        <v>TUBU300</v>
      </c>
      <c r="K2264" s="2969" t="str">
        <f t="shared" si="70"/>
        <v>TUBU300Tủ tụ bù hạ thế 300kVAr</v>
      </c>
    </row>
    <row r="2265" spans="1:11" hidden="1">
      <c r="A2265" s="2969" t="s">
        <v>1587</v>
      </c>
      <c r="B2265" s="3004" t="s">
        <v>1383</v>
      </c>
      <c r="C2265" s="2969" t="s">
        <v>3359</v>
      </c>
      <c r="D2265" s="2968" t="s">
        <v>3355</v>
      </c>
      <c r="E2265" s="2968"/>
      <c r="F2265" s="2968">
        <v>2000</v>
      </c>
      <c r="G2265" s="2968" t="s">
        <v>355</v>
      </c>
      <c r="H2265" s="2968"/>
      <c r="I2265" s="2968"/>
      <c r="J2265" s="2968" t="str">
        <f t="shared" si="71"/>
        <v>TUBU380</v>
      </c>
      <c r="K2265" s="2969" t="str">
        <f t="shared" si="70"/>
        <v>TUBU380Tủ tụ bù hạ thế 380kVAr</v>
      </c>
    </row>
    <row r="2266" spans="1:11" hidden="1">
      <c r="A2266" s="2969" t="s">
        <v>1954</v>
      </c>
      <c r="B2266" s="3004" t="s">
        <v>1383</v>
      </c>
      <c r="C2266" s="2969" t="s">
        <v>3358</v>
      </c>
      <c r="D2266" s="2968" t="s">
        <v>3355</v>
      </c>
      <c r="E2266" s="2968"/>
      <c r="F2266" s="2968">
        <v>2000</v>
      </c>
      <c r="G2266" s="2968" t="s">
        <v>355</v>
      </c>
      <c r="H2266" s="2968"/>
      <c r="I2266" s="2968"/>
      <c r="J2266" s="2968" t="str">
        <f t="shared" si="71"/>
        <v>TUBU400</v>
      </c>
      <c r="K2266" s="2969" t="str">
        <f t="shared" si="70"/>
        <v>TUBU400Tủ tụ bù hạ thế 400kVAr</v>
      </c>
    </row>
    <row r="2267" spans="1:11" hidden="1">
      <c r="A2267" s="2969" t="s">
        <v>5532</v>
      </c>
      <c r="B2267" s="3004" t="s">
        <v>1021</v>
      </c>
      <c r="C2267" s="2969" t="s">
        <v>5533</v>
      </c>
      <c r="D2267" s="2968" t="s">
        <v>3355</v>
      </c>
      <c r="E2267" s="2968"/>
      <c r="F2267" s="2968">
        <v>2000</v>
      </c>
      <c r="G2267" s="2968" t="s">
        <v>510</v>
      </c>
      <c r="H2267" s="2968"/>
      <c r="I2267" s="2968"/>
      <c r="J2267" s="2968" t="str">
        <f t="shared" si="71"/>
        <v>TUBU500</v>
      </c>
      <c r="K2267" s="2969" t="str">
        <f t="shared" si="70"/>
        <v>TUBU500Tủ tụ bù hạ thế 500kVAr</v>
      </c>
    </row>
    <row r="2268" spans="1:11" hidden="1">
      <c r="A2268" s="2969" t="s">
        <v>568</v>
      </c>
      <c r="B2268" s="3004" t="s">
        <v>1383</v>
      </c>
      <c r="C2268" s="2969" t="s">
        <v>3357</v>
      </c>
      <c r="D2268" s="2968" t="s">
        <v>3355</v>
      </c>
      <c r="E2268" s="2968"/>
      <c r="F2268" s="2968">
        <v>2000</v>
      </c>
      <c r="G2268" s="2968" t="s">
        <v>355</v>
      </c>
      <c r="H2268" s="2968"/>
      <c r="I2268" s="2968"/>
      <c r="J2268" s="2968" t="str">
        <f t="shared" si="71"/>
        <v>TUBU600</v>
      </c>
      <c r="K2268" s="2969" t="str">
        <f t="shared" si="70"/>
        <v>TUBU600Tủ tụ bù hạ thế 600kVAr</v>
      </c>
    </row>
    <row r="2269" spans="1:11" hidden="1">
      <c r="A2269" s="2969" t="s">
        <v>2187</v>
      </c>
      <c r="B2269" s="3004" t="s">
        <v>1383</v>
      </c>
      <c r="C2269" s="2969" t="s">
        <v>3368</v>
      </c>
      <c r="D2269" s="2968" t="s">
        <v>3355</v>
      </c>
      <c r="E2269" s="2968"/>
      <c r="F2269" s="2968">
        <v>2000</v>
      </c>
      <c r="G2269" s="2968" t="s">
        <v>355</v>
      </c>
      <c r="H2269" s="2968"/>
      <c r="I2269" s="2968"/>
      <c r="J2269" s="2968" t="str">
        <f t="shared" si="71"/>
        <v>TUBU60</v>
      </c>
      <c r="K2269" s="2969" t="str">
        <f t="shared" si="70"/>
        <v>TUBU60Tủ tụ bù hạ thế 60kVAr</v>
      </c>
    </row>
    <row r="2270" spans="1:11" hidden="1">
      <c r="A2270" s="2969" t="s">
        <v>5539</v>
      </c>
      <c r="B2270" s="3004" t="s">
        <v>1021</v>
      </c>
      <c r="C2270" s="2969" t="s">
        <v>5540</v>
      </c>
      <c r="D2270" s="2968" t="s">
        <v>3355</v>
      </c>
      <c r="E2270" s="2968"/>
      <c r="F2270" s="2968">
        <v>2000</v>
      </c>
      <c r="G2270" s="2968" t="s">
        <v>355</v>
      </c>
      <c r="H2270" s="2968"/>
      <c r="I2270" s="2968"/>
      <c r="J2270" s="2968" t="str">
        <f t="shared" si="71"/>
        <v>TUBU65</v>
      </c>
      <c r="K2270" s="2969" t="str">
        <f t="shared" si="70"/>
        <v>TUBU65Tủ tụ bù hạ thế 65kVAr</v>
      </c>
    </row>
    <row r="2271" spans="1:11" hidden="1">
      <c r="A2271" s="2969" t="s">
        <v>2045</v>
      </c>
      <c r="B2271" s="3004" t="s">
        <v>1383</v>
      </c>
      <c r="C2271" s="2969" t="s">
        <v>3356</v>
      </c>
      <c r="D2271" s="2968" t="s">
        <v>3355</v>
      </c>
      <c r="E2271" s="2968"/>
      <c r="F2271" s="2968">
        <v>2000</v>
      </c>
      <c r="G2271" s="2968" t="s">
        <v>355</v>
      </c>
      <c r="H2271" s="2968"/>
      <c r="I2271" s="2968"/>
      <c r="J2271" s="2968" t="str">
        <f t="shared" si="71"/>
        <v>TUBU750</v>
      </c>
      <c r="K2271" s="2969" t="str">
        <f t="shared" si="70"/>
        <v>TUBU750Tủ tụ bù hạ thế 750kVAr</v>
      </c>
    </row>
    <row r="2272" spans="1:11" hidden="1">
      <c r="A2272" s="2969" t="s">
        <v>5530</v>
      </c>
      <c r="B2272" s="3004" t="s">
        <v>1021</v>
      </c>
      <c r="C2272" s="2969" t="s">
        <v>5531</v>
      </c>
      <c r="D2272" s="2968" t="s">
        <v>3355</v>
      </c>
      <c r="E2272" s="2968"/>
      <c r="F2272" s="2968">
        <v>2000</v>
      </c>
      <c r="G2272" s="2968" t="s">
        <v>355</v>
      </c>
      <c r="H2272" s="2968"/>
      <c r="I2272" s="2968"/>
      <c r="J2272" s="2968" t="str">
        <f t="shared" si="71"/>
        <v>TUBU800</v>
      </c>
      <c r="K2272" s="2969" t="str">
        <f t="shared" si="70"/>
        <v>TUBU800Tủ tụ bù hạ thế 800kVAr</v>
      </c>
    </row>
    <row r="2273" spans="1:11" hidden="1">
      <c r="A2273" s="2969" t="s">
        <v>683</v>
      </c>
      <c r="B2273" s="3004" t="s">
        <v>1383</v>
      </c>
      <c r="C2273" s="2969" t="s">
        <v>3367</v>
      </c>
      <c r="D2273" s="2968" t="s">
        <v>3355</v>
      </c>
      <c r="E2273" s="2968"/>
      <c r="F2273" s="2968">
        <v>2000</v>
      </c>
      <c r="G2273" s="2968" t="s">
        <v>355</v>
      </c>
      <c r="H2273" s="2968"/>
      <c r="I2273" s="2968"/>
      <c r="J2273" s="2968" t="str">
        <f t="shared" si="71"/>
        <v>TUBU80</v>
      </c>
      <c r="K2273" s="2969" t="str">
        <f t="shared" si="70"/>
        <v>TUBU80Tủ tụ bù hạ thế 80kVAr</v>
      </c>
    </row>
    <row r="2274" spans="1:11" hidden="1">
      <c r="A2274" s="2969" t="s">
        <v>4532</v>
      </c>
      <c r="B2274" s="3004" t="s">
        <v>1383</v>
      </c>
      <c r="C2274" s="2969" t="s">
        <v>4533</v>
      </c>
      <c r="D2274" s="2968" t="s">
        <v>3355</v>
      </c>
      <c r="E2274" s="2968"/>
      <c r="F2274" s="2968">
        <v>2000</v>
      </c>
      <c r="G2274" s="2968" t="s">
        <v>355</v>
      </c>
      <c r="H2274" s="2968"/>
      <c r="I2274" s="2968"/>
      <c r="J2274" s="2968" t="str">
        <f t="shared" si="71"/>
        <v>TUBU90</v>
      </c>
      <c r="K2274" s="2969" t="str">
        <f t="shared" si="70"/>
        <v>TUBU90Tủ tụ bù hạ thế 90kVAr</v>
      </c>
    </row>
    <row r="2275" spans="1:11" hidden="1">
      <c r="A2275" s="3013" t="s">
        <v>2042</v>
      </c>
      <c r="B2275" s="2986"/>
      <c r="C2275" s="3013" t="s">
        <v>4293</v>
      </c>
      <c r="D2275" s="2968" t="s">
        <v>2547</v>
      </c>
      <c r="E2275" s="2968"/>
      <c r="F2275" s="2968">
        <v>50</v>
      </c>
      <c r="G2275" s="2968" t="s">
        <v>510</v>
      </c>
      <c r="H2275" s="2968"/>
      <c r="I2275" s="2968"/>
      <c r="J2275" s="2968" t="str">
        <f t="shared" si="71"/>
        <v>TN1618</v>
      </c>
      <c r="K2275" s="2969" t="str">
        <f t="shared" si="70"/>
        <v>TN1618Ty neo Ø16x1800</v>
      </c>
    </row>
    <row r="2276" spans="1:11" hidden="1">
      <c r="A2276" s="3013" t="s">
        <v>743</v>
      </c>
      <c r="B2276" s="2986"/>
      <c r="C2276" s="3013" t="s">
        <v>4294</v>
      </c>
      <c r="D2276" s="2968" t="s">
        <v>2547</v>
      </c>
      <c r="E2276" s="2968"/>
      <c r="F2276" s="2968">
        <v>50</v>
      </c>
      <c r="G2276" s="2968" t="s">
        <v>510</v>
      </c>
      <c r="H2276" s="2968"/>
      <c r="I2276" s="2968"/>
      <c r="J2276" s="2968" t="str">
        <f t="shared" si="71"/>
        <v>TN1624</v>
      </c>
      <c r="K2276" s="2969" t="str">
        <f t="shared" si="70"/>
        <v>TN1624Ty neo Ø16x2400</v>
      </c>
    </row>
    <row r="2277" spans="1:11" hidden="1">
      <c r="A2277" s="3013" t="s">
        <v>2158</v>
      </c>
      <c r="B2277" s="2986"/>
      <c r="C2277" s="3013" t="s">
        <v>4295</v>
      </c>
      <c r="D2277" s="2968" t="s">
        <v>2547</v>
      </c>
      <c r="E2277" s="2968"/>
      <c r="F2277" s="2968">
        <v>50</v>
      </c>
      <c r="G2277" s="2968" t="s">
        <v>510</v>
      </c>
      <c r="H2277" s="2968"/>
      <c r="I2277" s="2968"/>
      <c r="J2277" s="2968" t="str">
        <f t="shared" si="71"/>
        <v>TN1824</v>
      </c>
      <c r="K2277" s="2969" t="str">
        <f t="shared" si="70"/>
        <v>TN1824Ty neo Ø18x2400</v>
      </c>
    </row>
    <row r="2278" spans="1:11" hidden="1">
      <c r="A2278" s="3013" t="s">
        <v>534</v>
      </c>
      <c r="B2278" s="2986"/>
      <c r="C2278" s="3013" t="s">
        <v>4296</v>
      </c>
      <c r="D2278" s="2968" t="s">
        <v>2547</v>
      </c>
      <c r="E2278" s="2968"/>
      <c r="F2278" s="2968">
        <v>50</v>
      </c>
      <c r="G2278" s="2968" t="s">
        <v>510</v>
      </c>
      <c r="H2278" s="2968"/>
      <c r="I2278" s="2968"/>
      <c r="J2278" s="2968" t="str">
        <f t="shared" si="71"/>
        <v>TN2224</v>
      </c>
      <c r="K2278" s="2969" t="str">
        <f t="shared" si="70"/>
        <v>TN2224Ty neo Ø22x2400</v>
      </c>
    </row>
    <row r="2279" spans="1:11" hidden="1">
      <c r="A2279" s="3013" t="s">
        <v>1994</v>
      </c>
      <c r="B2279" s="2986"/>
      <c r="C2279" s="3013" t="s">
        <v>4297</v>
      </c>
      <c r="D2279" s="2968" t="s">
        <v>2547</v>
      </c>
      <c r="E2279" s="2968"/>
      <c r="F2279" s="2968">
        <v>50</v>
      </c>
      <c r="G2279" s="2968" t="s">
        <v>510</v>
      </c>
      <c r="H2279" s="2968"/>
      <c r="I2279" s="2968"/>
      <c r="J2279" s="2968" t="str">
        <f t="shared" si="71"/>
        <v>TN30</v>
      </c>
      <c r="K2279" s="2969" t="str">
        <f t="shared" si="70"/>
        <v>TN30Ty neo Ø22x3000</v>
      </c>
    </row>
    <row r="2280" spans="1:11" hidden="1">
      <c r="A2280" s="3013" t="s">
        <v>113</v>
      </c>
      <c r="B2280" s="2986"/>
      <c r="C2280" s="3013" t="s">
        <v>4298</v>
      </c>
      <c r="D2280" s="2968" t="s">
        <v>2547</v>
      </c>
      <c r="E2280" s="2968"/>
      <c r="F2280" s="2968">
        <v>50</v>
      </c>
      <c r="G2280" s="2968" t="s">
        <v>510</v>
      </c>
      <c r="H2280" s="2968"/>
      <c r="I2280" s="2968"/>
      <c r="J2280" s="2968" t="str">
        <f t="shared" si="71"/>
        <v>TN37</v>
      </c>
      <c r="K2280" s="2969" t="str">
        <f t="shared" si="70"/>
        <v>TN37Ty neo Ø22x3700</v>
      </c>
    </row>
    <row r="2281" spans="1:11" hidden="1">
      <c r="A2281" s="2969" t="s">
        <v>4624</v>
      </c>
      <c r="B2281" s="3004"/>
      <c r="C2281" s="2969" t="s">
        <v>4625</v>
      </c>
      <c r="D2281" s="2968" t="s">
        <v>2547</v>
      </c>
      <c r="E2281" s="2968"/>
      <c r="F2281" s="2968">
        <v>50</v>
      </c>
      <c r="G2281" s="2968" t="s">
        <v>510</v>
      </c>
      <c r="H2281" s="2968"/>
      <c r="I2281" s="2968"/>
      <c r="J2281" s="2968" t="str">
        <f t="shared" si="71"/>
        <v>tsd20</v>
      </c>
      <c r="K2281" s="2969" t="str">
        <f t="shared" si="70"/>
        <v>tsd20Ty sứ đứng D20</v>
      </c>
    </row>
    <row r="2282" spans="1:11" hidden="1">
      <c r="A2282" s="2969" t="s">
        <v>1904</v>
      </c>
      <c r="B2282" s="3004"/>
      <c r="C2282" s="2969" t="s">
        <v>2924</v>
      </c>
      <c r="D2282" s="2968" t="s">
        <v>2433</v>
      </c>
      <c r="E2282" s="2968"/>
      <c r="F2282" s="2968">
        <v>50</v>
      </c>
      <c r="G2282" s="2968" t="s">
        <v>355</v>
      </c>
      <c r="H2282" s="2968"/>
      <c r="I2282" s="2968"/>
      <c r="J2282" s="2968" t="str">
        <f t="shared" si="71"/>
        <v>R1</v>
      </c>
      <c r="K2282" s="2969" t="str">
        <f t="shared" si="70"/>
        <v>R1Uclevis + sứ ống chỉ</v>
      </c>
    </row>
    <row r="2283" spans="1:11" hidden="1">
      <c r="A2283" s="2969" t="s">
        <v>1230</v>
      </c>
      <c r="B2283" s="2986" t="s">
        <v>1203</v>
      </c>
      <c r="C2283" s="2969" t="s">
        <v>3120</v>
      </c>
      <c r="D2283" s="2968" t="s">
        <v>853</v>
      </c>
      <c r="E2283" s="2968"/>
      <c r="F2283" s="2968">
        <v>3000</v>
      </c>
      <c r="G2283" s="2968" t="s">
        <v>510</v>
      </c>
      <c r="H2283" s="2968"/>
      <c r="I2283" s="2968"/>
      <c r="J2283" s="2968" t="str">
        <f t="shared" si="71"/>
        <v>VCCAT4</v>
      </c>
      <c r="K2283" s="2969" t="str">
        <f t="shared" si="70"/>
        <v>VCCAT4V/c cát cự vàng ly &gt;500m</v>
      </c>
    </row>
    <row r="2284" spans="1:11" hidden="1">
      <c r="A2284" s="2969" t="s">
        <v>1999</v>
      </c>
      <c r="B2284" s="2986" t="s">
        <v>2000</v>
      </c>
      <c r="C2284" s="2969" t="s">
        <v>3114</v>
      </c>
      <c r="D2284" s="2968" t="s">
        <v>853</v>
      </c>
      <c r="E2284" s="2968"/>
      <c r="F2284" s="2968">
        <v>3000</v>
      </c>
      <c r="G2284" s="2968" t="s">
        <v>510</v>
      </c>
      <c r="H2284" s="2968"/>
      <c r="I2284" s="2968"/>
      <c r="J2284" s="2968" t="str">
        <f t="shared" si="71"/>
        <v>VCCAT1D</v>
      </c>
      <c r="K2284" s="2969" t="str">
        <f t="shared" si="70"/>
        <v>VCCAT1DV/c cát đen cự ly &lt;=100m</v>
      </c>
    </row>
    <row r="2285" spans="1:11" hidden="1">
      <c r="A2285" s="2969" t="s">
        <v>45</v>
      </c>
      <c r="B2285" s="2986" t="s">
        <v>46</v>
      </c>
      <c r="C2285" s="2969" t="s">
        <v>3115</v>
      </c>
      <c r="D2285" s="2968" t="s">
        <v>853</v>
      </c>
      <c r="E2285" s="2968"/>
      <c r="F2285" s="2968">
        <v>3000</v>
      </c>
      <c r="G2285" s="2968" t="s">
        <v>510</v>
      </c>
      <c r="H2285" s="2968"/>
      <c r="I2285" s="2968"/>
      <c r="J2285" s="2968" t="str">
        <f t="shared" si="71"/>
        <v>VCCAT2d</v>
      </c>
      <c r="K2285" s="2969" t="str">
        <f t="shared" si="70"/>
        <v>VCCAT2dV/c cát đen cự ly &lt;=300m</v>
      </c>
    </row>
    <row r="2286" spans="1:11" hidden="1">
      <c r="A2286" s="2969" t="s">
        <v>1699</v>
      </c>
      <c r="B2286" s="2986" t="s">
        <v>1700</v>
      </c>
      <c r="C2286" s="2969" t="s">
        <v>3116</v>
      </c>
      <c r="D2286" s="2968" t="s">
        <v>853</v>
      </c>
      <c r="E2286" s="2968"/>
      <c r="F2286" s="2968">
        <v>3000</v>
      </c>
      <c r="G2286" s="2968" t="s">
        <v>510</v>
      </c>
      <c r="H2286" s="2968"/>
      <c r="I2286" s="2968"/>
      <c r="J2286" s="2968" t="str">
        <f t="shared" si="71"/>
        <v>VCCAT3d</v>
      </c>
      <c r="K2286" s="2969" t="str">
        <f t="shared" si="70"/>
        <v>VCCAT3dV/c cát đen cự ly &lt;=500m</v>
      </c>
    </row>
    <row r="2287" spans="1:11" hidden="1">
      <c r="A2287" s="2969" t="s">
        <v>1701</v>
      </c>
      <c r="B2287" s="2986" t="s">
        <v>1702</v>
      </c>
      <c r="C2287" s="2969" t="s">
        <v>3117</v>
      </c>
      <c r="D2287" s="2968" t="s">
        <v>853</v>
      </c>
      <c r="E2287" s="2968"/>
      <c r="F2287" s="2968">
        <v>3000</v>
      </c>
      <c r="G2287" s="2968" t="s">
        <v>510</v>
      </c>
      <c r="H2287" s="2968"/>
      <c r="I2287" s="2968"/>
      <c r="J2287" s="2968" t="str">
        <f t="shared" si="71"/>
        <v>VCCAT4d</v>
      </c>
      <c r="K2287" s="2969" t="str">
        <f t="shared" si="70"/>
        <v>VCCAT4dV/c cát đen cự ly &gt;500m</v>
      </c>
    </row>
    <row r="2288" spans="1:11" ht="15.75" hidden="1">
      <c r="A2288" s="2975" t="s">
        <v>4346</v>
      </c>
      <c r="B2288" s="2986" t="s">
        <v>1113</v>
      </c>
      <c r="C2288" s="2969" t="s">
        <v>2573</v>
      </c>
      <c r="D2288" s="2968" t="s">
        <v>853</v>
      </c>
      <c r="E2288" s="2968"/>
      <c r="F2288" s="2968">
        <v>3000</v>
      </c>
      <c r="G2288" s="2968" t="s">
        <v>510</v>
      </c>
      <c r="H2288" s="2968"/>
      <c r="I2288" s="2968"/>
      <c r="J2288" s="2968" t="str">
        <f t="shared" si="71"/>
        <v>vcCAT</v>
      </c>
      <c r="K2288" s="2969" t="str">
        <f t="shared" si="70"/>
        <v>vcCATV/c cát vàng cự ly &lt;=100m</v>
      </c>
    </row>
    <row r="2289" spans="1:11" hidden="1">
      <c r="A2289" s="2969" t="s">
        <v>1607</v>
      </c>
      <c r="B2289" s="2986" t="s">
        <v>1113</v>
      </c>
      <c r="C2289" s="2969" t="s">
        <v>2573</v>
      </c>
      <c r="D2289" s="2968" t="s">
        <v>853</v>
      </c>
      <c r="E2289" s="2968"/>
      <c r="F2289" s="2968">
        <v>3000</v>
      </c>
      <c r="G2289" s="2968" t="s">
        <v>510</v>
      </c>
      <c r="H2289" s="2968"/>
      <c r="I2289" s="2968"/>
      <c r="J2289" s="2968" t="str">
        <f t="shared" si="71"/>
        <v>VCCAT1</v>
      </c>
      <c r="K2289" s="2969" t="str">
        <f t="shared" si="70"/>
        <v>VCCAT1V/c cát vàng cự ly &lt;=100m</v>
      </c>
    </row>
    <row r="2290" spans="1:11" hidden="1">
      <c r="A2290" s="2969" t="s">
        <v>797</v>
      </c>
      <c r="B2290" s="2986" t="s">
        <v>1786</v>
      </c>
      <c r="C2290" s="2969" t="s">
        <v>3118</v>
      </c>
      <c r="D2290" s="2968" t="s">
        <v>853</v>
      </c>
      <c r="E2290" s="2968"/>
      <c r="F2290" s="2968">
        <v>3000</v>
      </c>
      <c r="G2290" s="2968" t="s">
        <v>510</v>
      </c>
      <c r="H2290" s="2968"/>
      <c r="I2290" s="2968"/>
      <c r="J2290" s="2968" t="str">
        <f t="shared" si="71"/>
        <v>VCCAT2</v>
      </c>
      <c r="K2290" s="2969" t="str">
        <f t="shared" si="70"/>
        <v>VCCAT2V/c cát vàng cự ly &lt;=300m</v>
      </c>
    </row>
    <row r="2291" spans="1:11" hidden="1">
      <c r="A2291" s="2969" t="s">
        <v>1228</v>
      </c>
      <c r="B2291" s="2986" t="s">
        <v>1229</v>
      </c>
      <c r="C2291" s="2969" t="s">
        <v>3119</v>
      </c>
      <c r="D2291" s="2968" t="s">
        <v>853</v>
      </c>
      <c r="E2291" s="2968"/>
      <c r="F2291" s="2968">
        <v>3000</v>
      </c>
      <c r="G2291" s="2968" t="s">
        <v>510</v>
      </c>
      <c r="H2291" s="2968"/>
      <c r="I2291" s="2968"/>
      <c r="J2291" s="2968" t="str">
        <f t="shared" si="71"/>
        <v>VCCAT3</v>
      </c>
      <c r="K2291" s="2969" t="str">
        <f t="shared" si="70"/>
        <v>VCCAT3V/c cát vàng cự ly &lt;=500m</v>
      </c>
    </row>
    <row r="2292" spans="1:11" ht="15.75" hidden="1">
      <c r="A2292" s="2975" t="s">
        <v>17</v>
      </c>
      <c r="B2292" s="2986" t="s">
        <v>1205</v>
      </c>
      <c r="C2292" s="2969" t="s">
        <v>2571</v>
      </c>
      <c r="D2292" s="2968" t="s">
        <v>2436</v>
      </c>
      <c r="E2292" s="2968"/>
      <c r="F2292" s="2968">
        <v>3000</v>
      </c>
      <c r="G2292" s="2968" t="s">
        <v>510</v>
      </c>
      <c r="H2292" s="2968"/>
      <c r="I2292" s="2968"/>
      <c r="J2292" s="2968" t="str">
        <f t="shared" si="71"/>
        <v>THEP</v>
      </c>
      <c r="K2292" s="2969" t="str">
        <f t="shared" si="70"/>
        <v>THEPV/c cốt thép ( cự ly &lt;=100m)</v>
      </c>
    </row>
    <row r="2293" spans="1:11" hidden="1">
      <c r="A2293" s="2969" t="s">
        <v>1204</v>
      </c>
      <c r="B2293" s="2986" t="s">
        <v>1205</v>
      </c>
      <c r="C2293" s="2969" t="s">
        <v>2571</v>
      </c>
      <c r="D2293" s="2968" t="s">
        <v>2436</v>
      </c>
      <c r="E2293" s="2968"/>
      <c r="F2293" s="2968">
        <v>3000</v>
      </c>
      <c r="G2293" s="2968" t="s">
        <v>510</v>
      </c>
      <c r="H2293" s="2968"/>
      <c r="I2293" s="2968"/>
      <c r="J2293" s="2968" t="str">
        <f t="shared" si="71"/>
        <v>VCFE1</v>
      </c>
      <c r="K2293" s="2969" t="str">
        <f t="shared" si="70"/>
        <v>VCFE1V/c cốt thép ( cự ly &lt;=100m)</v>
      </c>
    </row>
    <row r="2294" spans="1:11" hidden="1">
      <c r="A2294" s="2969" t="s">
        <v>1533</v>
      </c>
      <c r="B2294" s="2986" t="s">
        <v>1534</v>
      </c>
      <c r="C2294" s="2969" t="s">
        <v>3121</v>
      </c>
      <c r="D2294" s="2968" t="s">
        <v>2436</v>
      </c>
      <c r="E2294" s="2968"/>
      <c r="F2294" s="2968">
        <v>3000</v>
      </c>
      <c r="G2294" s="2968" t="s">
        <v>510</v>
      </c>
      <c r="H2294" s="2968"/>
      <c r="I2294" s="2968"/>
      <c r="J2294" s="2968" t="str">
        <f t="shared" si="71"/>
        <v>VCFE2</v>
      </c>
      <c r="K2294" s="2969" t="str">
        <f t="shared" si="70"/>
        <v>VCFE2V/c cốt thép ( cự ly &lt;=300m)</v>
      </c>
    </row>
    <row r="2295" spans="1:11" hidden="1">
      <c r="A2295" s="2969" t="s">
        <v>1539</v>
      </c>
      <c r="B2295" s="2986" t="s">
        <v>1540</v>
      </c>
      <c r="C2295" s="2969" t="s">
        <v>3122</v>
      </c>
      <c r="D2295" s="2968" t="s">
        <v>2436</v>
      </c>
      <c r="E2295" s="2968"/>
      <c r="F2295" s="2968">
        <v>3000</v>
      </c>
      <c r="G2295" s="2968" t="s">
        <v>510</v>
      </c>
      <c r="H2295" s="2968"/>
      <c r="I2295" s="2968"/>
      <c r="J2295" s="2968" t="str">
        <f t="shared" si="71"/>
        <v>VCFE3</v>
      </c>
      <c r="K2295" s="2969" t="str">
        <f t="shared" si="70"/>
        <v>VCFE3V/c cốt thép ( cự ly &lt;=500m)</v>
      </c>
    </row>
    <row r="2296" spans="1:11" hidden="1">
      <c r="A2296" s="2969" t="s">
        <v>1541</v>
      </c>
      <c r="B2296" s="2986" t="s">
        <v>1542</v>
      </c>
      <c r="C2296" s="2969" t="s">
        <v>3123</v>
      </c>
      <c r="D2296" s="2968" t="s">
        <v>2436</v>
      </c>
      <c r="E2296" s="2968"/>
      <c r="F2296" s="2968">
        <v>3000</v>
      </c>
      <c r="G2296" s="2968" t="s">
        <v>510</v>
      </c>
      <c r="H2296" s="2968"/>
      <c r="I2296" s="2968"/>
      <c r="J2296" s="2968" t="str">
        <f t="shared" si="71"/>
        <v>VCFE4</v>
      </c>
      <c r="K2296" s="2969" t="str">
        <f t="shared" si="70"/>
        <v>VCFE4V/c cốt thép ( cự ly &gt;500m)</v>
      </c>
    </row>
    <row r="2297" spans="1:11" ht="15.75" hidden="1">
      <c r="A2297" s="2975" t="s">
        <v>1195</v>
      </c>
      <c r="B2297" s="2986" t="s">
        <v>2231</v>
      </c>
      <c r="C2297" s="2969" t="s">
        <v>2579</v>
      </c>
      <c r="D2297" s="2968" t="s">
        <v>2436</v>
      </c>
      <c r="E2297" s="2968"/>
      <c r="F2297" s="2968">
        <v>3000</v>
      </c>
      <c r="G2297" s="2968" t="s">
        <v>510</v>
      </c>
      <c r="H2297" s="2968"/>
      <c r="I2297" s="2968"/>
      <c r="J2297" s="2968" t="str">
        <f t="shared" si="71"/>
        <v>COT</v>
      </c>
      <c r="K2297" s="2969" t="str">
        <f t="shared" si="70"/>
        <v>COTV/c cột vào vị trí (cự ly &lt;=100m)</v>
      </c>
    </row>
    <row r="2298" spans="1:11" hidden="1">
      <c r="A2298" s="2969" t="s">
        <v>1579</v>
      </c>
      <c r="B2298" s="2986" t="s">
        <v>2231</v>
      </c>
      <c r="C2298" s="2969" t="s">
        <v>2579</v>
      </c>
      <c r="D2298" s="2968" t="s">
        <v>2436</v>
      </c>
      <c r="E2298" s="2968"/>
      <c r="F2298" s="2968">
        <v>3000</v>
      </c>
      <c r="G2298" s="2968" t="s">
        <v>510</v>
      </c>
      <c r="H2298" s="2968"/>
      <c r="I2298" s="2968"/>
      <c r="J2298" s="2968" t="str">
        <f t="shared" si="71"/>
        <v>VCC1</v>
      </c>
      <c r="K2298" s="2969" t="str">
        <f t="shared" si="70"/>
        <v>VCC1V/c cột vào vị trí (cự ly &lt;=100m)</v>
      </c>
    </row>
    <row r="2299" spans="1:11" hidden="1">
      <c r="A2299" s="2969" t="s">
        <v>2232</v>
      </c>
      <c r="B2299" s="2986" t="s">
        <v>2233</v>
      </c>
      <c r="C2299" s="2969" t="s">
        <v>3075</v>
      </c>
      <c r="D2299" s="2968" t="s">
        <v>2436</v>
      </c>
      <c r="E2299" s="2968"/>
      <c r="F2299" s="2968">
        <v>3000</v>
      </c>
      <c r="G2299" s="2968" t="s">
        <v>510</v>
      </c>
      <c r="H2299" s="2968"/>
      <c r="I2299" s="2968"/>
      <c r="J2299" s="2968" t="str">
        <f t="shared" si="71"/>
        <v>VCC2</v>
      </c>
      <c r="K2299" s="2969" t="str">
        <f t="shared" si="70"/>
        <v>VCC2V/c cột vào vị trí (cự ly &lt;=300m)</v>
      </c>
    </row>
    <row r="2300" spans="1:11" hidden="1">
      <c r="A2300" s="2969" t="s">
        <v>565</v>
      </c>
      <c r="B2300" s="2986" t="s">
        <v>566</v>
      </c>
      <c r="C2300" s="2969" t="s">
        <v>3076</v>
      </c>
      <c r="D2300" s="2968" t="s">
        <v>2436</v>
      </c>
      <c r="E2300" s="2968"/>
      <c r="F2300" s="2968">
        <v>3000</v>
      </c>
      <c r="G2300" s="2968" t="s">
        <v>510</v>
      </c>
      <c r="H2300" s="2968"/>
      <c r="I2300" s="2968"/>
      <c r="J2300" s="2968" t="str">
        <f t="shared" si="71"/>
        <v>VCC3</v>
      </c>
      <c r="K2300" s="2969" t="str">
        <f t="shared" si="70"/>
        <v>VCC3V/c cột vào vị trí (cự ly &lt;=500m)</v>
      </c>
    </row>
    <row r="2301" spans="1:11" hidden="1">
      <c r="A2301" s="2969" t="s">
        <v>1639</v>
      </c>
      <c r="B2301" s="2986" t="s">
        <v>2235</v>
      </c>
      <c r="C2301" s="2969" t="s">
        <v>3077</v>
      </c>
      <c r="D2301" s="2968" t="s">
        <v>2436</v>
      </c>
      <c r="E2301" s="2968"/>
      <c r="F2301" s="2968">
        <v>3000</v>
      </c>
      <c r="G2301" s="2968" t="s">
        <v>510</v>
      </c>
      <c r="H2301" s="2968"/>
      <c r="I2301" s="2968"/>
      <c r="J2301" s="2968" t="str">
        <f t="shared" si="71"/>
        <v>VCC4</v>
      </c>
      <c r="K2301" s="2969" t="str">
        <f t="shared" si="70"/>
        <v>VCC4V/c cột vào vị trí (cự ly &gt;500m)</v>
      </c>
    </row>
    <row r="2302" spans="1:11" hidden="1">
      <c r="A2302" s="2969" t="s">
        <v>1243</v>
      </c>
      <c r="B2302" s="2986" t="s">
        <v>1244</v>
      </c>
      <c r="C2302" s="2969" t="s">
        <v>3097</v>
      </c>
      <c r="D2302" s="2968" t="s">
        <v>2582</v>
      </c>
      <c r="E2302" s="2968"/>
      <c r="F2302" s="2968">
        <v>3000</v>
      </c>
      <c r="G2302" s="2968" t="s">
        <v>510</v>
      </c>
      <c r="H2302" s="2968"/>
      <c r="I2302" s="2968"/>
      <c r="J2302" s="2968" t="str">
        <f t="shared" si="71"/>
        <v>VCCT1</v>
      </c>
      <c r="K2302" s="2969" t="str">
        <f t="shared" si="70"/>
        <v>VCCT1V/c cừ tràm 2,5 -3m( cự ly &lt;=100m)</v>
      </c>
    </row>
    <row r="2303" spans="1:11" hidden="1">
      <c r="A2303" s="2969" t="s">
        <v>1411</v>
      </c>
      <c r="B2303" s="2986" t="s">
        <v>595</v>
      </c>
      <c r="C2303" s="2969" t="s">
        <v>3098</v>
      </c>
      <c r="D2303" s="2968" t="s">
        <v>2582</v>
      </c>
      <c r="E2303" s="2968"/>
      <c r="F2303" s="2968">
        <v>3000</v>
      </c>
      <c r="G2303" s="2968" t="s">
        <v>510</v>
      </c>
      <c r="H2303" s="2968"/>
      <c r="I2303" s="2968"/>
      <c r="J2303" s="2968" t="str">
        <f t="shared" si="71"/>
        <v>VCCT2</v>
      </c>
      <c r="K2303" s="2969" t="str">
        <f t="shared" si="70"/>
        <v>VCCT2V/c cừ tràm 2,5-3m ( cự ly &lt;=300m)</v>
      </c>
    </row>
    <row r="2304" spans="1:11" hidden="1">
      <c r="A2304" s="2969" t="s">
        <v>2239</v>
      </c>
      <c r="B2304" s="2986" t="s">
        <v>2240</v>
      </c>
      <c r="C2304" s="2969" t="s">
        <v>3099</v>
      </c>
      <c r="D2304" s="2968" t="s">
        <v>2582</v>
      </c>
      <c r="E2304" s="2968"/>
      <c r="F2304" s="2968">
        <v>3000</v>
      </c>
      <c r="G2304" s="2968" t="s">
        <v>510</v>
      </c>
      <c r="H2304" s="2968"/>
      <c r="I2304" s="2968"/>
      <c r="J2304" s="2968" t="str">
        <f t="shared" si="71"/>
        <v>VCCT3</v>
      </c>
      <c r="K2304" s="2969" t="str">
        <f t="shared" si="70"/>
        <v>VCCT3V/c cừ tràm 2,5-3m ( cự ly &lt;=500m)</v>
      </c>
    </row>
    <row r="2305" spans="1:11" hidden="1">
      <c r="A2305" s="2969" t="s">
        <v>1794</v>
      </c>
      <c r="B2305" s="2986" t="s">
        <v>711</v>
      </c>
      <c r="C2305" s="2969" t="s">
        <v>3100</v>
      </c>
      <c r="D2305" s="2968" t="s">
        <v>2582</v>
      </c>
      <c r="E2305" s="2968"/>
      <c r="F2305" s="2968">
        <v>3000</v>
      </c>
      <c r="G2305" s="2968" t="s">
        <v>510</v>
      </c>
      <c r="H2305" s="2968"/>
      <c r="I2305" s="2968"/>
      <c r="J2305" s="2968" t="str">
        <f t="shared" si="71"/>
        <v>VCCT4</v>
      </c>
      <c r="K2305" s="2969" t="str">
        <f t="shared" si="70"/>
        <v>VCCT4V/c cừ tràm 2,5-3m ( cự ly &gt; 500m)</v>
      </c>
    </row>
    <row r="2306" spans="1:11" ht="15.75" hidden="1">
      <c r="A2306" s="2975" t="s">
        <v>631</v>
      </c>
      <c r="B2306" s="2986" t="s">
        <v>713</v>
      </c>
      <c r="C2306" s="2969" t="s">
        <v>2581</v>
      </c>
      <c r="D2306" s="2968" t="s">
        <v>2582</v>
      </c>
      <c r="E2306" s="2968"/>
      <c r="F2306" s="2968">
        <v>3000</v>
      </c>
      <c r="G2306" s="2968" t="s">
        <v>510</v>
      </c>
      <c r="H2306" s="2968"/>
      <c r="I2306" s="2968"/>
      <c r="J2306" s="2968" t="str">
        <f t="shared" si="71"/>
        <v>ctram</v>
      </c>
      <c r="K2306" s="2969" t="str">
        <f t="shared" si="70"/>
        <v>ctramV/c cừ tràm 5m ( cự ly &lt;=100m)</v>
      </c>
    </row>
    <row r="2307" spans="1:11" hidden="1">
      <c r="A2307" s="2969" t="s">
        <v>712</v>
      </c>
      <c r="B2307" s="2986" t="s">
        <v>713</v>
      </c>
      <c r="C2307" s="2969" t="s">
        <v>2581</v>
      </c>
      <c r="D2307" s="2968" t="s">
        <v>2582</v>
      </c>
      <c r="E2307" s="2968"/>
      <c r="F2307" s="2968">
        <v>3000</v>
      </c>
      <c r="G2307" s="2968" t="s">
        <v>510</v>
      </c>
      <c r="H2307" s="2968"/>
      <c r="I2307" s="2968"/>
      <c r="J2307" s="2968" t="str">
        <f t="shared" si="71"/>
        <v>VCCT5</v>
      </c>
      <c r="K2307" s="2969" t="str">
        <f t="shared" ref="K2307:K2370" si="72">A2307&amp;C2307</f>
        <v>VCCT5V/c cừ tràm 5m ( cự ly &lt;=100m)</v>
      </c>
    </row>
    <row r="2308" spans="1:11" hidden="1">
      <c r="A2308" s="2969" t="s">
        <v>714</v>
      </c>
      <c r="B2308" s="2986" t="s">
        <v>715</v>
      </c>
      <c r="C2308" s="2969" t="s">
        <v>3101</v>
      </c>
      <c r="D2308" s="2968" t="s">
        <v>2582</v>
      </c>
      <c r="E2308" s="2968"/>
      <c r="F2308" s="2968">
        <v>3000</v>
      </c>
      <c r="G2308" s="2968" t="s">
        <v>510</v>
      </c>
      <c r="H2308" s="2968"/>
      <c r="I2308" s="2968"/>
      <c r="J2308" s="2968" t="str">
        <f t="shared" ref="J2308:J2371" si="73">A2308</f>
        <v>VCCT6</v>
      </c>
      <c r="K2308" s="2969" t="str">
        <f t="shared" si="72"/>
        <v>VCCT6V/c cừ tràm 5m ( cự ly &lt;=300m)</v>
      </c>
    </row>
    <row r="2309" spans="1:11" hidden="1">
      <c r="A2309" s="2969" t="s">
        <v>1553</v>
      </c>
      <c r="B2309" s="2986" t="s">
        <v>1017</v>
      </c>
      <c r="C2309" s="2969" t="s">
        <v>3102</v>
      </c>
      <c r="D2309" s="2968" t="s">
        <v>2582</v>
      </c>
      <c r="E2309" s="2968"/>
      <c r="F2309" s="2968">
        <v>3000</v>
      </c>
      <c r="G2309" s="2968" t="s">
        <v>510</v>
      </c>
      <c r="H2309" s="2968"/>
      <c r="I2309" s="2968"/>
      <c r="J2309" s="2968" t="str">
        <f t="shared" si="73"/>
        <v>VCCT7</v>
      </c>
      <c r="K2309" s="2969" t="str">
        <f t="shared" si="72"/>
        <v>VCCT7V/c cừ tràm 5m ( cự ly &lt;=500m)</v>
      </c>
    </row>
    <row r="2310" spans="1:11" hidden="1">
      <c r="A2310" s="2969" t="s">
        <v>1811</v>
      </c>
      <c r="B2310" s="2986" t="s">
        <v>1812</v>
      </c>
      <c r="C2310" s="2969" t="s">
        <v>3103</v>
      </c>
      <c r="D2310" s="2968" t="s">
        <v>2582</v>
      </c>
      <c r="E2310" s="2968"/>
      <c r="F2310" s="2968">
        <v>3000</v>
      </c>
      <c r="G2310" s="2968" t="s">
        <v>510</v>
      </c>
      <c r="H2310" s="2968"/>
      <c r="I2310" s="2968"/>
      <c r="J2310" s="2968" t="str">
        <f t="shared" si="73"/>
        <v>VCCT8</v>
      </c>
      <c r="K2310" s="2969" t="str">
        <f t="shared" si="72"/>
        <v>VCCT8V/c cừ tràm 5m ( cự ly &gt; 500m)</v>
      </c>
    </row>
    <row r="2311" spans="1:11" ht="15.75" hidden="1">
      <c r="A2311" s="2975" t="s">
        <v>4344</v>
      </c>
      <c r="B2311" s="2986" t="s">
        <v>554</v>
      </c>
      <c r="C2311" s="2969" t="s">
        <v>2575</v>
      </c>
      <c r="D2311" s="2968" t="s">
        <v>2436</v>
      </c>
      <c r="E2311" s="2968"/>
      <c r="F2311" s="2968">
        <v>3000</v>
      </c>
      <c r="G2311" s="2968" t="s">
        <v>510</v>
      </c>
      <c r="H2311" s="2968"/>
      <c r="I2311" s="2968"/>
      <c r="J2311" s="2968" t="str">
        <f t="shared" si="73"/>
        <v>DA</v>
      </c>
      <c r="K2311" s="2969" t="str">
        <f t="shared" si="72"/>
        <v>DAV/c đà cản vào vị trí (cự ly &lt;=100m)</v>
      </c>
    </row>
    <row r="2312" spans="1:11" hidden="1">
      <c r="A2312" s="2969" t="s">
        <v>37</v>
      </c>
      <c r="B2312" s="2986" t="s">
        <v>554</v>
      </c>
      <c r="C2312" s="2969" t="s">
        <v>2575</v>
      </c>
      <c r="D2312" s="2968" t="s">
        <v>2436</v>
      </c>
      <c r="E2312" s="2968"/>
      <c r="F2312" s="2968">
        <v>3000</v>
      </c>
      <c r="G2312" s="2968" t="s">
        <v>510</v>
      </c>
      <c r="H2312" s="2968"/>
      <c r="I2312" s="2968"/>
      <c r="J2312" s="2968" t="str">
        <f t="shared" si="73"/>
        <v>VCDA1</v>
      </c>
      <c r="K2312" s="2969" t="str">
        <f t="shared" si="72"/>
        <v>VCDA1V/c đà cản vào vị trí (cự ly &lt;=100m)</v>
      </c>
    </row>
    <row r="2313" spans="1:11" hidden="1">
      <c r="A2313" s="2969" t="s">
        <v>1815</v>
      </c>
      <c r="B2313" s="2986" t="s">
        <v>1816</v>
      </c>
      <c r="C2313" s="2969" t="s">
        <v>3066</v>
      </c>
      <c r="D2313" s="2968" t="s">
        <v>2436</v>
      </c>
      <c r="E2313" s="2968"/>
      <c r="F2313" s="2968">
        <v>3000</v>
      </c>
      <c r="G2313" s="2968" t="s">
        <v>510</v>
      </c>
      <c r="H2313" s="2968"/>
      <c r="I2313" s="2968"/>
      <c r="J2313" s="2968" t="str">
        <f t="shared" si="73"/>
        <v>VCDA2</v>
      </c>
      <c r="K2313" s="2969" t="str">
        <f t="shared" si="72"/>
        <v>VCDA2V/c đà cản vào vị trí (cự ly &lt;=300m)</v>
      </c>
    </row>
    <row r="2314" spans="1:11" hidden="1">
      <c r="A2314" s="2969" t="s">
        <v>191</v>
      </c>
      <c r="B2314" s="2986" t="s">
        <v>192</v>
      </c>
      <c r="C2314" s="2969" t="s">
        <v>3067</v>
      </c>
      <c r="D2314" s="2968" t="s">
        <v>2436</v>
      </c>
      <c r="E2314" s="2968"/>
      <c r="F2314" s="2968">
        <v>3000</v>
      </c>
      <c r="G2314" s="2968" t="s">
        <v>510</v>
      </c>
      <c r="H2314" s="2968"/>
      <c r="I2314" s="2968"/>
      <c r="J2314" s="2968" t="str">
        <f t="shared" si="73"/>
        <v>VCDA3</v>
      </c>
      <c r="K2314" s="2969" t="str">
        <f t="shared" si="72"/>
        <v>VCDA3V/c đà cản vào vị trí (cự ly &lt;=500m)</v>
      </c>
    </row>
    <row r="2315" spans="1:11" hidden="1">
      <c r="A2315" s="2969" t="s">
        <v>342</v>
      </c>
      <c r="B2315" s="2986" t="s">
        <v>1091</v>
      </c>
      <c r="C2315" s="2969" t="s">
        <v>3068</v>
      </c>
      <c r="D2315" s="2968" t="s">
        <v>2436</v>
      </c>
      <c r="E2315" s="2968"/>
      <c r="F2315" s="2968">
        <v>3000</v>
      </c>
      <c r="G2315" s="2968" t="s">
        <v>510</v>
      </c>
      <c r="H2315" s="2968"/>
      <c r="I2315" s="2968"/>
      <c r="J2315" s="2968" t="str">
        <f t="shared" si="73"/>
        <v>VCDA4</v>
      </c>
      <c r="K2315" s="2969" t="str">
        <f t="shared" si="72"/>
        <v>VCDA4V/c đà cản vào vị trí (cự ly&gt;500m)</v>
      </c>
    </row>
    <row r="2316" spans="1:11" ht="15.75" hidden="1">
      <c r="A2316" s="2975" t="s">
        <v>20</v>
      </c>
      <c r="B2316" s="2986" t="s">
        <v>805</v>
      </c>
      <c r="C2316" s="2969" t="s">
        <v>2574</v>
      </c>
      <c r="D2316" s="2968" t="s">
        <v>853</v>
      </c>
      <c r="E2316" s="2968"/>
      <c r="F2316" s="2968">
        <v>3000</v>
      </c>
      <c r="G2316" s="2968" t="s">
        <v>510</v>
      </c>
      <c r="H2316" s="2968"/>
      <c r="I2316" s="2968"/>
      <c r="J2316" s="2968" t="str">
        <f t="shared" si="73"/>
        <v>DADAM</v>
      </c>
      <c r="K2316" s="2969" t="str">
        <f t="shared" si="72"/>
        <v>DADAMV/c đá dăm ( cự ly &lt;=100m)</v>
      </c>
    </row>
    <row r="2317" spans="1:11" hidden="1">
      <c r="A2317" s="2969" t="s">
        <v>519</v>
      </c>
      <c r="B2317" s="2986" t="s">
        <v>805</v>
      </c>
      <c r="C2317" s="2969" t="s">
        <v>2574</v>
      </c>
      <c r="D2317" s="2968" t="s">
        <v>853</v>
      </c>
      <c r="E2317" s="2968"/>
      <c r="F2317" s="2968">
        <v>3000</v>
      </c>
      <c r="G2317" s="2968" t="s">
        <v>510</v>
      </c>
      <c r="H2317" s="2968"/>
      <c r="I2317" s="2968"/>
      <c r="J2317" s="2968" t="str">
        <f t="shared" si="73"/>
        <v>VCLD1</v>
      </c>
      <c r="K2317" s="2969" t="str">
        <f t="shared" si="72"/>
        <v>VCLD1V/c đá dăm ( cự ly &lt;=100m)</v>
      </c>
    </row>
    <row r="2318" spans="1:11" hidden="1">
      <c r="A2318" s="2969" t="s">
        <v>1961</v>
      </c>
      <c r="B2318" s="2986" t="s">
        <v>1962</v>
      </c>
      <c r="C2318" s="2969" t="s">
        <v>3107</v>
      </c>
      <c r="D2318" s="2968" t="s">
        <v>853</v>
      </c>
      <c r="E2318" s="2968"/>
      <c r="F2318" s="2968">
        <v>3000</v>
      </c>
      <c r="G2318" s="2968" t="s">
        <v>510</v>
      </c>
      <c r="H2318" s="2968"/>
      <c r="I2318" s="2968"/>
      <c r="J2318" s="2968" t="str">
        <f t="shared" si="73"/>
        <v>VCLD2</v>
      </c>
      <c r="K2318" s="2969" t="str">
        <f t="shared" si="72"/>
        <v>VCLD2V/c đá dăm ( cự ly &lt;=300m)</v>
      </c>
    </row>
    <row r="2319" spans="1:11" hidden="1">
      <c r="A2319" s="2969" t="s">
        <v>1963</v>
      </c>
      <c r="B2319" s="2986" t="s">
        <v>1964</v>
      </c>
      <c r="C2319" s="2969" t="s">
        <v>3108</v>
      </c>
      <c r="D2319" s="2968" t="s">
        <v>853</v>
      </c>
      <c r="E2319" s="2968"/>
      <c r="F2319" s="2968">
        <v>3000</v>
      </c>
      <c r="G2319" s="2968" t="s">
        <v>510</v>
      </c>
      <c r="H2319" s="2968"/>
      <c r="I2319" s="2968"/>
      <c r="J2319" s="2968" t="str">
        <f t="shared" si="73"/>
        <v>VCLD3</v>
      </c>
      <c r="K2319" s="2969" t="str">
        <f t="shared" si="72"/>
        <v>VCLD3V/c đá dăm ( cự ly &lt;=500m)</v>
      </c>
    </row>
    <row r="2320" spans="1:11" hidden="1">
      <c r="A2320" s="2969" t="s">
        <v>1965</v>
      </c>
      <c r="B2320" s="2986" t="s">
        <v>1966</v>
      </c>
      <c r="C2320" s="2969" t="s">
        <v>3109</v>
      </c>
      <c r="D2320" s="2968" t="s">
        <v>853</v>
      </c>
      <c r="E2320" s="2968"/>
      <c r="F2320" s="2968">
        <v>3000</v>
      </c>
      <c r="G2320" s="2968" t="s">
        <v>510</v>
      </c>
      <c r="H2320" s="2968"/>
      <c r="I2320" s="2968"/>
      <c r="J2320" s="2968" t="str">
        <f t="shared" si="73"/>
        <v>VCLD4</v>
      </c>
      <c r="K2320" s="2969" t="str">
        <f t="shared" si="72"/>
        <v>VCLD4V/c đá dăm ( cự ly &gt;500m)</v>
      </c>
    </row>
    <row r="2321" spans="1:11" hidden="1">
      <c r="A2321" s="2969" t="s">
        <v>43</v>
      </c>
      <c r="B2321" s="2986" t="s">
        <v>44</v>
      </c>
      <c r="C2321" s="2969" t="s">
        <v>3110</v>
      </c>
      <c r="D2321" s="2968" t="s">
        <v>853</v>
      </c>
      <c r="E2321" s="2968"/>
      <c r="F2321" s="2968">
        <v>3000</v>
      </c>
      <c r="G2321" s="2968" t="s">
        <v>510</v>
      </c>
      <c r="H2321" s="2968"/>
      <c r="I2321" s="2968"/>
      <c r="J2321" s="2968" t="str">
        <f t="shared" si="73"/>
        <v>VCDAT1</v>
      </c>
      <c r="K2321" s="2969" t="str">
        <f t="shared" si="72"/>
        <v>VCDAT1V/c đất đi đổ ( cự ly &gt;500m) Cấp I</v>
      </c>
    </row>
    <row r="2322" spans="1:11" hidden="1">
      <c r="A2322" s="2969" t="s">
        <v>1977</v>
      </c>
      <c r="B2322" s="2986" t="s">
        <v>1978</v>
      </c>
      <c r="C2322" s="2969" t="s">
        <v>3111</v>
      </c>
      <c r="D2322" s="2968" t="s">
        <v>853</v>
      </c>
      <c r="E2322" s="2968"/>
      <c r="F2322" s="2968">
        <v>3000</v>
      </c>
      <c r="G2322" s="2968" t="s">
        <v>510</v>
      </c>
      <c r="H2322" s="2968"/>
      <c r="I2322" s="2968"/>
      <c r="J2322" s="2968" t="str">
        <f t="shared" si="73"/>
        <v>VCDAT2</v>
      </c>
      <c r="K2322" s="2969" t="str">
        <f t="shared" si="72"/>
        <v>VCDAT2V/c đất đi đổ ( cự ly &gt;500m) Cấp II</v>
      </c>
    </row>
    <row r="2323" spans="1:11" hidden="1">
      <c r="A2323" s="2969" t="s">
        <v>1392</v>
      </c>
      <c r="B2323" s="2986" t="s">
        <v>1393</v>
      </c>
      <c r="C2323" s="2969" t="s">
        <v>3112</v>
      </c>
      <c r="D2323" s="2968" t="s">
        <v>853</v>
      </c>
      <c r="E2323" s="2968"/>
      <c r="F2323" s="2968">
        <v>3000</v>
      </c>
      <c r="G2323" s="2968" t="s">
        <v>510</v>
      </c>
      <c r="H2323" s="2968"/>
      <c r="I2323" s="2968"/>
      <c r="J2323" s="2968" t="str">
        <f t="shared" si="73"/>
        <v>VCDAT3</v>
      </c>
      <c r="K2323" s="2969" t="str">
        <f t="shared" si="72"/>
        <v>VCDAT3V/c đất đi đổ ( cự ly &gt;500m) Cấp III</v>
      </c>
    </row>
    <row r="2324" spans="1:11" hidden="1">
      <c r="A2324" s="2969" t="s">
        <v>1765</v>
      </c>
      <c r="B2324" s="2986" t="s">
        <v>1998</v>
      </c>
      <c r="C2324" s="2969" t="s">
        <v>3113</v>
      </c>
      <c r="D2324" s="2968" t="s">
        <v>853</v>
      </c>
      <c r="E2324" s="2968"/>
      <c r="F2324" s="2968">
        <v>3000</v>
      </c>
      <c r="G2324" s="2968" t="s">
        <v>510</v>
      </c>
      <c r="H2324" s="2968"/>
      <c r="I2324" s="2968"/>
      <c r="J2324" s="2968" t="str">
        <f t="shared" si="73"/>
        <v>VCDAT4</v>
      </c>
      <c r="K2324" s="2969" t="str">
        <f t="shared" si="72"/>
        <v>VCDAT4V/c đất đi đổ ( cự ly &gt;500m) Cấp IV</v>
      </c>
    </row>
    <row r="2325" spans="1:11" ht="15.75" hidden="1">
      <c r="A2325" s="2975" t="s">
        <v>356</v>
      </c>
      <c r="B2325" s="2986" t="s">
        <v>1193</v>
      </c>
      <c r="C2325" s="2969" t="s">
        <v>2583</v>
      </c>
      <c r="D2325" s="2968" t="s">
        <v>2436</v>
      </c>
      <c r="E2325" s="2968"/>
      <c r="F2325" s="2968">
        <v>3000</v>
      </c>
      <c r="G2325" s="2968" t="s">
        <v>510</v>
      </c>
      <c r="H2325" s="2968"/>
      <c r="I2325" s="2968"/>
      <c r="J2325" s="2968" t="str">
        <f t="shared" si="73"/>
        <v>DAY</v>
      </c>
      <c r="K2325" s="2969" t="str">
        <f t="shared" si="72"/>
        <v>DAYV/c dây vào vị trí (cự ly &lt;=100m)</v>
      </c>
    </row>
    <row r="2326" spans="1:11" hidden="1">
      <c r="A2326" s="2969" t="s">
        <v>1192</v>
      </c>
      <c r="B2326" s="2986" t="s">
        <v>1193</v>
      </c>
      <c r="C2326" s="2969" t="s">
        <v>2583</v>
      </c>
      <c r="D2326" s="2968" t="s">
        <v>2436</v>
      </c>
      <c r="E2326" s="2968"/>
      <c r="F2326" s="2968">
        <v>3000</v>
      </c>
      <c r="G2326" s="2968" t="s">
        <v>510</v>
      </c>
      <c r="H2326" s="2968"/>
      <c r="I2326" s="2968"/>
      <c r="J2326" s="2968" t="str">
        <f t="shared" si="73"/>
        <v>VCD1</v>
      </c>
      <c r="K2326" s="2969" t="str">
        <f t="shared" si="72"/>
        <v>VCD1V/c dây vào vị trí (cự ly &lt;=100m)</v>
      </c>
    </row>
    <row r="2327" spans="1:11" hidden="1">
      <c r="A2327" s="2969" t="s">
        <v>2111</v>
      </c>
      <c r="B2327" s="2986" t="s">
        <v>2033</v>
      </c>
      <c r="C2327" s="2969" t="s">
        <v>3084</v>
      </c>
      <c r="D2327" s="2968" t="s">
        <v>2436</v>
      </c>
      <c r="E2327" s="2968"/>
      <c r="F2327" s="2968">
        <v>3000</v>
      </c>
      <c r="G2327" s="2968" t="s">
        <v>510</v>
      </c>
      <c r="H2327" s="2968"/>
      <c r="I2327" s="2968"/>
      <c r="J2327" s="2968" t="str">
        <f t="shared" si="73"/>
        <v>VCD2</v>
      </c>
      <c r="K2327" s="2969" t="str">
        <f t="shared" si="72"/>
        <v>VCD2V/c dây vào vị trí (cự ly &lt;=300m)</v>
      </c>
    </row>
    <row r="2328" spans="1:11" hidden="1">
      <c r="A2328" s="2969" t="s">
        <v>314</v>
      </c>
      <c r="B2328" s="2986" t="s">
        <v>315</v>
      </c>
      <c r="C2328" s="2969" t="s">
        <v>3085</v>
      </c>
      <c r="D2328" s="2968" t="s">
        <v>2436</v>
      </c>
      <c r="E2328" s="2968"/>
      <c r="F2328" s="2968">
        <v>3000</v>
      </c>
      <c r="G2328" s="2968" t="s">
        <v>510</v>
      </c>
      <c r="H2328" s="2968"/>
      <c r="I2328" s="2968"/>
      <c r="J2328" s="2968" t="str">
        <f t="shared" si="73"/>
        <v>VCD3</v>
      </c>
      <c r="K2328" s="2969" t="str">
        <f t="shared" si="72"/>
        <v>VCD3V/c dây vào vị trí (cự ly &lt;=500m)</v>
      </c>
    </row>
    <row r="2329" spans="1:11" hidden="1">
      <c r="A2329" s="2969" t="s">
        <v>1537</v>
      </c>
      <c r="B2329" s="2986" t="s">
        <v>1538</v>
      </c>
      <c r="C2329" s="2969" t="s">
        <v>3086</v>
      </c>
      <c r="D2329" s="2968" t="s">
        <v>2436</v>
      </c>
      <c r="E2329" s="2968"/>
      <c r="F2329" s="2968">
        <v>3000</v>
      </c>
      <c r="G2329" s="2968" t="s">
        <v>510</v>
      </c>
      <c r="H2329" s="2968"/>
      <c r="I2329" s="2968"/>
      <c r="J2329" s="2968" t="str">
        <f t="shared" si="73"/>
        <v>VCD4</v>
      </c>
      <c r="K2329" s="2969" t="str">
        <f t="shared" si="72"/>
        <v>VCD4V/c dây vào vị trí (cự ly &gt; 500m)</v>
      </c>
    </row>
    <row r="2330" spans="1:11" ht="15.75" hidden="1">
      <c r="A2330" s="2975" t="s">
        <v>602</v>
      </c>
      <c r="B2330" s="2986" t="s">
        <v>554</v>
      </c>
      <c r="C2330" s="2969" t="s">
        <v>2577</v>
      </c>
      <c r="D2330" s="2968" t="s">
        <v>2436</v>
      </c>
      <c r="E2330" s="2968"/>
      <c r="F2330" s="2968">
        <v>3000</v>
      </c>
      <c r="G2330" s="2968" t="s">
        <v>510</v>
      </c>
      <c r="H2330" s="2968"/>
      <c r="I2330" s="2968"/>
      <c r="J2330" s="2968" t="str">
        <f t="shared" si="73"/>
        <v>DN</v>
      </c>
      <c r="K2330" s="2969" t="str">
        <f t="shared" si="72"/>
        <v>DNV/c đế néo vào vị trí (cự ly &lt;=100m)</v>
      </c>
    </row>
    <row r="2331" spans="1:11" hidden="1">
      <c r="A2331" s="2969" t="s">
        <v>1627</v>
      </c>
      <c r="B2331" s="2986" t="s">
        <v>554</v>
      </c>
      <c r="C2331" s="2969" t="s">
        <v>2577</v>
      </c>
      <c r="D2331" s="2968" t="s">
        <v>2436</v>
      </c>
      <c r="E2331" s="2968"/>
      <c r="F2331" s="2968">
        <v>3000</v>
      </c>
      <c r="G2331" s="2968" t="s">
        <v>510</v>
      </c>
      <c r="H2331" s="2968"/>
      <c r="I2331" s="2968"/>
      <c r="J2331" s="2968" t="str">
        <f t="shared" si="73"/>
        <v>VCDN1</v>
      </c>
      <c r="K2331" s="2969" t="str">
        <f t="shared" si="72"/>
        <v>VCDN1V/c đế néo vào vị trí (cự ly &lt;=100m)</v>
      </c>
    </row>
    <row r="2332" spans="1:11" hidden="1">
      <c r="A2332" s="2969" t="s">
        <v>262</v>
      </c>
      <c r="B2332" s="2986" t="s">
        <v>1816</v>
      </c>
      <c r="C2332" s="2969" t="s">
        <v>3069</v>
      </c>
      <c r="D2332" s="2968" t="s">
        <v>2436</v>
      </c>
      <c r="E2332" s="2968"/>
      <c r="F2332" s="2968">
        <v>3000</v>
      </c>
      <c r="G2332" s="2968" t="s">
        <v>510</v>
      </c>
      <c r="H2332" s="2968"/>
      <c r="I2332" s="2968"/>
      <c r="J2332" s="2968" t="str">
        <f t="shared" si="73"/>
        <v>VCDN2</v>
      </c>
      <c r="K2332" s="2969" t="str">
        <f t="shared" si="72"/>
        <v>VCDN2V/c đế néo vào vị trí (cự ly &lt;=300m)</v>
      </c>
    </row>
    <row r="2333" spans="1:11" hidden="1">
      <c r="A2333" s="2969" t="s">
        <v>1469</v>
      </c>
      <c r="B2333" s="2986" t="s">
        <v>192</v>
      </c>
      <c r="C2333" s="2969" t="s">
        <v>3070</v>
      </c>
      <c r="D2333" s="2968" t="s">
        <v>2436</v>
      </c>
      <c r="E2333" s="2968"/>
      <c r="F2333" s="2968">
        <v>3000</v>
      </c>
      <c r="G2333" s="2968" t="s">
        <v>510</v>
      </c>
      <c r="H2333" s="2968"/>
      <c r="I2333" s="2968"/>
      <c r="J2333" s="2968" t="str">
        <f t="shared" si="73"/>
        <v>VCDN3</v>
      </c>
      <c r="K2333" s="2969" t="str">
        <f t="shared" si="72"/>
        <v>VCDN3V/c đế néo vào vị trí (cự ly &lt;=500m)</v>
      </c>
    </row>
    <row r="2334" spans="1:11" hidden="1">
      <c r="A2334" s="2969" t="s">
        <v>1662</v>
      </c>
      <c r="B2334" s="2986" t="s">
        <v>1091</v>
      </c>
      <c r="C2334" s="2969" t="s">
        <v>3071</v>
      </c>
      <c r="D2334" s="2968" t="s">
        <v>2436</v>
      </c>
      <c r="E2334" s="2968"/>
      <c r="F2334" s="2968">
        <v>3000</v>
      </c>
      <c r="G2334" s="2968" t="s">
        <v>510</v>
      </c>
      <c r="H2334" s="2968"/>
      <c r="I2334" s="2968"/>
      <c r="J2334" s="2968" t="str">
        <f t="shared" si="73"/>
        <v>VCDN4</v>
      </c>
      <c r="K2334" s="2969" t="str">
        <f t="shared" si="72"/>
        <v>VCDN4V/c đế néo vào vị trí (cự ly&gt;500m)</v>
      </c>
    </row>
    <row r="2335" spans="1:11" hidden="1">
      <c r="A2335" s="2969" t="s">
        <v>1976</v>
      </c>
      <c r="B2335" s="2986" t="s">
        <v>1687</v>
      </c>
      <c r="C2335" s="2969" t="s">
        <v>2438</v>
      </c>
      <c r="D2335" s="2968" t="s">
        <v>2436</v>
      </c>
      <c r="E2335" s="2968"/>
      <c r="F2335" s="2968">
        <v>3000</v>
      </c>
      <c r="G2335" s="2968" t="s">
        <v>510</v>
      </c>
      <c r="H2335" s="2968"/>
      <c r="I2335" s="2968"/>
      <c r="J2335" s="2968" t="str">
        <f t="shared" si="73"/>
        <v>VCDC1</v>
      </c>
      <c r="K2335" s="2969" t="str">
        <f t="shared" si="72"/>
        <v>VCDC1V/c dụng cụ thi công ( cự ly &lt;=100m)</v>
      </c>
    </row>
    <row r="2336" spans="1:11" hidden="1">
      <c r="A2336" s="2969" t="s">
        <v>1525</v>
      </c>
      <c r="B2336" s="2986" t="s">
        <v>1526</v>
      </c>
      <c r="C2336" s="2969" t="s">
        <v>3094</v>
      </c>
      <c r="D2336" s="2968" t="s">
        <v>2436</v>
      </c>
      <c r="E2336" s="2968"/>
      <c r="F2336" s="2968">
        <v>3000</v>
      </c>
      <c r="G2336" s="2968" t="s">
        <v>510</v>
      </c>
      <c r="H2336" s="2968"/>
      <c r="I2336" s="2968"/>
      <c r="J2336" s="2968" t="str">
        <f t="shared" si="73"/>
        <v>VCDC2</v>
      </c>
      <c r="K2336" s="2969" t="str">
        <f t="shared" si="72"/>
        <v>VCDC2V/c dụng cụ thi công ( cự ly &lt;=300m)</v>
      </c>
    </row>
    <row r="2337" spans="1:11" hidden="1">
      <c r="A2337" s="2969" t="s">
        <v>1527</v>
      </c>
      <c r="B2337" s="2986" t="s">
        <v>1528</v>
      </c>
      <c r="C2337" s="2969" t="s">
        <v>3095</v>
      </c>
      <c r="D2337" s="2968" t="s">
        <v>2436</v>
      </c>
      <c r="E2337" s="2968"/>
      <c r="F2337" s="2968">
        <v>3000</v>
      </c>
      <c r="G2337" s="2968" t="s">
        <v>510</v>
      </c>
      <c r="H2337" s="2968"/>
      <c r="I2337" s="2968"/>
      <c r="J2337" s="2968" t="str">
        <f t="shared" si="73"/>
        <v>VCDC3</v>
      </c>
      <c r="K2337" s="2969" t="str">
        <f t="shared" si="72"/>
        <v>VCDC3V/c dụng cụ thi công ( cự ly &lt;=500m)</v>
      </c>
    </row>
    <row r="2338" spans="1:11" hidden="1">
      <c r="A2338" s="2969" t="s">
        <v>986</v>
      </c>
      <c r="B2338" s="2986" t="s">
        <v>1806</v>
      </c>
      <c r="C2338" s="2969" t="s">
        <v>3096</v>
      </c>
      <c r="D2338" s="2968" t="s">
        <v>2436</v>
      </c>
      <c r="E2338" s="2968"/>
      <c r="F2338" s="2968">
        <v>3000</v>
      </c>
      <c r="G2338" s="2968" t="s">
        <v>510</v>
      </c>
      <c r="H2338" s="2968"/>
      <c r="I2338" s="2968"/>
      <c r="J2338" s="2968" t="str">
        <f t="shared" si="73"/>
        <v>VCDC4</v>
      </c>
      <c r="K2338" s="2969" t="str">
        <f t="shared" si="72"/>
        <v>VCDC4V/c dụng cụ thi công ( cự ly &gt; 500m)</v>
      </c>
    </row>
    <row r="2339" spans="1:11" ht="15.75" hidden="1">
      <c r="A2339" s="2975" t="s">
        <v>603</v>
      </c>
      <c r="B2339" s="2986" t="s">
        <v>1687</v>
      </c>
      <c r="C2339" s="2969" t="s">
        <v>4272</v>
      </c>
      <c r="D2339" s="2968" t="s">
        <v>2436</v>
      </c>
      <c r="E2339" s="2968"/>
      <c r="F2339" s="2968">
        <v>3000</v>
      </c>
      <c r="G2339" s="2968" t="s">
        <v>510</v>
      </c>
      <c r="H2339" s="2968"/>
      <c r="I2339" s="2968"/>
      <c r="J2339" s="2968" t="str">
        <f t="shared" si="73"/>
        <v>DCTC</v>
      </c>
      <c r="K2339" s="2969" t="str">
        <f t="shared" si="72"/>
        <v>DCTCV/c dụng cụ thi công vào vị trí (cự ly &lt;=100m)</v>
      </c>
    </row>
    <row r="2340" spans="1:11" ht="15.75" hidden="1">
      <c r="A2340" s="2975" t="s">
        <v>4347</v>
      </c>
      <c r="B2340" s="2986" t="s">
        <v>1129</v>
      </c>
      <c r="C2340" s="2969" t="s">
        <v>2578</v>
      </c>
      <c r="D2340" s="2968" t="s">
        <v>2436</v>
      </c>
      <c r="E2340" s="2968"/>
      <c r="F2340" s="2968">
        <v>3000</v>
      </c>
      <c r="G2340" s="2968" t="s">
        <v>510</v>
      </c>
      <c r="H2340" s="2968"/>
      <c r="I2340" s="2968"/>
      <c r="J2340" s="2968" t="str">
        <f t="shared" si="73"/>
        <v>vcNX</v>
      </c>
      <c r="K2340" s="2969" t="str">
        <f t="shared" si="72"/>
        <v>vcNXV/c neo xòe vào vị trí (cự ly &lt;=100m)</v>
      </c>
    </row>
    <row r="2341" spans="1:11" hidden="1">
      <c r="A2341" s="2969" t="s">
        <v>1703</v>
      </c>
      <c r="B2341" s="2986" t="s">
        <v>1129</v>
      </c>
      <c r="C2341" s="2969" t="s">
        <v>2578</v>
      </c>
      <c r="D2341" s="2968" t="s">
        <v>2436</v>
      </c>
      <c r="E2341" s="2968"/>
      <c r="F2341" s="2968">
        <v>3000</v>
      </c>
      <c r="G2341" s="2968" t="s">
        <v>510</v>
      </c>
      <c r="H2341" s="2968"/>
      <c r="I2341" s="2968"/>
      <c r="J2341" s="2968" t="str">
        <f t="shared" si="73"/>
        <v>VCNX1</v>
      </c>
      <c r="K2341" s="2969" t="str">
        <f t="shared" si="72"/>
        <v>VCNX1V/c neo xòe vào vị trí (cự ly &lt;=100m)</v>
      </c>
    </row>
    <row r="2342" spans="1:11" hidden="1">
      <c r="A2342" s="2969" t="s">
        <v>1121</v>
      </c>
      <c r="B2342" s="2986" t="s">
        <v>27</v>
      </c>
      <c r="C2342" s="2969" t="s">
        <v>3072</v>
      </c>
      <c r="D2342" s="2968" t="s">
        <v>2436</v>
      </c>
      <c r="E2342" s="2968"/>
      <c r="F2342" s="2968">
        <v>3000</v>
      </c>
      <c r="G2342" s="2968" t="s">
        <v>510</v>
      </c>
      <c r="H2342" s="2968"/>
      <c r="I2342" s="2968"/>
      <c r="J2342" s="2968" t="str">
        <f t="shared" si="73"/>
        <v>VCNX2</v>
      </c>
      <c r="K2342" s="2969" t="str">
        <f t="shared" si="72"/>
        <v>VCNX2V/c neo xòe vào vị trí (cự ly &lt;=300m)</v>
      </c>
    </row>
    <row r="2343" spans="1:11" hidden="1">
      <c r="A2343" s="2969" t="s">
        <v>1122</v>
      </c>
      <c r="B2343" s="2986" t="s">
        <v>1668</v>
      </c>
      <c r="C2343" s="2969" t="s">
        <v>3073</v>
      </c>
      <c r="D2343" s="2968" t="s">
        <v>2436</v>
      </c>
      <c r="E2343" s="2968"/>
      <c r="F2343" s="2968">
        <v>3000</v>
      </c>
      <c r="G2343" s="2968" t="s">
        <v>510</v>
      </c>
      <c r="H2343" s="2968"/>
      <c r="I2343" s="2968"/>
      <c r="J2343" s="2968" t="str">
        <f t="shared" si="73"/>
        <v>VCNX3</v>
      </c>
      <c r="K2343" s="2969" t="str">
        <f t="shared" si="72"/>
        <v>VCNX3V/c neo xòe vào vị trí (cự ly &lt;=500m)</v>
      </c>
    </row>
    <row r="2344" spans="1:11" hidden="1">
      <c r="A2344" s="2969" t="s">
        <v>1123</v>
      </c>
      <c r="B2344" s="2986" t="s">
        <v>141</v>
      </c>
      <c r="C2344" s="2969" t="s">
        <v>3074</v>
      </c>
      <c r="D2344" s="2968" t="s">
        <v>2436</v>
      </c>
      <c r="E2344" s="2968"/>
      <c r="F2344" s="2968">
        <v>3000</v>
      </c>
      <c r="G2344" s="2968" t="s">
        <v>510</v>
      </c>
      <c r="H2344" s="2968"/>
      <c r="I2344" s="2968"/>
      <c r="J2344" s="2968" t="str">
        <f t="shared" si="73"/>
        <v>VCNX4</v>
      </c>
      <c r="K2344" s="2969" t="str">
        <f t="shared" si="72"/>
        <v>VCNX4V/c neo xòe vào vị trí (cự ly&gt;500m)</v>
      </c>
    </row>
    <row r="2345" spans="1:11" hidden="1">
      <c r="A2345" s="2969" t="s">
        <v>1128</v>
      </c>
      <c r="B2345" s="2986" t="s">
        <v>1129</v>
      </c>
      <c r="C2345" s="2969" t="s">
        <v>2580</v>
      </c>
      <c r="D2345" s="2968" t="s">
        <v>2436</v>
      </c>
      <c r="E2345" s="2968"/>
      <c r="F2345" s="2968">
        <v>3000</v>
      </c>
      <c r="G2345" s="2968" t="s">
        <v>510</v>
      </c>
      <c r="H2345" s="2968"/>
      <c r="I2345" s="2968"/>
      <c r="J2345" s="2968" t="str">
        <f t="shared" si="73"/>
        <v>VCPK1</v>
      </c>
      <c r="K2345" s="2969" t="str">
        <f t="shared" si="72"/>
        <v>VCPK1V/c phụ kiện vào vị trí ( cự ly &lt;=100m)</v>
      </c>
    </row>
    <row r="2346" spans="1:11" hidden="1">
      <c r="A2346" s="2969" t="s">
        <v>1130</v>
      </c>
      <c r="B2346" s="2986" t="s">
        <v>27</v>
      </c>
      <c r="C2346" s="2969" t="s">
        <v>3078</v>
      </c>
      <c r="D2346" s="2968" t="s">
        <v>2436</v>
      </c>
      <c r="E2346" s="2968"/>
      <c r="F2346" s="2968">
        <v>3000</v>
      </c>
      <c r="G2346" s="2968" t="s">
        <v>510</v>
      </c>
      <c r="H2346" s="2968"/>
      <c r="I2346" s="2968"/>
      <c r="J2346" s="2968" t="str">
        <f t="shared" si="73"/>
        <v>VCPK2</v>
      </c>
      <c r="K2346" s="2969" t="str">
        <f t="shared" si="72"/>
        <v>VCPK2V/c phụ kiện vào vị trí ( cự ly &lt;=300m)</v>
      </c>
    </row>
    <row r="2347" spans="1:11" hidden="1">
      <c r="A2347" s="2969" t="s">
        <v>1667</v>
      </c>
      <c r="B2347" s="2986" t="s">
        <v>1668</v>
      </c>
      <c r="C2347" s="2969" t="s">
        <v>3079</v>
      </c>
      <c r="D2347" s="2968" t="s">
        <v>2436</v>
      </c>
      <c r="E2347" s="2968"/>
      <c r="F2347" s="2968">
        <v>3000</v>
      </c>
      <c r="G2347" s="2968" t="s">
        <v>510</v>
      </c>
      <c r="H2347" s="2968"/>
      <c r="I2347" s="2968"/>
      <c r="J2347" s="2968" t="str">
        <f t="shared" si="73"/>
        <v>VCPK3</v>
      </c>
      <c r="K2347" s="2969" t="str">
        <f t="shared" si="72"/>
        <v>VCPK3V/c phụ kiện vào vị trí ( cự ly &lt;=500m)</v>
      </c>
    </row>
    <row r="2348" spans="1:11" hidden="1">
      <c r="A2348" s="2969" t="s">
        <v>1400</v>
      </c>
      <c r="B2348" s="2986" t="s">
        <v>141</v>
      </c>
      <c r="C2348" s="2969" t="s">
        <v>3080</v>
      </c>
      <c r="D2348" s="2968" t="s">
        <v>2436</v>
      </c>
      <c r="E2348" s="2968"/>
      <c r="F2348" s="2968">
        <v>3000</v>
      </c>
      <c r="G2348" s="2968" t="s">
        <v>510</v>
      </c>
      <c r="H2348" s="2968"/>
      <c r="I2348" s="2968"/>
      <c r="J2348" s="2968" t="str">
        <f t="shared" si="73"/>
        <v>VCPK4</v>
      </c>
      <c r="K2348" s="2969" t="str">
        <f t="shared" si="72"/>
        <v>VCPK4V/c phụ kiện vào vị trí ( cự ly &gt;500m)</v>
      </c>
    </row>
    <row r="2349" spans="1:11" ht="15.75" hidden="1">
      <c r="A2349" s="2975" t="s">
        <v>355</v>
      </c>
      <c r="B2349" s="2986" t="s">
        <v>1129</v>
      </c>
      <c r="C2349" s="2969" t="s">
        <v>4271</v>
      </c>
      <c r="D2349" s="2968" t="s">
        <v>2436</v>
      </c>
      <c r="E2349" s="2968"/>
      <c r="F2349" s="2968">
        <v>3000</v>
      </c>
      <c r="G2349" s="2968" t="s">
        <v>510</v>
      </c>
      <c r="H2349" s="2968"/>
      <c r="I2349" s="2968"/>
      <c r="J2349" s="2968" t="str">
        <f t="shared" si="73"/>
        <v>PK</v>
      </c>
      <c r="K2349" s="2969" t="str">
        <f t="shared" si="72"/>
        <v>PKV/c phụ kiện vào vị trí (cự ly &lt;=100m)</v>
      </c>
    </row>
    <row r="2350" spans="1:11" hidden="1">
      <c r="A2350" s="2969" t="s">
        <v>1899</v>
      </c>
      <c r="B2350" s="2986" t="s">
        <v>75</v>
      </c>
      <c r="C2350" s="2969" t="s">
        <v>3087</v>
      </c>
      <c r="D2350" s="2968" t="s">
        <v>2436</v>
      </c>
      <c r="E2350" s="2968"/>
      <c r="F2350" s="2968">
        <v>3000</v>
      </c>
      <c r="G2350" s="2968" t="s">
        <v>510</v>
      </c>
      <c r="H2350" s="2968"/>
      <c r="I2350" s="2968"/>
      <c r="J2350" s="2968" t="str">
        <f t="shared" si="73"/>
        <v>VCS1</v>
      </c>
      <c r="K2350" s="2969" t="str">
        <f t="shared" si="72"/>
        <v>VCS1V/c sứ và phụ kiện vào vị trí (cự ly &lt;=100m)</v>
      </c>
    </row>
    <row r="2351" spans="1:11" hidden="1">
      <c r="A2351" s="2969" t="s">
        <v>76</v>
      </c>
      <c r="B2351" s="2986" t="s">
        <v>77</v>
      </c>
      <c r="C2351" s="2969" t="s">
        <v>3088</v>
      </c>
      <c r="D2351" s="2968" t="s">
        <v>2436</v>
      </c>
      <c r="E2351" s="2968"/>
      <c r="F2351" s="2968">
        <v>3000</v>
      </c>
      <c r="G2351" s="2968" t="s">
        <v>510</v>
      </c>
      <c r="H2351" s="2968"/>
      <c r="I2351" s="2968"/>
      <c r="J2351" s="2968" t="str">
        <f t="shared" si="73"/>
        <v>VCS2</v>
      </c>
      <c r="K2351" s="2969" t="str">
        <f t="shared" si="72"/>
        <v>VCS2V/c sứ và phụ kiện vào vị trí (cự ly &lt;=300m)</v>
      </c>
    </row>
    <row r="2352" spans="1:11" hidden="1">
      <c r="A2352" s="2969" t="s">
        <v>2070</v>
      </c>
      <c r="B2352" s="2986" t="s">
        <v>2071</v>
      </c>
      <c r="C2352" s="2969" t="s">
        <v>3089</v>
      </c>
      <c r="D2352" s="2968" t="s">
        <v>2436</v>
      </c>
      <c r="E2352" s="2968"/>
      <c r="F2352" s="2968">
        <v>3000</v>
      </c>
      <c r="G2352" s="2968" t="s">
        <v>510</v>
      </c>
      <c r="H2352" s="2968"/>
      <c r="I2352" s="2968"/>
      <c r="J2352" s="2968" t="str">
        <f t="shared" si="73"/>
        <v>VCS3</v>
      </c>
      <c r="K2352" s="2969" t="str">
        <f t="shared" si="72"/>
        <v>VCS3V/c sứ và phụ kiện vào vị trí (cự ly &lt;=500m)</v>
      </c>
    </row>
    <row r="2353" spans="1:11" hidden="1">
      <c r="A2353" s="2969" t="s">
        <v>940</v>
      </c>
      <c r="B2353" s="2986" t="s">
        <v>1601</v>
      </c>
      <c r="C2353" s="2969" t="s">
        <v>3090</v>
      </c>
      <c r="D2353" s="2968" t="s">
        <v>2436</v>
      </c>
      <c r="E2353" s="2968"/>
      <c r="F2353" s="2968">
        <v>3000</v>
      </c>
      <c r="G2353" s="2968" t="s">
        <v>510</v>
      </c>
      <c r="H2353" s="2968"/>
      <c r="I2353" s="2968"/>
      <c r="J2353" s="2968" t="str">
        <f t="shared" si="73"/>
        <v>VCS4</v>
      </c>
      <c r="K2353" s="2969" t="str">
        <f t="shared" si="72"/>
        <v>VCS4V/c sứ và phụ kiện vào vị trí (cự ly &gt; 500m)</v>
      </c>
    </row>
    <row r="2354" spans="1:11" ht="15.75" hidden="1">
      <c r="A2354" s="2975" t="s">
        <v>1898</v>
      </c>
      <c r="B2354" s="2986" t="s">
        <v>1205</v>
      </c>
      <c r="C2354" s="2969" t="s">
        <v>2576</v>
      </c>
      <c r="D2354" s="2968" t="s">
        <v>2436</v>
      </c>
      <c r="E2354" s="2968"/>
      <c r="F2354" s="2968">
        <v>3000</v>
      </c>
      <c r="G2354" s="2968" t="s">
        <v>510</v>
      </c>
      <c r="H2354" s="2968"/>
      <c r="I2354" s="2968"/>
      <c r="J2354" s="2968" t="str">
        <f t="shared" si="73"/>
        <v>TD</v>
      </c>
      <c r="K2354" s="2969" t="str">
        <f t="shared" si="72"/>
        <v>TDV/c tiếp địa vào vị trí ( cự ly &lt;=100m)</v>
      </c>
    </row>
    <row r="2355" spans="1:11" hidden="1">
      <c r="A2355" s="2969" t="s">
        <v>1824</v>
      </c>
      <c r="B2355" s="2986" t="s">
        <v>1205</v>
      </c>
      <c r="C2355" s="2969" t="s">
        <v>2576</v>
      </c>
      <c r="D2355" s="2968" t="s">
        <v>2436</v>
      </c>
      <c r="E2355" s="2968"/>
      <c r="F2355" s="2968">
        <v>3000</v>
      </c>
      <c r="G2355" s="2968" t="s">
        <v>510</v>
      </c>
      <c r="H2355" s="2968"/>
      <c r="I2355" s="2968"/>
      <c r="J2355" s="2968" t="str">
        <f t="shared" si="73"/>
        <v>VCTD1</v>
      </c>
      <c r="K2355" s="2969" t="str">
        <f t="shared" si="72"/>
        <v>VCTD1V/c tiếp địa vào vị trí ( cự ly &lt;=100m)</v>
      </c>
    </row>
    <row r="2356" spans="1:11" hidden="1">
      <c r="A2356" s="2969" t="s">
        <v>117</v>
      </c>
      <c r="B2356" s="2986" t="s">
        <v>1534</v>
      </c>
      <c r="C2356" s="2969" t="s">
        <v>3081</v>
      </c>
      <c r="D2356" s="2968" t="s">
        <v>2436</v>
      </c>
      <c r="E2356" s="2968"/>
      <c r="F2356" s="2968">
        <v>3000</v>
      </c>
      <c r="G2356" s="2968" t="s">
        <v>510</v>
      </c>
      <c r="H2356" s="2968"/>
      <c r="I2356" s="2968"/>
      <c r="J2356" s="2968" t="str">
        <f t="shared" si="73"/>
        <v>VCTD2</v>
      </c>
      <c r="K2356" s="2969" t="str">
        <f t="shared" si="72"/>
        <v>VCTD2V/c tiếp địa vào vị trí ( cự ly &lt;=300m)</v>
      </c>
    </row>
    <row r="2357" spans="1:11" hidden="1">
      <c r="A2357" s="2969" t="s">
        <v>960</v>
      </c>
      <c r="B2357" s="2986" t="s">
        <v>1540</v>
      </c>
      <c r="C2357" s="2969" t="s">
        <v>3082</v>
      </c>
      <c r="D2357" s="2968" t="s">
        <v>2436</v>
      </c>
      <c r="E2357" s="2968"/>
      <c r="F2357" s="2968">
        <v>3000</v>
      </c>
      <c r="G2357" s="2968" t="s">
        <v>510</v>
      </c>
      <c r="H2357" s="2968"/>
      <c r="I2357" s="2968"/>
      <c r="J2357" s="2968" t="str">
        <f t="shared" si="73"/>
        <v>VCTD3</v>
      </c>
      <c r="K2357" s="2969" t="str">
        <f t="shared" si="72"/>
        <v>VCTD3V/c tiếp địa vào vị trí ( cự ly &lt;=500m)</v>
      </c>
    </row>
    <row r="2358" spans="1:11" hidden="1">
      <c r="A2358" s="2969" t="s">
        <v>1949</v>
      </c>
      <c r="B2358" s="2986" t="s">
        <v>1542</v>
      </c>
      <c r="C2358" s="2969" t="s">
        <v>3083</v>
      </c>
      <c r="D2358" s="2968" t="s">
        <v>2436</v>
      </c>
      <c r="E2358" s="2968"/>
      <c r="F2358" s="2968">
        <v>3000</v>
      </c>
      <c r="G2358" s="2968" t="s">
        <v>510</v>
      </c>
      <c r="H2358" s="2968"/>
      <c r="I2358" s="2968"/>
      <c r="J2358" s="2968" t="str">
        <f t="shared" si="73"/>
        <v>VCTD4</v>
      </c>
      <c r="K2358" s="2969" t="str">
        <f t="shared" si="72"/>
        <v>VCTD4V/c tiếp địa vào vị trí ( cự ly &gt;500m)</v>
      </c>
    </row>
    <row r="2359" spans="1:11" hidden="1">
      <c r="A2359" s="2969" t="s">
        <v>1602</v>
      </c>
      <c r="B2359" s="2986" t="s">
        <v>1603</v>
      </c>
      <c r="C2359" s="2969" t="s">
        <v>2437</v>
      </c>
      <c r="D2359" s="2968" t="s">
        <v>2436</v>
      </c>
      <c r="E2359" s="2968"/>
      <c r="F2359" s="2968">
        <v>3000</v>
      </c>
      <c r="G2359" s="2968" t="s">
        <v>510</v>
      </c>
      <c r="H2359" s="2968"/>
      <c r="I2359" s="2968"/>
      <c r="J2359" s="2968" t="str">
        <f t="shared" si="73"/>
        <v>VCX1</v>
      </c>
      <c r="K2359" s="2969" t="str">
        <f t="shared" si="72"/>
        <v>VCX1V/c xà vào vị trí (cư ly &lt;=100m)</v>
      </c>
    </row>
    <row r="2360" spans="1:11" ht="15.75" hidden="1">
      <c r="A2360" s="2975" t="s">
        <v>1992</v>
      </c>
      <c r="B2360" s="2986" t="s">
        <v>1603</v>
      </c>
      <c r="C2360" s="2969" t="s">
        <v>2437</v>
      </c>
      <c r="D2360" s="2968" t="s">
        <v>2436</v>
      </c>
      <c r="E2360" s="2968"/>
      <c r="F2360" s="2968">
        <v>3000</v>
      </c>
      <c r="G2360" s="2968" t="s">
        <v>510</v>
      </c>
      <c r="H2360" s="2968"/>
      <c r="I2360" s="2968"/>
      <c r="J2360" s="2968" t="str">
        <f t="shared" si="73"/>
        <v>XA</v>
      </c>
      <c r="K2360" s="2969" t="str">
        <f t="shared" si="72"/>
        <v>XAV/c xà vào vị trí (cư ly &lt;=100m)</v>
      </c>
    </row>
    <row r="2361" spans="1:11" hidden="1">
      <c r="A2361" s="2969" t="s">
        <v>1604</v>
      </c>
      <c r="B2361" s="2986" t="s">
        <v>2236</v>
      </c>
      <c r="C2361" s="2969" t="s">
        <v>3091</v>
      </c>
      <c r="D2361" s="2968" t="s">
        <v>2436</v>
      </c>
      <c r="E2361" s="2968"/>
      <c r="F2361" s="2968">
        <v>3000</v>
      </c>
      <c r="G2361" s="2968" t="s">
        <v>510</v>
      </c>
      <c r="H2361" s="2968"/>
      <c r="I2361" s="2968"/>
      <c r="J2361" s="2968" t="str">
        <f t="shared" si="73"/>
        <v>VCX2</v>
      </c>
      <c r="K2361" s="2969" t="str">
        <f t="shared" si="72"/>
        <v>VCX2V/c xà vào vị trí (cư ly &lt;=300m)</v>
      </c>
    </row>
    <row r="2362" spans="1:11" hidden="1">
      <c r="A2362" s="2969" t="s">
        <v>1386</v>
      </c>
      <c r="B2362" s="2986" t="s">
        <v>1987</v>
      </c>
      <c r="C2362" s="2969" t="s">
        <v>3092</v>
      </c>
      <c r="D2362" s="2968" t="s">
        <v>2436</v>
      </c>
      <c r="E2362" s="2968"/>
      <c r="F2362" s="2968">
        <v>3000</v>
      </c>
      <c r="G2362" s="2968" t="s">
        <v>510</v>
      </c>
      <c r="H2362" s="2968"/>
      <c r="I2362" s="2968"/>
      <c r="J2362" s="2968" t="str">
        <f t="shared" si="73"/>
        <v>VCX3</v>
      </c>
      <c r="K2362" s="2969" t="str">
        <f t="shared" si="72"/>
        <v>VCX3V/c xà vào vị trí (cư ly &lt;=500m)</v>
      </c>
    </row>
    <row r="2363" spans="1:11" hidden="1">
      <c r="A2363" s="2969" t="s">
        <v>1988</v>
      </c>
      <c r="B2363" s="2986" t="s">
        <v>1989</v>
      </c>
      <c r="C2363" s="2969" t="s">
        <v>3093</v>
      </c>
      <c r="D2363" s="2968" t="s">
        <v>2436</v>
      </c>
      <c r="E2363" s="2968"/>
      <c r="F2363" s="2968">
        <v>3000</v>
      </c>
      <c r="G2363" s="2968" t="s">
        <v>510</v>
      </c>
      <c r="H2363" s="2968"/>
      <c r="I2363" s="2968"/>
      <c r="J2363" s="2968" t="str">
        <f t="shared" si="73"/>
        <v>VCX4</v>
      </c>
      <c r="K2363" s="2969" t="str">
        <f t="shared" si="72"/>
        <v>VCX4V/c xà vào vị trí (cư ly &gt;500m)</v>
      </c>
    </row>
    <row r="2364" spans="1:11" hidden="1">
      <c r="A2364" s="2969" t="s">
        <v>493</v>
      </c>
      <c r="B2364" s="2986" t="s">
        <v>494</v>
      </c>
      <c r="C2364" s="2969" t="s">
        <v>2572</v>
      </c>
      <c r="D2364" s="2968" t="s">
        <v>2436</v>
      </c>
      <c r="E2364" s="2968"/>
      <c r="F2364" s="2968">
        <v>3000</v>
      </c>
      <c r="G2364" s="2968" t="s">
        <v>510</v>
      </c>
      <c r="H2364" s="2968"/>
      <c r="I2364" s="2968"/>
      <c r="J2364" s="2968" t="str">
        <f t="shared" si="73"/>
        <v>VCXM1</v>
      </c>
      <c r="K2364" s="2969" t="str">
        <f t="shared" si="72"/>
        <v>VCXM1V/c xi măng ( cự ly &lt;=100m)</v>
      </c>
    </row>
    <row r="2365" spans="1:11" ht="15.75" hidden="1">
      <c r="A2365" s="2975" t="s">
        <v>18</v>
      </c>
      <c r="B2365" s="2986" t="s">
        <v>494</v>
      </c>
      <c r="C2365" s="2969" t="s">
        <v>2572</v>
      </c>
      <c r="D2365" s="2968" t="s">
        <v>2436</v>
      </c>
      <c r="E2365" s="2968"/>
      <c r="F2365" s="2968">
        <v>3000</v>
      </c>
      <c r="G2365" s="2968" t="s">
        <v>510</v>
      </c>
      <c r="H2365" s="2968"/>
      <c r="I2365" s="2968"/>
      <c r="J2365" s="2968" t="str">
        <f t="shared" si="73"/>
        <v>XIMANG</v>
      </c>
      <c r="K2365" s="2969" t="str">
        <f t="shared" si="72"/>
        <v>XIMANGV/c xi măng ( cự ly &lt;=100m)</v>
      </c>
    </row>
    <row r="2366" spans="1:11" hidden="1">
      <c r="A2366" s="2969" t="s">
        <v>1279</v>
      </c>
      <c r="B2366" s="2986" t="s">
        <v>1280</v>
      </c>
      <c r="C2366" s="2969" t="s">
        <v>3104</v>
      </c>
      <c r="D2366" s="2968" t="s">
        <v>2436</v>
      </c>
      <c r="E2366" s="2968"/>
      <c r="F2366" s="2968">
        <v>3000</v>
      </c>
      <c r="G2366" s="2968" t="s">
        <v>510</v>
      </c>
      <c r="H2366" s="2968"/>
      <c r="I2366" s="2968"/>
      <c r="J2366" s="2968" t="str">
        <f t="shared" si="73"/>
        <v>VCXM2</v>
      </c>
      <c r="K2366" s="2969" t="str">
        <f t="shared" si="72"/>
        <v>VCXM2V/c xi măng ( cự ly &lt;=300m)</v>
      </c>
    </row>
    <row r="2367" spans="1:11" hidden="1">
      <c r="A2367" s="2969" t="s">
        <v>1281</v>
      </c>
      <c r="B2367" s="2986" t="s">
        <v>1282</v>
      </c>
      <c r="C2367" s="2969" t="s">
        <v>3105</v>
      </c>
      <c r="D2367" s="2968" t="s">
        <v>2436</v>
      </c>
      <c r="E2367" s="2968"/>
      <c r="F2367" s="2968">
        <v>3000</v>
      </c>
      <c r="G2367" s="2968" t="s">
        <v>510</v>
      </c>
      <c r="H2367" s="2968"/>
      <c r="I2367" s="2968"/>
      <c r="J2367" s="2968" t="str">
        <f t="shared" si="73"/>
        <v>VCXM3</v>
      </c>
      <c r="K2367" s="2969" t="str">
        <f t="shared" si="72"/>
        <v>VCXM3V/c xi măng ( cự ly &lt;=500m)</v>
      </c>
    </row>
    <row r="2368" spans="1:11" hidden="1">
      <c r="A2368" s="2969" t="s">
        <v>1283</v>
      </c>
      <c r="B2368" s="2986" t="s">
        <v>1284</v>
      </c>
      <c r="C2368" s="2969" t="s">
        <v>3106</v>
      </c>
      <c r="D2368" s="2968" t="s">
        <v>2436</v>
      </c>
      <c r="E2368" s="2968"/>
      <c r="F2368" s="2968">
        <v>3000</v>
      </c>
      <c r="G2368" s="2968" t="s">
        <v>510</v>
      </c>
      <c r="H2368" s="2968"/>
      <c r="I2368" s="2968"/>
      <c r="J2368" s="2968" t="str">
        <f t="shared" si="73"/>
        <v>VCXM4</v>
      </c>
      <c r="K2368" s="2969" t="str">
        <f t="shared" si="72"/>
        <v>VCXM4V/c xi măng ( cự ly &gt;500m)</v>
      </c>
    </row>
    <row r="2369" spans="1:11" hidden="1">
      <c r="A2369" s="2969" t="s">
        <v>1637</v>
      </c>
      <c r="B2369" s="3016" t="s">
        <v>1144</v>
      </c>
      <c r="C2369" s="3012" t="s">
        <v>3575</v>
      </c>
      <c r="D2369" s="2968" t="s">
        <v>3570</v>
      </c>
      <c r="E2369" s="2968"/>
      <c r="F2369" s="2968">
        <v>3000</v>
      </c>
      <c r="G2369" s="2968" t="s">
        <v>510</v>
      </c>
      <c r="H2369" s="2968"/>
      <c r="I2369" s="2968"/>
      <c r="J2369" s="2968" t="str">
        <f t="shared" si="73"/>
        <v>VCT</v>
      </c>
      <c r="K2369" s="2969" t="str">
        <f t="shared" si="72"/>
        <v>VCTVận Chuyển thép</v>
      </c>
    </row>
    <row r="2370" spans="1:11" hidden="1">
      <c r="A2370" s="2969" t="s">
        <v>4570</v>
      </c>
      <c r="B2370" s="3004"/>
      <c r="C2370" s="2969" t="s">
        <v>4571</v>
      </c>
      <c r="D2370" s="2968" t="s">
        <v>4572</v>
      </c>
      <c r="E2370" s="2968"/>
      <c r="F2370" s="2968">
        <v>3000</v>
      </c>
      <c r="G2370" s="2968" t="s">
        <v>510</v>
      </c>
      <c r="H2370" s="2968"/>
      <c r="I2370" s="2968"/>
      <c r="J2370" s="2968" t="str">
        <f t="shared" si="73"/>
        <v>LVANK</v>
      </c>
      <c r="K2370" s="2969" t="str">
        <f t="shared" si="72"/>
        <v>LVANKVán khuôn gỗ móng - móng vuông, chữ nhật</v>
      </c>
    </row>
    <row r="2371" spans="1:11" hidden="1">
      <c r="A2371" s="2969" t="s">
        <v>5068</v>
      </c>
      <c r="B2371" s="3004"/>
      <c r="C2371" s="2969" t="s">
        <v>2822</v>
      </c>
      <c r="D2371" s="2968" t="s">
        <v>2823</v>
      </c>
      <c r="E2371" s="2968"/>
      <c r="F2371" s="2968">
        <v>2000</v>
      </c>
      <c r="G2371" s="2968" t="s">
        <v>1951</v>
      </c>
      <c r="H2371" s="2968"/>
      <c r="I2371" s="2968"/>
      <c r="J2371" s="2968" t="str">
        <f t="shared" si="73"/>
        <v>G20</v>
      </c>
      <c r="K2371" s="2969" t="str">
        <f t="shared" ref="K2371:K2397" si="74">A2371&amp;C2371</f>
        <v>G20Vật liệu dựng trụ</v>
      </c>
    </row>
    <row r="2372" spans="1:11" hidden="1">
      <c r="A2372" s="2969" t="s">
        <v>1809</v>
      </c>
      <c r="B2372" s="3004"/>
      <c r="C2372" s="2969" t="s">
        <v>2822</v>
      </c>
      <c r="D2372" s="2968" t="s">
        <v>2823</v>
      </c>
      <c r="E2372" s="2968"/>
      <c r="F2372" s="2968">
        <v>3000</v>
      </c>
      <c r="G2372" s="2968" t="s">
        <v>510</v>
      </c>
      <c r="H2372" s="2968"/>
      <c r="I2372" s="2968"/>
      <c r="J2372" s="2968" t="str">
        <f t="shared" ref="J2372:J2397" si="75">A2372</f>
        <v>G</v>
      </c>
      <c r="K2372" s="2969" t="str">
        <f t="shared" si="74"/>
        <v>GVật liệu dựng trụ</v>
      </c>
    </row>
    <row r="2373" spans="1:11" hidden="1">
      <c r="A2373" s="2969" t="s">
        <v>1022</v>
      </c>
      <c r="B2373" s="2986" t="s">
        <v>1021</v>
      </c>
      <c r="C2373" s="2969" t="s">
        <v>3380</v>
      </c>
      <c r="D2373" s="2968" t="s">
        <v>2547</v>
      </c>
      <c r="E2373" s="2968"/>
      <c r="F2373" s="2968">
        <v>50</v>
      </c>
      <c r="G2373" s="2968" t="s">
        <v>355</v>
      </c>
      <c r="H2373" s="2968"/>
      <c r="I2373" s="2968"/>
      <c r="J2373" s="2968" t="str">
        <f t="shared" si="75"/>
        <v>TUAP3</v>
      </c>
      <c r="K2373" s="2969" t="str">
        <f t="shared" si="74"/>
        <v>TUAP3Vỏ tủ + khóa tủ</v>
      </c>
    </row>
    <row r="2374" spans="1:11" hidden="1">
      <c r="A2374" s="2969" t="s">
        <v>5575</v>
      </c>
      <c r="B2374" s="3004" t="s">
        <v>5548</v>
      </c>
      <c r="C2374" s="2969" t="s">
        <v>5576</v>
      </c>
      <c r="D2374" s="2968" t="s">
        <v>2547</v>
      </c>
      <c r="E2374" s="2968"/>
      <c r="F2374" s="2968">
        <v>50</v>
      </c>
      <c r="G2374" s="2968" t="s">
        <v>355</v>
      </c>
      <c r="H2374" s="2968"/>
      <c r="I2374" s="2968"/>
      <c r="J2374" s="2968" t="str">
        <f t="shared" si="75"/>
        <v>VOTUDODEM</v>
      </c>
      <c r="K2374" s="2969" t="str">
        <f t="shared" si="74"/>
        <v>VOTUDODEMVỏ tủ đo đếm trung thế sơn tỉnh điện</v>
      </c>
    </row>
    <row r="2375" spans="1:11" hidden="1">
      <c r="A2375" s="2969" t="s">
        <v>1500</v>
      </c>
      <c r="B2375" s="2986" t="s">
        <v>1751</v>
      </c>
      <c r="C2375" s="2969" t="s">
        <v>3381</v>
      </c>
      <c r="D2375" s="2968" t="s">
        <v>2547</v>
      </c>
      <c r="E2375" s="2968"/>
      <c r="F2375" s="2968">
        <v>50</v>
      </c>
      <c r="G2375" s="2968" t="s">
        <v>355</v>
      </c>
      <c r="H2375" s="2968"/>
      <c r="I2375" s="2968"/>
      <c r="J2375" s="2968" t="str">
        <f t="shared" si="75"/>
        <v>TUAP3L</v>
      </c>
      <c r="K2375" s="2969" t="str">
        <f t="shared" si="74"/>
        <v>TUAP3LVỏ tủ trạm giàn 2 ngăn + khóa tủ</v>
      </c>
    </row>
    <row r="2376" spans="1:11" hidden="1">
      <c r="A2376" s="2969" t="s">
        <v>199</v>
      </c>
      <c r="B2376" s="2968"/>
      <c r="C2376" s="3012" t="s">
        <v>3581</v>
      </c>
      <c r="D2376" s="2968" t="s">
        <v>2379</v>
      </c>
      <c r="E2376" s="2968"/>
      <c r="F2376" s="2968">
        <v>50</v>
      </c>
      <c r="G2376" s="2968" t="s">
        <v>510</v>
      </c>
      <c r="H2376" s="2968"/>
      <c r="I2376" s="2968"/>
      <c r="J2376" s="2968" t="str">
        <f t="shared" si="75"/>
        <v>VK1</v>
      </c>
      <c r="K2376" s="2969" t="str">
        <f t="shared" si="74"/>
        <v>VK1Volt kế 500V + VS + 2xChì ống 1A-230V</v>
      </c>
    </row>
    <row r="2377" spans="1:11" hidden="1">
      <c r="A2377" s="2969" t="s">
        <v>1565</v>
      </c>
      <c r="B2377" s="3004"/>
      <c r="C2377" s="2969" t="s">
        <v>2907</v>
      </c>
      <c r="D2377" s="2968" t="s">
        <v>2547</v>
      </c>
      <c r="E2377" s="2968"/>
      <c r="F2377" s="2968">
        <v>50</v>
      </c>
      <c r="G2377" s="2968" t="s">
        <v>510</v>
      </c>
      <c r="H2377" s="2968"/>
      <c r="I2377" s="2968"/>
      <c r="J2377" s="2968" t="str">
        <f t="shared" si="75"/>
        <v>VT</v>
      </c>
      <c r="K2377" s="2969" t="str">
        <f t="shared" si="74"/>
        <v>VTVòng treo đầu tròn</v>
      </c>
    </row>
    <row r="2378" spans="1:11" hidden="1">
      <c r="A2378" s="2969" t="s">
        <v>6363</v>
      </c>
      <c r="B2378" s="3004"/>
      <c r="C2378" s="2969" t="s">
        <v>4278</v>
      </c>
      <c r="D2378" s="2968" t="s">
        <v>2379</v>
      </c>
      <c r="E2378" s="2968"/>
      <c r="F2378" s="2968">
        <v>2000</v>
      </c>
      <c r="G2378" s="2968" t="s">
        <v>355</v>
      </c>
      <c r="H2378" s="2968"/>
      <c r="I2378" s="2968"/>
      <c r="J2378" s="2968" t="str">
        <f t="shared" si="75"/>
        <v>X-Com24-FCOLA</v>
      </c>
      <c r="K2378" s="2969" t="str">
        <f t="shared" si="74"/>
        <v xml:space="preserve">X-Com24-FCOLAXà Composit 110x80x5 dài 2,4m bắt FCO, LA </v>
      </c>
    </row>
    <row r="2379" spans="1:11" hidden="1">
      <c r="A2379" s="2969" t="s">
        <v>361</v>
      </c>
      <c r="B2379" s="3004"/>
      <c r="C2379" s="2969" t="s">
        <v>2976</v>
      </c>
      <c r="D2379" s="2968" t="s">
        <v>2547</v>
      </c>
      <c r="E2379" s="2968"/>
      <c r="F2379" s="2968">
        <v>50</v>
      </c>
      <c r="G2379" s="2968" t="s">
        <v>355</v>
      </c>
      <c r="H2379" s="2968"/>
      <c r="I2379" s="2968"/>
      <c r="J2379" s="2968" t="str">
        <f t="shared" si="75"/>
        <v>COM110x800x5</v>
      </c>
      <c r="K2379" s="2969" t="str">
        <f t="shared" si="74"/>
        <v>COM110x800x5Xà composite 110x800x5</v>
      </c>
    </row>
    <row r="2380" spans="1:11" hidden="1">
      <c r="A2380" s="2969" t="s">
        <v>4262</v>
      </c>
      <c r="B2380" s="3004"/>
      <c r="C2380" s="2969" t="s">
        <v>4263</v>
      </c>
      <c r="D2380" s="2968" t="s">
        <v>2547</v>
      </c>
      <c r="E2380" s="2968"/>
      <c r="F2380" s="2968">
        <v>50</v>
      </c>
      <c r="G2380" s="2968" t="s">
        <v>355</v>
      </c>
      <c r="H2380" s="2968"/>
      <c r="I2380" s="2968"/>
      <c r="J2380" s="2968" t="str">
        <f t="shared" si="75"/>
        <v>COM110x800x5-2,4</v>
      </c>
      <c r="K2380" s="2969" t="str">
        <f t="shared" si="74"/>
        <v>COM110x800x5-2,4Xà composite 110x800x5 dài 2,4m</v>
      </c>
    </row>
    <row r="2381" spans="1:11" hidden="1">
      <c r="A2381" s="2969" t="s">
        <v>4387</v>
      </c>
      <c r="B2381" s="3004"/>
      <c r="C2381" s="2969" t="s">
        <v>4388</v>
      </c>
      <c r="D2381" s="2968" t="s">
        <v>2547</v>
      </c>
      <c r="E2381" s="2968"/>
      <c r="F2381" s="2968">
        <v>50</v>
      </c>
      <c r="G2381" s="2968" t="s">
        <v>355</v>
      </c>
      <c r="H2381" s="2968"/>
      <c r="I2381" s="2968"/>
      <c r="J2381" s="2968" t="str">
        <f t="shared" si="75"/>
        <v>COM110x800x5-2,6</v>
      </c>
      <c r="K2381" s="2969" t="str">
        <f t="shared" si="74"/>
        <v>COM110x800x5-2,6Xà composite 110x800x5 dài 2,6m</v>
      </c>
    </row>
    <row r="2382" spans="1:11" hidden="1">
      <c r="A2382" s="2969" t="s">
        <v>4882</v>
      </c>
      <c r="B2382" s="3004"/>
      <c r="C2382" s="2969" t="s">
        <v>4889</v>
      </c>
      <c r="D2382" s="2968" t="s">
        <v>4577</v>
      </c>
      <c r="E2382" s="2968"/>
      <c r="F2382" s="2968">
        <v>50</v>
      </c>
      <c r="G2382" s="2968" t="s">
        <v>355</v>
      </c>
      <c r="H2382" s="2968"/>
      <c r="I2382" s="2968"/>
      <c r="J2382" s="2968" t="str">
        <f t="shared" si="75"/>
        <v>Comp24</v>
      </c>
      <c r="K2382" s="2969" t="str">
        <f t="shared" si="74"/>
        <v>Comp24Xà compoxit 110x80x5-2400mm (bắt FCO, LA)</v>
      </c>
    </row>
    <row r="2383" spans="1:11" hidden="1">
      <c r="A2383" s="2969" t="s">
        <v>4586</v>
      </c>
      <c r="B2383" s="3004"/>
      <c r="C2383" s="2969" t="s">
        <v>4587</v>
      </c>
      <c r="D2383" s="2968" t="s">
        <v>2433</v>
      </c>
      <c r="E2383" s="2968"/>
      <c r="F2383" s="2968">
        <v>2000</v>
      </c>
      <c r="G2383" s="2968" t="s">
        <v>355</v>
      </c>
      <c r="H2383" s="2968"/>
      <c r="I2383" s="2968"/>
      <c r="J2383" s="2968" t="str">
        <f t="shared" si="75"/>
        <v>XTK2</v>
      </c>
      <c r="K2383" s="2969" t="str">
        <f t="shared" si="74"/>
        <v>XTK2Xà đỡ lệch góc 3 pha 2m - 1 mạch</v>
      </c>
    </row>
    <row r="2384" spans="1:11" hidden="1">
      <c r="A2384" s="2969" t="s">
        <v>4584</v>
      </c>
      <c r="B2384" s="3004"/>
      <c r="C2384" s="2969" t="s">
        <v>4585</v>
      </c>
      <c r="D2384" s="2968" t="s">
        <v>2433</v>
      </c>
      <c r="E2384" s="2968"/>
      <c r="F2384" s="2968">
        <v>2000</v>
      </c>
      <c r="G2384" s="2968" t="s">
        <v>355</v>
      </c>
      <c r="H2384" s="2968"/>
      <c r="I2384" s="2968"/>
      <c r="J2384" s="2968" t="str">
        <f t="shared" si="75"/>
        <v>XT2</v>
      </c>
      <c r="K2384" s="2969" t="str">
        <f t="shared" si="74"/>
        <v>XT2Xà đỡ thẳng lệch 3 pha 2m - 1 mạch</v>
      </c>
    </row>
    <row r="2385" spans="1:11" hidden="1">
      <c r="A2385" s="2969" t="s">
        <v>6364</v>
      </c>
      <c r="B2385" s="3004"/>
      <c r="C2385" s="2969" t="s">
        <v>4393</v>
      </c>
      <c r="D2385" s="2968" t="s">
        <v>2379</v>
      </c>
      <c r="E2385" s="2968"/>
      <c r="F2385" s="2968">
        <v>2000</v>
      </c>
      <c r="G2385" s="2968" t="s">
        <v>355</v>
      </c>
      <c r="H2385" s="2968"/>
      <c r="I2385" s="2968"/>
      <c r="J2385" s="2968" t="str">
        <f t="shared" si="75"/>
        <v>X-Com26-FCOLA</v>
      </c>
      <c r="K2385" s="2969" t="str">
        <f t="shared" si="74"/>
        <v xml:space="preserve">X-Com26-FCOLAXà đơn composite 110x800x5-2600m bắt FCO và LA </v>
      </c>
    </row>
    <row r="2386" spans="1:11" hidden="1">
      <c r="A2386" s="2969" t="s">
        <v>6320</v>
      </c>
      <c r="B2386" s="3004"/>
      <c r="C2386" s="2969" t="s">
        <v>6181</v>
      </c>
      <c r="D2386" s="2968" t="s">
        <v>2379</v>
      </c>
      <c r="E2386" s="2968"/>
      <c r="F2386" s="2968">
        <v>2000</v>
      </c>
      <c r="G2386" s="2968" t="s">
        <v>355</v>
      </c>
      <c r="H2386" s="2968"/>
      <c r="I2386" s="2968"/>
      <c r="J2386" s="2968" t="str">
        <f t="shared" si="75"/>
        <v>X-2400-D</v>
      </c>
      <c r="K2386" s="2969" t="str">
        <f t="shared" si="74"/>
        <v>X-2400-DXà đơn L75x75x8x2200 (4 ốp) đỡ sứ</v>
      </c>
    </row>
    <row r="2387" spans="1:11" hidden="1">
      <c r="A2387" s="2969" t="s">
        <v>6319</v>
      </c>
      <c r="B2387" s="3004"/>
      <c r="C2387" s="2969" t="s">
        <v>6180</v>
      </c>
      <c r="D2387" s="2968" t="s">
        <v>2379</v>
      </c>
      <c r="E2387" s="2968"/>
      <c r="F2387" s="2968">
        <v>2000</v>
      </c>
      <c r="G2387" s="2968" t="s">
        <v>355</v>
      </c>
      <c r="H2387" s="2968"/>
      <c r="I2387" s="2968"/>
      <c r="J2387" s="2968" t="str">
        <f t="shared" si="75"/>
        <v>X-2400-K</v>
      </c>
      <c r="K2387" s="2969" t="str">
        <f t="shared" si="74"/>
        <v>X-2400-KXà kép L75x75x8x2400 (4 ốp)  bắt TI, TU</v>
      </c>
    </row>
    <row r="2388" spans="1:11" hidden="1">
      <c r="A2388" s="2969" t="s">
        <v>999</v>
      </c>
      <c r="B2388" s="3016" t="s">
        <v>688</v>
      </c>
      <c r="C2388" s="3012" t="s">
        <v>3579</v>
      </c>
      <c r="D2388" s="2968" t="s">
        <v>2379</v>
      </c>
      <c r="E2388" s="2968"/>
      <c r="F2388" s="2968">
        <v>50</v>
      </c>
      <c r="G2388" s="2968" t="s">
        <v>355</v>
      </c>
      <c r="H2388" s="2968"/>
      <c r="I2388" s="2968"/>
      <c r="J2388" s="2968" t="str">
        <f t="shared" si="75"/>
        <v>XATUTI</v>
      </c>
      <c r="K2388" s="2969" t="str">
        <f t="shared" si="74"/>
        <v>XATUTIXà kẹp TU, TI U50x32x4 350</v>
      </c>
    </row>
    <row r="2389" spans="1:11" hidden="1">
      <c r="A2389" s="2969" t="s">
        <v>5404</v>
      </c>
      <c r="B2389" s="3004" t="s">
        <v>5405</v>
      </c>
      <c r="C2389" s="2969" t="s">
        <v>5406</v>
      </c>
      <c r="D2389" s="2968" t="s">
        <v>853</v>
      </c>
      <c r="E2389" s="2968"/>
      <c r="F2389" s="2968">
        <v>3000</v>
      </c>
      <c r="G2389" s="2968" t="s">
        <v>510</v>
      </c>
      <c r="H2389" s="2968"/>
      <c r="I2389" s="2968"/>
      <c r="J2389" s="2968" t="str">
        <f t="shared" si="75"/>
        <v>xaytuong</v>
      </c>
      <c r="K2389" s="2969" t="str">
        <f t="shared" si="74"/>
        <v>xaytuongXây tường gạch ống bề dày &lt;30cm</v>
      </c>
    </row>
    <row r="2390" spans="1:11" hidden="1">
      <c r="A2390" s="2969" t="s">
        <v>748</v>
      </c>
      <c r="B2390" s="3004"/>
      <c r="C2390" s="2969" t="s">
        <v>4776</v>
      </c>
      <c r="D2390" s="2968" t="s">
        <v>2243</v>
      </c>
      <c r="E2390" s="2968"/>
      <c r="F2390" s="2968">
        <v>996</v>
      </c>
      <c r="G2390" s="2968" t="s">
        <v>510</v>
      </c>
      <c r="H2390" s="2968"/>
      <c r="I2390" s="2968"/>
      <c r="J2390" s="2968" t="str">
        <f t="shared" si="75"/>
        <v>XM</v>
      </c>
      <c r="K2390" s="2969" t="str">
        <f t="shared" si="74"/>
        <v>XMXimăng (PC40)</v>
      </c>
    </row>
    <row r="2391" spans="1:11" hidden="1">
      <c r="A2391" s="2969" t="s">
        <v>1995</v>
      </c>
      <c r="B2391" s="3004"/>
      <c r="C2391" s="2969" t="s">
        <v>3028</v>
      </c>
      <c r="D2391" s="2968" t="s">
        <v>2547</v>
      </c>
      <c r="E2391" s="2968"/>
      <c r="F2391" s="2968">
        <v>50</v>
      </c>
      <c r="G2391" s="2968" t="s">
        <v>510</v>
      </c>
      <c r="H2391" s="2968"/>
      <c r="I2391" s="2968"/>
      <c r="J2391" s="2968" t="str">
        <f t="shared" si="75"/>
        <v>YC</v>
      </c>
      <c r="K2391" s="2969" t="str">
        <f t="shared" si="74"/>
        <v>YCYếm cáp dày 2mm</v>
      </c>
    </row>
    <row r="2392" spans="1:11" hidden="1">
      <c r="A2392" s="2969" t="s">
        <v>7284</v>
      </c>
      <c r="B2392" s="3004"/>
      <c r="C2392" s="2969" t="s">
        <v>7285</v>
      </c>
      <c r="D2392" s="2968" t="s">
        <v>2547</v>
      </c>
      <c r="E2392" s="2968"/>
      <c r="F2392" s="2968">
        <v>50</v>
      </c>
      <c r="G2392" s="2968" t="s">
        <v>510</v>
      </c>
      <c r="H2392" s="2968"/>
      <c r="I2392" s="2968"/>
      <c r="J2392" s="2968" t="str">
        <f t="shared" si="75"/>
        <v>YGNIU150</v>
      </c>
      <c r="K2392" s="2969" t="str">
        <f t="shared" si="74"/>
        <v>YGNIU150Yếm móng U giáp níu 150</v>
      </c>
    </row>
    <row r="2393" spans="1:11" hidden="1">
      <c r="A2393" s="2969" t="s">
        <v>7286</v>
      </c>
      <c r="B2393" s="3004"/>
      <c r="C2393" s="2969" t="s">
        <v>7287</v>
      </c>
      <c r="D2393" s="2968" t="s">
        <v>2547</v>
      </c>
      <c r="E2393" s="2968"/>
      <c r="F2393" s="2968">
        <v>50</v>
      </c>
      <c r="G2393" s="2968" t="s">
        <v>510</v>
      </c>
      <c r="H2393" s="2968"/>
      <c r="I2393" s="2968"/>
      <c r="J2393" s="2968" t="str">
        <f t="shared" si="75"/>
        <v>YGNIU50</v>
      </c>
      <c r="K2393" s="2969" t="str">
        <f t="shared" si="74"/>
        <v>YGNIU50Yếm móng U giáp níu 50</v>
      </c>
    </row>
    <row r="2394" spans="1:11" hidden="1">
      <c r="A2394" s="2969" t="s">
        <v>7288</v>
      </c>
      <c r="B2394" s="3004"/>
      <c r="C2394" s="2969" t="s">
        <v>2385</v>
      </c>
      <c r="D2394" s="2968" t="s">
        <v>2379</v>
      </c>
      <c r="E2394" s="2968"/>
      <c r="F2394" s="2968">
        <v>2000</v>
      </c>
      <c r="G2394" s="2968" t="s">
        <v>1898</v>
      </c>
      <c r="H2394" s="2968"/>
      <c r="I2394" s="2968"/>
      <c r="J2394" s="2968" t="str">
        <f t="shared" si="75"/>
        <v>TDLLT</v>
      </c>
      <c r="K2394" s="2969" t="str">
        <f t="shared" si="74"/>
        <v>TDLLTTiếp địa lặp lại (trụ 12m)</v>
      </c>
    </row>
    <row r="2395" spans="1:11" hidden="1">
      <c r="A2395" s="2969" t="s">
        <v>4880</v>
      </c>
      <c r="B2395" s="3004"/>
      <c r="C2395" s="2969" t="s">
        <v>3695</v>
      </c>
      <c r="D2395" s="2968" t="s">
        <v>2271</v>
      </c>
      <c r="E2395" s="2968"/>
      <c r="F2395" s="2968">
        <v>2000</v>
      </c>
      <c r="G2395" s="2968" t="s">
        <v>7262</v>
      </c>
      <c r="H2395" s="2968"/>
      <c r="I2395" s="2968"/>
      <c r="J2395" s="2968" t="str">
        <f t="shared" si="75"/>
        <v xml:space="preserve">BTLT 12 </v>
      </c>
      <c r="K2395" s="2969" t="str">
        <f t="shared" si="74"/>
        <v>BTLT 12 Trụ bê tông ly tâm 12m</v>
      </c>
    </row>
    <row r="2396" spans="1:11" hidden="1">
      <c r="A2396" s="2969" t="s">
        <v>7289</v>
      </c>
      <c r="B2396" s="3004"/>
      <c r="C2396" s="2969" t="s">
        <v>7293</v>
      </c>
      <c r="D2396" s="2968" t="s">
        <v>2379</v>
      </c>
      <c r="E2396" s="2968"/>
      <c r="F2396" s="2968">
        <v>2000</v>
      </c>
      <c r="G2396" s="2968" t="s">
        <v>355</v>
      </c>
      <c r="H2396" s="2968"/>
      <c r="I2396" s="2968"/>
      <c r="J2396" s="2968" t="str">
        <f t="shared" si="75"/>
        <v>X-8DCP</v>
      </c>
      <c r="K2396" s="2969" t="str">
        <f t="shared" si="74"/>
        <v>X-8DCPBộ xà đơn composite dài 0,8m</v>
      </c>
    </row>
    <row r="2397" spans="1:11" ht="16.5" hidden="1">
      <c r="A2397" s="1321" t="s">
        <v>4735</v>
      </c>
      <c r="B2397" s="3004"/>
      <c r="C2397" s="2969" t="s">
        <v>4733</v>
      </c>
      <c r="D2397" s="2968" t="s">
        <v>2379</v>
      </c>
      <c r="E2397" s="2968"/>
      <c r="F2397" s="2968"/>
      <c r="G2397" s="2968"/>
      <c r="H2397" s="2968"/>
      <c r="I2397" s="2968"/>
      <c r="J2397" s="2968" t="str">
        <f t="shared" si="75"/>
        <v>TDLL12BS</v>
      </c>
      <c r="K2397" s="2969" t="str">
        <f t="shared" si="74"/>
        <v>TDLL12BSTiếp địa lặp lại bổ sung</v>
      </c>
    </row>
  </sheetData>
  <autoFilter ref="A1:K2397">
    <filterColumn colId="10">
      <colorFilter dxfId="279"/>
    </filterColumn>
  </autoFilter>
  <phoneticPr fontId="0" type="noConversion"/>
  <conditionalFormatting sqref="A2398:A1048576 A1:A2">
    <cfRule type="duplicateValues" dxfId="278" priority="48"/>
  </conditionalFormatting>
  <conditionalFormatting sqref="H5:I5 A2397">
    <cfRule type="duplicateValues" dxfId="277" priority="6"/>
  </conditionalFormatting>
  <conditionalFormatting sqref="B5:E5">
    <cfRule type="duplicateValues" dxfId="276" priority="4"/>
  </conditionalFormatting>
  <conditionalFormatting sqref="A3:A2396">
    <cfRule type="duplicateValues" dxfId="275"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Z1" zoomScale="85" zoomScaleNormal="85" workbookViewId="0">
      <selection activeCell="AL2" sqref="AL2"/>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8" hidden="1" customWidth="1" outlineLevel="1"/>
    <col min="4" max="4" width="11.44140625" style="944" hidden="1" customWidth="1" outlineLevel="1"/>
    <col min="5" max="5" width="15.109375" style="1208"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8"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8"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8"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8" customWidth="1" outlineLevel="1"/>
    <col min="46" max="48" width="8.88671875" style="943" customWidth="1" outlineLevel="1"/>
    <col min="49" max="49" width="38.21875" style="943" customWidth="1" outlineLevel="1"/>
    <col min="50" max="50" width="53.664062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9" t="s">
        <v>4537</v>
      </c>
      <c r="B1" s="1719" t="s">
        <v>4313</v>
      </c>
      <c r="C1" s="1719" t="s">
        <v>4476</v>
      </c>
      <c r="D1" s="1719" t="s">
        <v>4316</v>
      </c>
      <c r="E1" s="1719" t="s">
        <v>4487</v>
      </c>
      <c r="F1" s="1719" t="s">
        <v>4404</v>
      </c>
      <c r="G1" s="1719" t="s">
        <v>4538</v>
      </c>
      <c r="H1" s="1719" t="s">
        <v>4539</v>
      </c>
      <c r="I1" s="1719" t="s">
        <v>4540</v>
      </c>
      <c r="J1" s="1719" t="s">
        <v>4863</v>
      </c>
      <c r="K1" s="1719" t="s">
        <v>4541</v>
      </c>
      <c r="L1" s="1719" t="s">
        <v>6356</v>
      </c>
      <c r="M1" s="1719" t="s">
        <v>6357</v>
      </c>
      <c r="N1" s="1719" t="s">
        <v>4542</v>
      </c>
      <c r="O1" s="1719" t="s">
        <v>4320</v>
      </c>
      <c r="P1" s="1719" t="s">
        <v>4865</v>
      </c>
      <c r="Q1" s="1719" t="s">
        <v>4317</v>
      </c>
      <c r="R1" s="1719" t="s">
        <v>4318</v>
      </c>
      <c r="S1" s="1719" t="s">
        <v>4319</v>
      </c>
      <c r="T1" s="1719" t="s">
        <v>4315</v>
      </c>
      <c r="U1" s="1719" t="s">
        <v>4543</v>
      </c>
      <c r="V1" s="1719" t="s">
        <v>4544</v>
      </c>
      <c r="W1" s="1719" t="s">
        <v>4108</v>
      </c>
      <c r="X1" s="1719" t="s">
        <v>4861</v>
      </c>
      <c r="Y1" s="1719" t="s">
        <v>4862</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4690</v>
      </c>
      <c r="AM1" s="946" t="s">
        <v>4720</v>
      </c>
      <c r="AN1" s="946" t="s">
        <v>4769</v>
      </c>
      <c r="AO1" s="946" t="s">
        <v>4766</v>
      </c>
      <c r="AP1" s="946" t="s">
        <v>4409</v>
      </c>
      <c r="AQ1" s="946" t="s">
        <v>1060</v>
      </c>
      <c r="AR1" s="946" t="s">
        <v>4768</v>
      </c>
      <c r="AS1" s="1718" t="s">
        <v>4775</v>
      </c>
      <c r="AT1" s="946" t="s">
        <v>4767</v>
      </c>
      <c r="AU1" s="946" t="s">
        <v>4770</v>
      </c>
      <c r="AV1" s="946" t="s">
        <v>4771</v>
      </c>
      <c r="AW1" s="946" t="s">
        <v>4853</v>
      </c>
      <c r="AX1" s="2020" t="s">
        <v>4866</v>
      </c>
      <c r="AY1" s="2021" t="s">
        <v>4867</v>
      </c>
      <c r="AZ1" s="2021" t="s">
        <v>4868</v>
      </c>
      <c r="BA1" s="2021" t="s">
        <v>4869</v>
      </c>
      <c r="BB1" s="2021" t="s">
        <v>4870</v>
      </c>
      <c r="BC1" s="2021" t="s">
        <v>4871</v>
      </c>
      <c r="BD1" s="2021" t="s">
        <v>4872</v>
      </c>
      <c r="BE1" s="2021" t="s">
        <v>4873</v>
      </c>
      <c r="BF1" s="2021" t="s">
        <v>4874</v>
      </c>
      <c r="BG1" s="2021" t="s">
        <v>4875</v>
      </c>
      <c r="BH1" s="2022" t="s">
        <v>4876</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99">
      <c r="A2" s="1720" t="s">
        <v>5997</v>
      </c>
      <c r="B2" s="1720" t="s">
        <v>5998</v>
      </c>
      <c r="C2" s="1717" t="s">
        <v>4864</v>
      </c>
      <c r="D2" s="1720" t="s">
        <v>5999</v>
      </c>
      <c r="E2" s="1717" t="s">
        <v>4465</v>
      </c>
      <c r="F2" s="1720" t="s">
        <v>6323</v>
      </c>
      <c r="G2" s="1720" t="s">
        <v>4431</v>
      </c>
      <c r="H2" s="1720" t="s">
        <v>6000</v>
      </c>
      <c r="I2" s="1720" t="s">
        <v>6322</v>
      </c>
      <c r="J2" s="1717" t="s">
        <v>4465</v>
      </c>
      <c r="K2" s="1717" t="s">
        <v>6001</v>
      </c>
      <c r="L2" s="1720" t="s">
        <v>6358</v>
      </c>
      <c r="M2" s="1720" t="s">
        <v>6359</v>
      </c>
      <c r="N2" s="1720" t="s">
        <v>6002</v>
      </c>
      <c r="O2" s="1720" t="s">
        <v>6003</v>
      </c>
      <c r="P2" s="1717" t="s">
        <v>4465</v>
      </c>
      <c r="Q2" s="1717" t="s">
        <v>6336</v>
      </c>
      <c r="R2" s="1720" t="s">
        <v>6004</v>
      </c>
      <c r="S2" s="1718" t="s">
        <v>6005</v>
      </c>
      <c r="T2" s="1720"/>
      <c r="U2" s="1720"/>
      <c r="V2" s="1717" t="s">
        <v>4465</v>
      </c>
      <c r="W2" s="1721" t="s">
        <v>7335</v>
      </c>
      <c r="X2" s="1721" t="s">
        <v>6317</v>
      </c>
      <c r="Y2" s="1721" t="s">
        <v>4108</v>
      </c>
      <c r="Z2" s="1717" t="s">
        <v>7333</v>
      </c>
      <c r="AA2" s="1721" t="str">
        <f>UPPER(Z2)</f>
        <v>XUÂN THÀNH</v>
      </c>
      <c r="AB2" s="1720" t="s">
        <v>7336</v>
      </c>
      <c r="AC2" s="1720" t="str">
        <f>UPPER(AB2)</f>
        <v>XÂY DỰNG MỚI TBA 3 PHA 1000 KVA - 22/0,4KV CÔNG TY CỔ PHẦN ADE GARNET</v>
      </c>
      <c r="AD2" s="1721" t="str">
        <f>IF(Z2&lt;&gt;0,"Xã "&amp;Z2&amp;" - ","")&amp;"Huyện Xuân Lộc - Tỉnh Đồng Nai"</f>
        <v>Xã Xuân Thành - Huyện Xuân Lộc - Tỉnh Đồng Nai</v>
      </c>
      <c r="AE2" s="1721" t="str">
        <f>UPPER(AD2)</f>
        <v>XÃ XUÂN THÀNH - HUYỆN XUÂN LỘC - TỈNH ĐỒNG NAI</v>
      </c>
      <c r="AF2" s="1726" t="s">
        <v>4550</v>
      </c>
      <c r="AG2" s="1727" t="s">
        <v>4551</v>
      </c>
      <c r="AH2" s="961" t="s">
        <v>4107</v>
      </c>
      <c r="AI2" s="1729"/>
      <c r="AJ2" s="1893" t="s">
        <v>7319</v>
      </c>
      <c r="AK2" s="1893" t="s">
        <v>7331</v>
      </c>
      <c r="AL2" s="1211" t="s">
        <v>6321</v>
      </c>
      <c r="AM2" s="1984" t="s">
        <v>7320</v>
      </c>
      <c r="AN2" s="2887">
        <f ca="1">Solieu!D3</f>
        <v>1</v>
      </c>
      <c r="AO2" s="2887">
        <f ca="1">Solieu!D4</f>
        <v>1</v>
      </c>
      <c r="AP2" s="2887">
        <f ca="1">Solieu!D5</f>
        <v>2</v>
      </c>
      <c r="AQ2" s="2887">
        <f ca="1">Solieu!D6</f>
        <v>2</v>
      </c>
      <c r="AR2" s="2887">
        <f ca="1">Solieu!D7</f>
        <v>3</v>
      </c>
      <c r="AS2" s="2887">
        <f ca="1">Solieu!D8</f>
        <v>3</v>
      </c>
      <c r="AT2" s="2887">
        <f ca="1">Solieu!D9</f>
        <v>4</v>
      </c>
      <c r="AU2" s="2887">
        <f ca="1">Solieu!D10</f>
        <v>5</v>
      </c>
      <c r="AV2" s="2887">
        <f ca="1">Solieu!D11</f>
        <v>6</v>
      </c>
      <c r="AW2" s="1984" t="str">
        <f t="array" ref="AW2">_xlfn.TEXTJOIN(CHAR(10),TRUE,AW5:AW16)</f>
        <v xml:space="preserve"> - Trạm biến áp được đặt tại trụ 024A/006 nằm trong đường dây hiện hữu</v>
      </c>
      <c r="AX2" s="2023" t="s">
        <v>4877</v>
      </c>
      <c r="AY2" s="2010" t="s">
        <v>6324</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3">
      <c r="A3" s="1720" t="s">
        <v>4830</v>
      </c>
      <c r="B3" s="1720" t="s">
        <v>4831</v>
      </c>
      <c r="C3" s="1717" t="s">
        <v>4465</v>
      </c>
      <c r="D3" s="1720" t="s">
        <v>4832</v>
      </c>
      <c r="E3" s="1717" t="s">
        <v>4465</v>
      </c>
      <c r="F3" s="1720" t="s">
        <v>4833</v>
      </c>
      <c r="G3" s="1720" t="s">
        <v>4834</v>
      </c>
      <c r="H3" s="1720" t="s">
        <v>4835</v>
      </c>
      <c r="I3" s="1720" t="str">
        <f>F3</f>
        <v>………………………</v>
      </c>
      <c r="J3" s="1717" t="s">
        <v>4864</v>
      </c>
      <c r="K3" s="1720" t="s">
        <v>4839</v>
      </c>
      <c r="L3" s="1720"/>
      <c r="M3" s="1720"/>
      <c r="N3" s="1720" t="s">
        <v>4837</v>
      </c>
      <c r="O3" s="1720" t="s">
        <v>4838</v>
      </c>
      <c r="P3" s="1717" t="s">
        <v>4465</v>
      </c>
      <c r="Q3" s="1720" t="s">
        <v>4836</v>
      </c>
      <c r="R3" s="1718"/>
      <c r="S3" s="1718"/>
      <c r="T3" s="960"/>
      <c r="U3" s="960"/>
      <c r="V3" s="1717" t="s">
        <v>4465</v>
      </c>
      <c r="Z3" s="1717" t="s">
        <v>4694</v>
      </c>
      <c r="AB3" s="1720" t="s">
        <v>4695</v>
      </c>
      <c r="AC3" s="1720" t="str">
        <f>UPPER(AB3)</f>
        <v>ĐƯỜNG DÂY TRUNG THẾ &amp; TBA 1 PHA 25KVA - 12,7/0,23 KV HỘ DUY TRƯỜNG</v>
      </c>
      <c r="AH3" s="1728" t="s">
        <v>6335</v>
      </c>
      <c r="AL3" s="1211" t="s">
        <v>4691</v>
      </c>
      <c r="AX3" s="962" t="s">
        <v>4878</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75" thickBot="1">
      <c r="A4" s="935"/>
      <c r="B4" s="935"/>
      <c r="C4" s="1210"/>
      <c r="D4" s="935"/>
      <c r="E4" s="1210"/>
      <c r="F4" s="935"/>
      <c r="G4" s="935"/>
      <c r="H4" s="935"/>
      <c r="I4" s="935"/>
      <c r="J4" s="1210"/>
      <c r="K4" s="946"/>
      <c r="L4" s="946"/>
      <c r="P4" s="1210"/>
      <c r="R4" s="962"/>
      <c r="S4" s="935"/>
      <c r="V4" s="1717" t="s">
        <v>6360</v>
      </c>
      <c r="Z4" s="1717" t="s">
        <v>4719</v>
      </c>
      <c r="AB4" s="1720" t="s">
        <v>4682</v>
      </c>
      <c r="AD4" s="961">
        <v>0</v>
      </c>
      <c r="AH4" s="961" t="s">
        <v>4107</v>
      </c>
      <c r="AL4" s="1211" t="s">
        <v>6321</v>
      </c>
      <c r="AT4" s="1333" t="s">
        <v>4847</v>
      </c>
      <c r="AU4" s="1333" t="s">
        <v>4848</v>
      </c>
      <c r="AV4" s="1333" t="s">
        <v>4849</v>
      </c>
      <c r="AW4" s="2019" t="s">
        <v>4850</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4864</v>
      </c>
      <c r="Z5" s="1717" t="s">
        <v>4840</v>
      </c>
      <c r="AB5" s="962" t="s">
        <v>4802</v>
      </c>
      <c r="AT5" s="2031" t="str">
        <f>AJ2</f>
        <v>024A</v>
      </c>
      <c r="AU5" s="2964" t="str">
        <f>AK2</f>
        <v>024A/006</v>
      </c>
      <c r="AV5" s="1728" t="s">
        <v>4852</v>
      </c>
      <c r="AW5" s="2002" t="str">
        <f>IF(AX5&lt;&gt;0,AX5,IF(AU5&lt;&gt;0," - Từ trụ "&amp;AT5&amp;" đến trụ "&amp;AU5&amp;" đường dây băng qua bên "&amp;AV5&amp;" đường và đi dọc theo đường hiện hữu.",""))</f>
        <v xml:space="preserve"> - Trạm biến áp được đặt tại trụ 024A/006 nằm trong đường dây hiện hữu</v>
      </c>
      <c r="AX5" s="2627" t="s">
        <v>7332</v>
      </c>
    </row>
    <row r="6" spans="1:69" ht="43.15" customHeight="1">
      <c r="A6" s="935"/>
      <c r="B6" s="935"/>
      <c r="C6" s="1210"/>
      <c r="D6" s="935"/>
      <c r="E6" s="1210"/>
      <c r="F6" s="935"/>
      <c r="G6" s="935"/>
      <c r="H6" s="935"/>
      <c r="I6" s="935"/>
      <c r="J6" s="1210"/>
      <c r="K6" s="946"/>
      <c r="L6" s="946"/>
      <c r="M6" s="935"/>
      <c r="N6" s="1210"/>
      <c r="O6" s="946"/>
      <c r="P6" s="1210"/>
      <c r="Q6" s="1210"/>
      <c r="S6" s="935"/>
      <c r="Z6" s="1717" t="s">
        <v>4879</v>
      </c>
      <c r="AT6" s="1728" t="str">
        <f>AU5</f>
        <v>024A/006</v>
      </c>
      <c r="AU6" s="2001"/>
      <c r="AV6" s="1728" t="s">
        <v>4852</v>
      </c>
      <c r="AW6" s="2002" t="str">
        <f t="shared" ref="AW6:AW15" si="5">IF(AU6&lt;&gt;0," - Từ trụ "&amp;AT6&amp;" đến trụ "&amp;AU6&amp;" đường dây băng qua bên "&amp;AV6&amp;" đường và đi dọc theo đường hiện hữu.","")</f>
        <v/>
      </c>
    </row>
    <row r="7" spans="1:69" s="1211" customFormat="1" ht="43.15"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6354</v>
      </c>
      <c r="AT7" s="1728">
        <f t="shared" ref="AT7:AT15" si="6">AU6</f>
        <v>0</v>
      </c>
      <c r="AU7" s="2001"/>
      <c r="AV7" s="1728" t="s">
        <v>4851</v>
      </c>
      <c r="AW7" s="2002" t="str">
        <f t="shared" si="5"/>
        <v/>
      </c>
    </row>
    <row r="8" spans="1:69" s="1211" customFormat="1" ht="43.15"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4851</v>
      </c>
      <c r="AW8" s="2002" t="str">
        <f>IF(AU8&lt;&gt;0," - Từ trụ "&amp;AT8&amp;" đến trụ "&amp;AU8&amp;" đường dây rẽ vào đường hẻm bên "&amp;AV8&amp;" đường và đi dọc theo đường hiện hữu.","")</f>
        <v/>
      </c>
      <c r="AX8" s="2627"/>
    </row>
    <row r="9" spans="1:69" s="1211" customFormat="1" ht="43.15"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4851</v>
      </c>
      <c r="AW9" s="2002" t="str">
        <f>IF(AU9&lt;&gt;0," - Từ trụ "&amp;AT9&amp;" đến trụ "&amp;AU9&amp;" đường dây băng qua bên "&amp;AV9&amp;" đường, dừng lại tại vị trí TBA nằm trong phần đất của chủ đầu tư.","")</f>
        <v/>
      </c>
    </row>
    <row r="10" spans="1:69" ht="43.15" customHeight="1">
      <c r="AT10" s="1728">
        <f t="shared" si="6"/>
        <v>0</v>
      </c>
      <c r="AU10" s="2001"/>
      <c r="AV10" s="1728" t="s">
        <v>4852</v>
      </c>
      <c r="AW10" s="2002" t="str">
        <f t="shared" si="5"/>
        <v/>
      </c>
    </row>
    <row r="11" spans="1:69" ht="43.15" customHeight="1">
      <c r="AT11" s="1728">
        <f t="shared" si="6"/>
        <v>0</v>
      </c>
      <c r="AU11" s="2001"/>
      <c r="AV11" s="1728" t="s">
        <v>4851</v>
      </c>
      <c r="AW11" s="2002" t="str">
        <f t="shared" si="5"/>
        <v/>
      </c>
    </row>
    <row r="12" spans="1:69" ht="43.15" customHeight="1">
      <c r="AT12" s="1728">
        <f t="shared" si="6"/>
        <v>0</v>
      </c>
      <c r="AU12" s="2001"/>
      <c r="AV12" s="1728" t="s">
        <v>4852</v>
      </c>
      <c r="AW12" s="2002" t="str">
        <f t="shared" si="5"/>
        <v/>
      </c>
    </row>
    <row r="13" spans="1:69">
      <c r="AT13" s="1728">
        <f t="shared" si="6"/>
        <v>0</v>
      </c>
      <c r="AU13" s="772"/>
      <c r="AV13" s="1728" t="s">
        <v>4851</v>
      </c>
      <c r="AW13" s="2002" t="str">
        <f t="shared" si="5"/>
        <v/>
      </c>
    </row>
    <row r="14" spans="1:69">
      <c r="AT14" s="1728">
        <f t="shared" si="6"/>
        <v>0</v>
      </c>
      <c r="AU14" s="772"/>
      <c r="AV14" s="1728" t="s">
        <v>4852</v>
      </c>
      <c r="AW14" s="2002" t="str">
        <f t="shared" si="5"/>
        <v/>
      </c>
    </row>
    <row r="15" spans="1:69">
      <c r="AT15" s="1728">
        <f t="shared" si="6"/>
        <v>0</v>
      </c>
      <c r="AU15" s="772"/>
      <c r="AV15" s="1728" t="s">
        <v>4851</v>
      </c>
      <c r="AW15" s="2002" t="str">
        <f t="shared" si="5"/>
        <v/>
      </c>
    </row>
    <row r="16" spans="1:69">
      <c r="AT16" s="772"/>
      <c r="AU16" s="772"/>
      <c r="AV16" s="1728"/>
      <c r="AW16" s="772"/>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3746</v>
      </c>
      <c r="C3" s="81"/>
      <c r="D3" s="81"/>
      <c r="E3" s="81"/>
      <c r="F3" s="82"/>
      <c r="G3" s="83"/>
      <c r="H3" s="84"/>
      <c r="I3" s="84"/>
    </row>
    <row r="4" spans="1:13" ht="15">
      <c r="A4" s="85"/>
      <c r="B4" s="3036" t="s">
        <v>1704</v>
      </c>
      <c r="C4" s="3036" t="s">
        <v>2275</v>
      </c>
      <c r="D4" s="72" t="s">
        <v>2276</v>
      </c>
      <c r="E4" s="72" t="s">
        <v>2277</v>
      </c>
      <c r="F4" s="86">
        <f>pp_NC!GV5</f>
        <v>0</v>
      </c>
      <c r="G4" s="86" t="str">
        <f>'pp3p2m '!ED6</f>
        <v>B</v>
      </c>
      <c r="H4" s="86" t="s">
        <v>1034</v>
      </c>
      <c r="I4" s="86" t="s">
        <v>1034</v>
      </c>
      <c r="J4" s="87"/>
      <c r="K4" s="83"/>
      <c r="L4" s="83"/>
      <c r="M4" s="83"/>
    </row>
    <row r="5" spans="1:13" ht="15">
      <c r="A5" s="73" t="s">
        <v>2278</v>
      </c>
      <c r="B5" s="3037"/>
      <c r="C5" s="3037"/>
      <c r="D5" s="74" t="s">
        <v>2279</v>
      </c>
      <c r="E5" s="74" t="s">
        <v>2280</v>
      </c>
      <c r="F5" s="75" t="s">
        <v>2281</v>
      </c>
      <c r="G5" s="88"/>
      <c r="H5" s="85"/>
      <c r="I5" s="85"/>
      <c r="J5" s="85"/>
    </row>
    <row r="6" spans="1:13" ht="15">
      <c r="A6" s="89"/>
      <c r="B6" s="90" t="s">
        <v>499</v>
      </c>
      <c r="C6" s="76" t="s">
        <v>2282</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935</v>
      </c>
      <c r="C38" s="77" t="s">
        <v>2283</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1611</v>
      </c>
      <c r="C43" s="77" t="s">
        <v>2284</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1903</v>
      </c>
      <c r="C91" s="77" t="s">
        <v>2294</v>
      </c>
      <c r="D91" s="78" t="s">
        <v>2295</v>
      </c>
      <c r="E91" s="99"/>
      <c r="F91" s="85"/>
      <c r="G91" s="93">
        <v>1</v>
      </c>
      <c r="H91" s="85"/>
      <c r="I91" s="85"/>
      <c r="J91" s="85"/>
    </row>
    <row r="92" spans="1:10" s="1" customFormat="1" ht="17.25">
      <c r="A92" s="9" t="str">
        <f>chitiet!B1512</f>
        <v>AC240</v>
      </c>
      <c r="B92" s="18" t="str">
        <f>IF(E92=0,"",COUNTIF($E$92:$E92,"&gt;0"))</f>
        <v/>
      </c>
      <c r="C92" s="16" t="s">
        <v>4925</v>
      </c>
      <c r="D92" s="19" t="s">
        <v>2243</v>
      </c>
      <c r="E92" s="17">
        <v>0</v>
      </c>
      <c r="F92" s="10"/>
      <c r="G92" s="7">
        <f>IF(E92&lt;&gt;0,1,0)</f>
        <v>0</v>
      </c>
      <c r="H92" s="4"/>
      <c r="I92" s="4"/>
      <c r="J92" s="4"/>
    </row>
    <row r="93" spans="1:10" s="1" customFormat="1" ht="17.25">
      <c r="A93" s="9" t="str">
        <f>chitiet!B1513</f>
        <v>AC185</v>
      </c>
      <c r="B93" s="18" t="str">
        <f>IF(E93=0,"",COUNTIF($B$92:$B92,"&gt;0")+1)</f>
        <v/>
      </c>
      <c r="C93" s="16" t="s">
        <v>2757</v>
      </c>
      <c r="D93" s="19" t="s">
        <v>2243</v>
      </c>
      <c r="E93" s="17">
        <v>0</v>
      </c>
      <c r="F93" s="10"/>
      <c r="G93" s="7">
        <f>IF(E93&lt;&gt;0,1,0)</f>
        <v>0</v>
      </c>
      <c r="H93" s="4"/>
      <c r="I93" s="4"/>
      <c r="J93" s="4"/>
    </row>
    <row r="94" spans="1:10" s="1" customFormat="1" ht="17.25">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7.25">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7.25">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7.25">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7.25">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7.25">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7.25">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7.25">
      <c r="A110" s="9" t="str">
        <f>chitiet!B1523</f>
        <v>XLPE120A</v>
      </c>
      <c r="B110" s="18" t="str">
        <f>IF(E110=0,"",COUNTIF($B$92:$B109,"&gt;0")+1)</f>
        <v/>
      </c>
      <c r="C110" s="16" t="s">
        <v>2713</v>
      </c>
      <c r="D110" s="19" t="s">
        <v>2526</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2924</v>
      </c>
      <c r="D114" s="78" t="s">
        <v>2433</v>
      </c>
      <c r="E114" s="96" t="e">
        <f>E113</f>
        <v>#N/A</v>
      </c>
      <c r="F114" s="85"/>
      <c r="G114" s="97" t="e">
        <f t="shared" ref="G114:G181" si="5">IF(E114&lt;&gt;0,1,0)</f>
        <v>#N/A</v>
      </c>
      <c r="H114" s="85"/>
      <c r="I114" s="85"/>
      <c r="J114" s="85"/>
    </row>
    <row r="115" spans="1:10" ht="15">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4926</v>
      </c>
      <c r="D116" s="22" t="s">
        <v>4924</v>
      </c>
      <c r="E116" s="23">
        <v>0</v>
      </c>
      <c r="F116" s="4"/>
      <c r="G116" s="8">
        <f t="shared" si="5"/>
        <v>0</v>
      </c>
      <c r="H116" s="4"/>
      <c r="I116" s="4"/>
      <c r="J116" s="4"/>
    </row>
    <row r="117" spans="1:10" s="1" customFormat="1" ht="17.25">
      <c r="A117" s="9" t="str">
        <f>chitiet!B1530</f>
        <v>R1</v>
      </c>
      <c r="B117" s="18" t="str">
        <f>IF(E117=0,"",COUNTIF($E$92:$E117,"&gt;0"))</f>
        <v/>
      </c>
      <c r="C117" s="16" t="s">
        <v>2924</v>
      </c>
      <c r="D117" s="19" t="s">
        <v>2433</v>
      </c>
      <c r="E117" s="17"/>
      <c r="F117" s="4"/>
      <c r="G117" s="8">
        <f t="shared" si="5"/>
        <v>0</v>
      </c>
      <c r="H117" s="4"/>
      <c r="I117" s="4"/>
      <c r="J117" s="4"/>
    </row>
    <row r="118" spans="1:10" s="1" customFormat="1" ht="17.25">
      <c r="A118" s="9" t="str">
        <f>chitiet!B1531</f>
        <v>B16300</v>
      </c>
      <c r="B118" s="18" t="str">
        <f>IF(E118=0,"",COUNTIF($E$92:$E118,"&gt;0"))</f>
        <v/>
      </c>
      <c r="C118" s="16" t="s">
        <v>2641</v>
      </c>
      <c r="D118" s="19" t="s">
        <v>2433</v>
      </c>
      <c r="E118" s="17"/>
      <c r="F118" s="4"/>
      <c r="G118" s="8">
        <f t="shared" si="5"/>
        <v>0</v>
      </c>
      <c r="H118" s="4"/>
      <c r="I118" s="4"/>
      <c r="J118" s="4"/>
    </row>
    <row r="119" spans="1:10" s="1" customFormat="1" ht="17.25">
      <c r="A119" s="9" t="str">
        <f>chitiet!B1532</f>
        <v>K50</v>
      </c>
      <c r="B119" s="18" t="str">
        <f>IF(E119=0,"",COUNTIF($E$92:$E119,"&gt;0"))</f>
        <v/>
      </c>
      <c r="C119" s="16" t="s">
        <v>4927</v>
      </c>
      <c r="D119" s="19" t="s">
        <v>2547</v>
      </c>
      <c r="E119" s="17"/>
      <c r="F119" s="4"/>
      <c r="G119" s="8">
        <f t="shared" si="5"/>
        <v>0</v>
      </c>
      <c r="H119" s="4"/>
      <c r="I119" s="4"/>
      <c r="J119" s="4"/>
    </row>
    <row r="120" spans="1:10" s="1" customFormat="1" ht="17.25">
      <c r="A120" s="9" t="str">
        <f>chitiet!B1533</f>
        <v>Nth-T</v>
      </c>
      <c r="B120" s="18">
        <f>IF(E120=0,"",COUNTIF($B$92:$B119,"&gt;0")+1)</f>
        <v>1</v>
      </c>
      <c r="C120" s="21" t="s">
        <v>4928</v>
      </c>
      <c r="D120" s="22" t="s">
        <v>4924</v>
      </c>
      <c r="E120" s="23">
        <v>1</v>
      </c>
      <c r="F120" s="4"/>
      <c r="G120" s="8">
        <f t="shared" si="5"/>
        <v>1</v>
      </c>
      <c r="H120" s="4"/>
      <c r="I120" s="4"/>
      <c r="J120" s="4"/>
    </row>
    <row r="121" spans="1:10" s="1" customFormat="1" ht="17.25">
      <c r="A121" s="9" t="str">
        <f>chitiet!B1534</f>
        <v>kn50</v>
      </c>
      <c r="B121" s="18" t="str">
        <f>IF(E121=0,"",COUNTIF($E$92:$E121,"&gt;0"))</f>
        <v/>
      </c>
      <c r="C121" s="16" t="s">
        <v>2892</v>
      </c>
      <c r="D121" s="19" t="s">
        <v>2547</v>
      </c>
      <c r="E121" s="17"/>
      <c r="F121" s="4"/>
      <c r="G121" s="8">
        <f t="shared" si="5"/>
        <v>0</v>
      </c>
      <c r="H121" s="4"/>
      <c r="I121" s="4"/>
      <c r="J121" s="4"/>
    </row>
    <row r="122" spans="1:10" s="1" customFormat="1" ht="17.25">
      <c r="A122" s="9" t="str">
        <f>chitiet!B1535</f>
        <v>MT</v>
      </c>
      <c r="B122" s="18" t="str">
        <f>IF(E122=0,"",COUNTIF($E$92:$E122,"&gt;0"))</f>
        <v/>
      </c>
      <c r="C122" s="16" t="s">
        <v>4929</v>
      </c>
      <c r="D122" s="19" t="s">
        <v>2547</v>
      </c>
      <c r="E122" s="17"/>
      <c r="F122" s="4"/>
      <c r="G122" s="8">
        <f t="shared" si="5"/>
        <v>0</v>
      </c>
      <c r="H122" s="4"/>
      <c r="I122" s="4"/>
      <c r="J122" s="4"/>
    </row>
    <row r="123" spans="1:10" s="1" customFormat="1" ht="17.25">
      <c r="A123" s="9" t="str">
        <f>chitiet!B1536</f>
        <v>BM16300</v>
      </c>
      <c r="B123" s="18">
        <f>IF(E123=0,"",COUNTIF($E$92:$E123,"&gt;0"))</f>
        <v>2</v>
      </c>
      <c r="C123" s="37" t="s">
        <v>4893</v>
      </c>
      <c r="D123" s="29" t="s">
        <v>2433</v>
      </c>
      <c r="E123" s="30">
        <v>1</v>
      </c>
      <c r="F123" s="4"/>
      <c r="G123" s="8">
        <f t="shared" si="5"/>
        <v>1</v>
      </c>
      <c r="H123" s="4"/>
      <c r="I123" s="4"/>
      <c r="J123" s="4"/>
    </row>
    <row r="124" spans="1:10" s="1" customFormat="1" ht="17.25">
      <c r="A124" s="9" t="str">
        <f>chitiet!B1537</f>
        <v>KE50</v>
      </c>
      <c r="B124" s="18" t="str">
        <f>IF(E124=0,"",COUNTIF($E$92:$E124,"&gt;0"))</f>
        <v/>
      </c>
      <c r="C124" s="16" t="s">
        <v>2865</v>
      </c>
      <c r="D124" s="19" t="s">
        <v>2547</v>
      </c>
      <c r="E124" s="17"/>
      <c r="F124" s="4"/>
      <c r="G124" s="8">
        <f t="shared" si="5"/>
        <v>0</v>
      </c>
      <c r="H124" s="4"/>
      <c r="I124" s="4"/>
      <c r="J124" s="4"/>
    </row>
    <row r="125" spans="1:10" ht="15">
      <c r="A125" s="100" t="str">
        <f>chitiet!B1538</f>
        <v>Nth-X</v>
      </c>
      <c r="B125" s="94" t="str">
        <f>IF(E125=0,"",COUNTIF($B$92:$B124,"&gt;0")+1)</f>
        <v/>
      </c>
      <c r="C125" s="102" t="s">
        <v>4930</v>
      </c>
      <c r="D125" s="103" t="s">
        <v>4924</v>
      </c>
      <c r="E125" s="104">
        <v>0</v>
      </c>
      <c r="F125" s="85"/>
      <c r="G125" s="97">
        <f>IF(E125&lt;&gt;0,1,0)</f>
        <v>0</v>
      </c>
      <c r="H125" s="85"/>
      <c r="I125" s="85"/>
      <c r="J125" s="85"/>
    </row>
    <row r="126" spans="1:10" ht="15">
      <c r="A126" s="100" t="str">
        <f>chitiet!B1539</f>
        <v>kn50</v>
      </c>
      <c r="B126" s="94"/>
      <c r="C126" s="95" t="s">
        <v>2892</v>
      </c>
      <c r="D126" s="78" t="s">
        <v>2547</v>
      </c>
      <c r="E126" s="96">
        <f>E125</f>
        <v>0</v>
      </c>
      <c r="F126" s="85"/>
      <c r="G126" s="97">
        <f>IF(E126&lt;&gt;0,1,0)</f>
        <v>0</v>
      </c>
      <c r="H126" s="85"/>
      <c r="I126" s="85"/>
      <c r="J126" s="85"/>
    </row>
    <row r="127" spans="1:10" ht="15">
      <c r="A127" s="100" t="str">
        <f>chitiet!B1540</f>
        <v>MT</v>
      </c>
      <c r="B127" s="94"/>
      <c r="C127" s="95" t="s">
        <v>4929</v>
      </c>
      <c r="D127" s="78" t="s">
        <v>2547</v>
      </c>
      <c r="E127" s="96">
        <f>E126*2</f>
        <v>0</v>
      </c>
      <c r="F127" s="85"/>
      <c r="G127" s="97">
        <f>IF(E127&lt;&gt;0,1,0)</f>
        <v>0</v>
      </c>
      <c r="H127" s="85"/>
      <c r="I127" s="85"/>
      <c r="J127" s="85"/>
    </row>
    <row r="128" spans="1:10" ht="15">
      <c r="A128" s="100" t="str">
        <f>chitiet!B1541</f>
        <v>KE50</v>
      </c>
      <c r="B128" s="94"/>
      <c r="C128" s="105" t="s">
        <v>2865</v>
      </c>
      <c r="D128" s="106" t="s">
        <v>2547</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4894</v>
      </c>
      <c r="D130" s="78" t="s">
        <v>2547</v>
      </c>
      <c r="E130" s="96" t="e">
        <f>E129</f>
        <v>#N/A</v>
      </c>
      <c r="F130" s="85"/>
      <c r="G130" s="97" t="e">
        <f t="shared" si="5"/>
        <v>#N/A</v>
      </c>
      <c r="H130" s="85"/>
      <c r="I130" s="85"/>
      <c r="J130" s="85"/>
    </row>
    <row r="131" spans="1:10" ht="15">
      <c r="A131" s="100" t="str">
        <f>chitiet!B1544</f>
        <v>CSD</v>
      </c>
      <c r="B131" s="94"/>
      <c r="C131" s="95" t="s">
        <v>4895</v>
      </c>
      <c r="D131" s="78" t="s">
        <v>2547</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4894</v>
      </c>
      <c r="D133" s="19" t="s">
        <v>2547</v>
      </c>
      <c r="E133" s="17"/>
      <c r="F133" s="4"/>
      <c r="G133" s="8">
        <f t="shared" si="5"/>
        <v>0</v>
      </c>
      <c r="H133" s="4"/>
      <c r="I133" s="4"/>
      <c r="J133" s="4"/>
    </row>
    <row r="134" spans="1:10" s="1" customFormat="1" ht="17.25">
      <c r="A134" s="9" t="str">
        <f>chitiet!B1547</f>
        <v>CSDI</v>
      </c>
      <c r="B134" s="18"/>
      <c r="C134" s="16" t="s">
        <v>4959</v>
      </c>
      <c r="D134" s="19" t="s">
        <v>2547</v>
      </c>
      <c r="E134" s="17"/>
      <c r="F134" s="4"/>
      <c r="G134" s="8">
        <f t="shared" si="5"/>
        <v>0</v>
      </c>
      <c r="H134" s="4"/>
      <c r="I134" s="4"/>
      <c r="J134" s="4"/>
    </row>
    <row r="135" spans="1:10" s="1" customFormat="1" ht="17.25">
      <c r="A135" s="9" t="str">
        <f>chitiet!B1548</f>
        <v>B16300</v>
      </c>
      <c r="B135" s="18" t="str">
        <f>IF(E135=0,"",COUNTIF($B$92:$B134,"&gt;0")+1)</f>
        <v/>
      </c>
      <c r="C135" s="16" t="s">
        <v>2641</v>
      </c>
      <c r="D135" s="19" t="s">
        <v>2433</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4894</v>
      </c>
      <c r="D137" s="19" t="s">
        <v>2547</v>
      </c>
      <c r="E137" s="17" t="e">
        <f>E136*2</f>
        <v>#N/A</v>
      </c>
      <c r="F137" s="4"/>
      <c r="G137" s="8" t="e">
        <f t="shared" si="5"/>
        <v>#N/A</v>
      </c>
      <c r="H137" s="4"/>
      <c r="I137" s="4"/>
      <c r="J137" s="4"/>
    </row>
    <row r="138" spans="1:10" s="1" customFormat="1" ht="17.25">
      <c r="A138" s="9" t="str">
        <f>chitiet!B1551</f>
        <v>CSDG</v>
      </c>
      <c r="B138" s="18" t="e">
        <f>IF(E138=0,"",COUNTIF($B$92:$B137,"&gt;0")+1)</f>
        <v>#N/A</v>
      </c>
      <c r="C138" s="16" t="s">
        <v>4946</v>
      </c>
      <c r="D138" s="19" t="s">
        <v>2547</v>
      </c>
      <c r="E138" s="17" t="e">
        <f>E137</f>
        <v>#N/A</v>
      </c>
      <c r="F138" s="4"/>
      <c r="G138" s="8" t="e">
        <f t="shared" si="5"/>
        <v>#N/A</v>
      </c>
      <c r="H138" s="4"/>
      <c r="I138" s="4"/>
      <c r="J138" s="4"/>
    </row>
    <row r="139" spans="1:10" s="1" customFormat="1" ht="17.25">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2934</v>
      </c>
      <c r="D141" s="19" t="s">
        <v>2935</v>
      </c>
      <c r="E141" s="17"/>
      <c r="F141" s="4"/>
      <c r="G141" s="8">
        <f t="shared" si="5"/>
        <v>0</v>
      </c>
      <c r="H141" s="4"/>
      <c r="I141" s="4"/>
      <c r="J141" s="4"/>
    </row>
    <row r="142" spans="1:10" s="1" customFormat="1" ht="17.25">
      <c r="A142" s="9" t="str">
        <f>chitiet!B1555</f>
        <v>MT</v>
      </c>
      <c r="B142" s="18" t="str">
        <f>IF(E142=0,"",COUNTIF($B$92:$B141,"&gt;0")+1)</f>
        <v/>
      </c>
      <c r="C142" s="16" t="s">
        <v>4929</v>
      </c>
      <c r="D142" s="19" t="s">
        <v>2547</v>
      </c>
      <c r="E142" s="17"/>
      <c r="F142" s="4"/>
      <c r="G142" s="8">
        <f t="shared" si="5"/>
        <v>0</v>
      </c>
      <c r="H142" s="4"/>
      <c r="I142" s="4"/>
      <c r="J142" s="4"/>
    </row>
    <row r="143" spans="1:10" s="1" customFormat="1" ht="17.25">
      <c r="A143" s="9" t="str">
        <f>chitiet!B1556</f>
        <v>VT</v>
      </c>
      <c r="B143" s="18" t="str">
        <f>IF(E143=0,"",COUNTIF($B$92:$B142,"&gt;0")+1)</f>
        <v/>
      </c>
      <c r="C143" s="16" t="s">
        <v>2907</v>
      </c>
      <c r="D143" s="19" t="s">
        <v>2547</v>
      </c>
      <c r="E143" s="17"/>
      <c r="F143" s="4"/>
      <c r="G143" s="8">
        <f t="shared" si="5"/>
        <v>0</v>
      </c>
      <c r="H143" s="4"/>
      <c r="I143" s="4"/>
      <c r="J143" s="4"/>
    </row>
    <row r="144" spans="1:10" s="1" customFormat="1" ht="17.25">
      <c r="A144" s="9" t="str">
        <f>chitiet!B1557</f>
        <v>MND</v>
      </c>
      <c r="B144" s="18" t="str">
        <f>IF(E144=0,"",COUNTIF($B$92:$B143,"&gt;0")+1)</f>
        <v/>
      </c>
      <c r="C144" s="16" t="s">
        <v>2903</v>
      </c>
      <c r="D144" s="19" t="s">
        <v>2547</v>
      </c>
      <c r="E144" s="17"/>
      <c r="F144" s="4"/>
      <c r="G144" s="8">
        <f t="shared" si="5"/>
        <v>0</v>
      </c>
      <c r="H144" s="4"/>
      <c r="I144" s="4"/>
      <c r="J144" s="4"/>
    </row>
    <row r="145" spans="1:10" s="1" customFormat="1" ht="17.25">
      <c r="A145" s="9" t="str">
        <f>chitiet!B1558</f>
        <v>Bm16300</v>
      </c>
      <c r="B145" s="18" t="str">
        <f>IF(E145=0,"",COUNTIF($B$92:$B144,"&gt;0")+1)</f>
        <v/>
      </c>
      <c r="C145" s="16" t="s">
        <v>4893</v>
      </c>
      <c r="D145" s="19" t="s">
        <v>2433</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2934</v>
      </c>
      <c r="D147" s="19" t="s">
        <v>2935</v>
      </c>
      <c r="E147" s="17"/>
      <c r="F147" s="4"/>
      <c r="G147" s="8">
        <f t="shared" si="5"/>
        <v>0</v>
      </c>
      <c r="H147" s="4"/>
      <c r="I147" s="4"/>
      <c r="J147" s="4"/>
    </row>
    <row r="148" spans="1:10" s="1" customFormat="1" ht="17.25">
      <c r="A148" s="9" t="str">
        <f>chitiet!B1561</f>
        <v>MT</v>
      </c>
      <c r="B148" s="18" t="str">
        <f>IF(E148=0,"",COUNTIF($B$92:$B147,"&gt;0")+1)</f>
        <v/>
      </c>
      <c r="C148" s="16" t="s">
        <v>4929</v>
      </c>
      <c r="D148" s="19" t="s">
        <v>2547</v>
      </c>
      <c r="E148" s="17"/>
      <c r="F148" s="4"/>
      <c r="G148" s="8">
        <f t="shared" si="5"/>
        <v>0</v>
      </c>
      <c r="H148" s="4"/>
      <c r="I148" s="4"/>
      <c r="J148" s="4"/>
    </row>
    <row r="149" spans="1:10" s="1" customFormat="1" ht="17.25">
      <c r="A149" s="9" t="str">
        <f>chitiet!B1562</f>
        <v>VT</v>
      </c>
      <c r="B149" s="18" t="str">
        <f>IF(E149=0,"",COUNTIF($B$92:$B148,"&gt;0")+1)</f>
        <v/>
      </c>
      <c r="C149" s="16" t="s">
        <v>2907</v>
      </c>
      <c r="D149" s="19" t="s">
        <v>2547</v>
      </c>
      <c r="E149" s="17"/>
      <c r="F149" s="4"/>
      <c r="G149" s="8">
        <f t="shared" si="5"/>
        <v>0</v>
      </c>
      <c r="H149" s="4"/>
      <c r="I149" s="4"/>
      <c r="J149" s="4"/>
    </row>
    <row r="150" spans="1:10" s="1" customFormat="1" ht="17.25">
      <c r="A150" s="9" t="str">
        <f>chitiet!B1563</f>
        <v>MND</v>
      </c>
      <c r="B150" s="18"/>
      <c r="C150" s="16" t="s">
        <v>2903</v>
      </c>
      <c r="D150" s="19" t="s">
        <v>2547</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2937</v>
      </c>
      <c r="D152" s="78" t="s">
        <v>2547</v>
      </c>
      <c r="E152" s="96" t="e">
        <f>E151</f>
        <v>#N/A</v>
      </c>
      <c r="F152" s="85"/>
      <c r="G152" s="97" t="e">
        <f t="shared" si="5"/>
        <v>#N/A</v>
      </c>
      <c r="H152" s="85"/>
      <c r="I152" s="85"/>
      <c r="J152" s="85"/>
    </row>
    <row r="153" spans="1:10" ht="15">
      <c r="A153" s="100" t="str">
        <f>chitiet!B1566</f>
        <v>MT</v>
      </c>
      <c r="B153" s="94"/>
      <c r="C153" s="95" t="s">
        <v>4929</v>
      </c>
      <c r="D153" s="78" t="s">
        <v>2547</v>
      </c>
      <c r="E153" s="96" t="e">
        <f>E152*2</f>
        <v>#N/A</v>
      </c>
      <c r="F153" s="85"/>
      <c r="G153" s="97" t="e">
        <f t="shared" si="5"/>
        <v>#N/A</v>
      </c>
      <c r="H153" s="85"/>
      <c r="I153" s="85"/>
      <c r="J153" s="85"/>
    </row>
    <row r="154" spans="1:10" ht="15">
      <c r="A154" s="110">
        <f>chitiet!B1570</f>
        <v>0</v>
      </c>
      <c r="B154" s="94"/>
      <c r="C154" s="57" t="s">
        <v>2511</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1892</v>
      </c>
      <c r="C196" s="77" t="s">
        <v>2296</v>
      </c>
      <c r="D196" s="78" t="s">
        <v>2295</v>
      </c>
      <c r="E196" s="20"/>
      <c r="F196" s="4"/>
      <c r="G196" s="8">
        <f t="shared" si="6"/>
        <v>0</v>
      </c>
      <c r="H196" s="4"/>
      <c r="I196" s="4"/>
      <c r="J196" s="4"/>
    </row>
    <row r="197" spans="1:10" s="1" customFormat="1" ht="17.25">
      <c r="A197" s="13" t="s">
        <v>785</v>
      </c>
      <c r="B197" s="18" t="str">
        <f>IF(E197=0,"",COUNTIF($B$196:$B196,"&gt;0")+1)</f>
        <v/>
      </c>
      <c r="C197" s="16" t="s">
        <v>1183</v>
      </c>
      <c r="D197" s="19" t="s">
        <v>2547</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1893</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1214</v>
      </c>
      <c r="D200" s="19" t="s">
        <v>2433</v>
      </c>
      <c r="E200" s="24">
        <f>pp_NC!ED187</f>
        <v>0</v>
      </c>
      <c r="F200" s="4"/>
      <c r="G200" s="8">
        <f t="shared" si="6"/>
        <v>0</v>
      </c>
      <c r="H200" s="4"/>
      <c r="I200" s="4"/>
      <c r="J200" s="4"/>
    </row>
    <row r="201" spans="1:10" s="1" customFormat="1" ht="17.25">
      <c r="A201" s="13" t="s">
        <v>1916</v>
      </c>
      <c r="B201" s="18" t="str">
        <f>IF(E201=0,"",COUNTIF($B$196:$B200,"&gt;0")+1)</f>
        <v/>
      </c>
      <c r="C201" s="16" t="s">
        <v>1589</v>
      </c>
      <c r="D201" s="19" t="s">
        <v>2433</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1907</v>
      </c>
      <c r="B203" s="18" t="str">
        <f>IF(E203=0,"",COUNTIF($B$196:$B202,"&gt;0")+1)</f>
        <v/>
      </c>
      <c r="C203" s="16" t="s">
        <v>2052</v>
      </c>
      <c r="D203" s="19" t="s">
        <v>2433</v>
      </c>
      <c r="E203" s="24">
        <f>pp_NC!ED190</f>
        <v>0</v>
      </c>
      <c r="F203" s="4"/>
      <c r="G203" s="8">
        <f t="shared" si="6"/>
        <v>0</v>
      </c>
      <c r="H203" s="4"/>
      <c r="I203" s="4"/>
      <c r="J203" s="4"/>
    </row>
    <row r="204" spans="1:10" s="1" customFormat="1" ht="17.25">
      <c r="A204" s="6" t="s">
        <v>392</v>
      </c>
      <c r="B204" s="18"/>
      <c r="C204" s="16" t="s">
        <v>1589</v>
      </c>
      <c r="D204" s="19" t="s">
        <v>2433</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3747</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119" t="s">
        <v>499</v>
      </c>
      <c r="C10" s="116" t="s">
        <v>2282</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935</v>
      </c>
      <c r="C44" s="77" t="s">
        <v>2308</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1611</v>
      </c>
      <c r="C67" s="77" t="s">
        <v>2294</v>
      </c>
      <c r="D67" s="78" t="s">
        <v>2295</v>
      </c>
      <c r="E67" s="99"/>
      <c r="F67" s="85"/>
      <c r="G67" s="93">
        <v>1</v>
      </c>
      <c r="H67" s="85"/>
      <c r="I67" s="85"/>
      <c r="J67" s="85"/>
    </row>
    <row r="68" spans="1:10" s="1" customFormat="1" ht="17.25">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5">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887</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50" t="s">
        <v>3749</v>
      </c>
      <c r="B4" s="3038" t="s">
        <v>3750</v>
      </c>
      <c r="C4" s="3038" t="s">
        <v>4334</v>
      </c>
      <c r="D4" s="3038" t="s">
        <v>3751</v>
      </c>
      <c r="E4" s="3038" t="s">
        <v>3752</v>
      </c>
      <c r="F4" s="3038" t="s">
        <v>3753</v>
      </c>
      <c r="G4" s="3038" t="s">
        <v>3754</v>
      </c>
      <c r="H4" s="3038" t="s">
        <v>3755</v>
      </c>
      <c r="I4" s="3038" t="s">
        <v>3756</v>
      </c>
      <c r="J4" s="3040" t="s">
        <v>3757</v>
      </c>
      <c r="K4" s="3040" t="s">
        <v>3758</v>
      </c>
      <c r="L4" s="3040" t="s">
        <v>3759</v>
      </c>
      <c r="M4" s="3057"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5" t="s">
        <v>3763</v>
      </c>
      <c r="BR4" s="3066"/>
      <c r="BS4" s="3066"/>
      <c r="BT4" s="3066"/>
      <c r="BU4" s="3066"/>
      <c r="BV4" s="3066"/>
      <c r="BW4" s="3066"/>
      <c r="BX4" s="3066"/>
      <c r="BY4" s="3066"/>
      <c r="BZ4" s="3066"/>
      <c r="CA4" s="3066"/>
      <c r="CB4" s="3067"/>
      <c r="CC4" s="3042" t="s">
        <v>2381</v>
      </c>
      <c r="CD4" s="3042" t="s">
        <v>2384</v>
      </c>
      <c r="CE4" s="3042" t="s">
        <v>2387</v>
      </c>
      <c r="CF4" s="3042" t="s">
        <v>2386</v>
      </c>
      <c r="CG4" s="3042" t="s">
        <v>2388</v>
      </c>
      <c r="CH4" s="3042"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46" t="s">
        <v>3765</v>
      </c>
      <c r="DG4" s="3046" t="s">
        <v>3766</v>
      </c>
      <c r="DH4" s="3044" t="s">
        <v>3767</v>
      </c>
      <c r="DI4" s="3044" t="s">
        <v>3768</v>
      </c>
      <c r="DJ4" s="3044" t="s">
        <v>3769</v>
      </c>
      <c r="DK4" s="3044" t="s">
        <v>3770</v>
      </c>
      <c r="DL4" s="3044" t="s">
        <v>3771</v>
      </c>
      <c r="DM4" s="3044" t="s">
        <v>3772</v>
      </c>
      <c r="DN4" s="3044" t="s">
        <v>3773</v>
      </c>
      <c r="DO4" s="3044" t="s">
        <v>3774</v>
      </c>
      <c r="DP4" s="3044" t="s">
        <v>3775</v>
      </c>
      <c r="DQ4" s="3055" t="s">
        <v>1728</v>
      </c>
      <c r="DR4" s="3044" t="s">
        <v>3776</v>
      </c>
      <c r="DS4" s="3055" t="s">
        <v>4047</v>
      </c>
      <c r="DT4" s="3055" t="s">
        <v>3777</v>
      </c>
      <c r="DU4" s="3055" t="s">
        <v>3778</v>
      </c>
      <c r="DV4" s="3055" t="s">
        <v>3779</v>
      </c>
      <c r="DW4" s="3055" t="s">
        <v>3780</v>
      </c>
      <c r="DX4" s="3055" t="s">
        <v>3781</v>
      </c>
      <c r="DY4" s="3055" t="s">
        <v>3782</v>
      </c>
      <c r="DZ4" s="3055" t="s">
        <v>3783</v>
      </c>
      <c r="EA4" s="3055" t="s">
        <v>3784</v>
      </c>
      <c r="EB4" s="3055" t="s">
        <v>3785</v>
      </c>
      <c r="EC4" s="3055" t="s">
        <v>3786</v>
      </c>
      <c r="ED4" s="3084" t="s">
        <v>785</v>
      </c>
      <c r="EE4" s="3058" t="s">
        <v>1401</v>
      </c>
      <c r="EF4" s="3058" t="s">
        <v>1371</v>
      </c>
      <c r="EG4" s="3052" t="s">
        <v>672</v>
      </c>
      <c r="EH4" s="3052" t="s">
        <v>1893</v>
      </c>
      <c r="EI4" s="3052" t="s">
        <v>1125</v>
      </c>
      <c r="EJ4" s="3052" t="s">
        <v>1916</v>
      </c>
      <c r="EK4" s="3052" t="s">
        <v>393</v>
      </c>
      <c r="EL4" s="3052" t="s">
        <v>1907</v>
      </c>
      <c r="EM4" s="3052" t="s">
        <v>627</v>
      </c>
      <c r="EN4" s="3052" t="s">
        <v>626</v>
      </c>
      <c r="EO4" s="3052" t="s">
        <v>628</v>
      </c>
      <c r="EP4" s="3060" t="s">
        <v>3787</v>
      </c>
      <c r="EQ4" s="3060" t="s">
        <v>3788</v>
      </c>
      <c r="ER4" s="3060" t="s">
        <v>3789</v>
      </c>
      <c r="ES4" s="3060" t="s">
        <v>3790</v>
      </c>
      <c r="ET4" s="3042" t="s">
        <v>3791</v>
      </c>
      <c r="EU4" s="3042" t="s">
        <v>3792</v>
      </c>
      <c r="EV4" s="3042" t="s">
        <v>3793</v>
      </c>
      <c r="EW4" s="3042" t="s">
        <v>3794</v>
      </c>
      <c r="EX4" s="3042" t="s">
        <v>3795</v>
      </c>
      <c r="EY4" s="3042" t="s">
        <v>3796</v>
      </c>
      <c r="EZ4" s="3042" t="s">
        <v>3797</v>
      </c>
      <c r="FA4" s="3042" t="s">
        <v>3798</v>
      </c>
      <c r="FB4" s="3060" t="s">
        <v>3799</v>
      </c>
      <c r="FC4" s="3060" t="s">
        <v>3800</v>
      </c>
      <c r="FD4" s="3060" t="s">
        <v>3801</v>
      </c>
      <c r="FE4" s="3060" t="s">
        <v>3802</v>
      </c>
      <c r="FF4" s="3060" t="s">
        <v>3803</v>
      </c>
      <c r="FG4" s="3060" t="s">
        <v>3804</v>
      </c>
      <c r="FH4" s="3060" t="s">
        <v>3805</v>
      </c>
      <c r="FI4" s="3060" t="s">
        <v>3806</v>
      </c>
      <c r="FJ4" s="3060" t="s">
        <v>3807</v>
      </c>
      <c r="FK4" s="3060" t="s">
        <v>3808</v>
      </c>
      <c r="FL4" s="3060" t="s">
        <v>4264</v>
      </c>
      <c r="FM4" s="3060" t="s">
        <v>3809</v>
      </c>
      <c r="FN4" s="3060" t="s">
        <v>3810</v>
      </c>
      <c r="FO4" s="3060" t="s">
        <v>3811</v>
      </c>
      <c r="FP4" s="3060" t="s">
        <v>3812</v>
      </c>
      <c r="FQ4" s="3060" t="s">
        <v>3813</v>
      </c>
      <c r="FR4" s="3042" t="s">
        <v>3814</v>
      </c>
      <c r="FS4" s="3042" t="s">
        <v>3815</v>
      </c>
      <c r="FT4" s="3042" t="s">
        <v>3816</v>
      </c>
      <c r="FU4" s="3062" t="s">
        <v>3817</v>
      </c>
      <c r="FV4" s="3062" t="s">
        <v>3818</v>
      </c>
      <c r="FW4" s="3062" t="s">
        <v>3819</v>
      </c>
      <c r="FX4" s="3062" t="s">
        <v>3820</v>
      </c>
      <c r="FY4" s="3062" t="s">
        <v>3821</v>
      </c>
      <c r="FZ4" s="3062" t="s">
        <v>3822</v>
      </c>
      <c r="GA4" s="3062" t="s">
        <v>3823</v>
      </c>
      <c r="GB4" s="3062" t="s">
        <v>3824</v>
      </c>
      <c r="GC4" s="3062" t="s">
        <v>3825</v>
      </c>
      <c r="GD4" s="3062" t="s">
        <v>3826</v>
      </c>
      <c r="GE4" s="3062" t="s">
        <v>3827</v>
      </c>
      <c r="GF4" s="3062" t="s">
        <v>3828</v>
      </c>
      <c r="GG4" s="3062" t="s">
        <v>3829</v>
      </c>
      <c r="GH4" s="3072" t="s">
        <v>3830</v>
      </c>
      <c r="GI4" s="3072" t="s">
        <v>3831</v>
      </c>
      <c r="GJ4" s="3074" t="s">
        <v>3832</v>
      </c>
      <c r="GK4" s="3074" t="s">
        <v>3833</v>
      </c>
      <c r="GL4" s="3072" t="s">
        <v>3834</v>
      </c>
      <c r="GM4" s="3074" t="s">
        <v>3835</v>
      </c>
      <c r="GN4" s="3074" t="s">
        <v>3836</v>
      </c>
      <c r="GO4" s="3072" t="s">
        <v>3837</v>
      </c>
      <c r="GP4" s="3072" t="s">
        <v>3838</v>
      </c>
      <c r="GQ4" s="3072" t="s">
        <v>3839</v>
      </c>
      <c r="GR4" s="3062" t="s">
        <v>3840</v>
      </c>
      <c r="GS4" s="3062" t="s">
        <v>3655</v>
      </c>
      <c r="GT4" s="3082" t="s">
        <v>3841</v>
      </c>
      <c r="GU4" s="3080"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51"/>
      <c r="B5" s="3039"/>
      <c r="C5" s="3039"/>
      <c r="D5" s="3039"/>
      <c r="E5" s="3039"/>
      <c r="F5" s="3039"/>
      <c r="G5" s="3039"/>
      <c r="H5" s="3039"/>
      <c r="I5" s="3039"/>
      <c r="J5" s="3054"/>
      <c r="K5" s="3041"/>
      <c r="L5" s="3041"/>
      <c r="M5" s="3047"/>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43"/>
      <c r="CD5" s="3043"/>
      <c r="CE5" s="3043"/>
      <c r="CF5" s="3043"/>
      <c r="CG5" s="3043"/>
      <c r="CH5" s="3043"/>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47"/>
      <c r="DG5" s="3047"/>
      <c r="DH5" s="3045"/>
      <c r="DI5" s="3045"/>
      <c r="DJ5" s="3045"/>
      <c r="DK5" s="3045"/>
      <c r="DL5" s="3045"/>
      <c r="DM5" s="3045"/>
      <c r="DN5" s="3045"/>
      <c r="DO5" s="3045"/>
      <c r="DP5" s="3045"/>
      <c r="DQ5" s="3056"/>
      <c r="DR5" s="3045"/>
      <c r="DS5" s="3056"/>
      <c r="DT5" s="3056"/>
      <c r="DU5" s="3056"/>
      <c r="DV5" s="3056"/>
      <c r="DW5" s="3056"/>
      <c r="DX5" s="3056"/>
      <c r="DY5" s="3056"/>
      <c r="DZ5" s="3056"/>
      <c r="EA5" s="3056"/>
      <c r="EB5" s="3056"/>
      <c r="EC5" s="3056"/>
      <c r="ED5" s="3085"/>
      <c r="EE5" s="3059"/>
      <c r="EF5" s="3059"/>
      <c r="EG5" s="3053"/>
      <c r="EH5" s="3053"/>
      <c r="EI5" s="3053"/>
      <c r="EJ5" s="3053"/>
      <c r="EK5" s="3053"/>
      <c r="EL5" s="3053"/>
      <c r="EM5" s="3053"/>
      <c r="EN5" s="3053"/>
      <c r="EO5" s="3053"/>
      <c r="EP5" s="3061"/>
      <c r="EQ5" s="3061"/>
      <c r="ER5" s="3061"/>
      <c r="ES5" s="3061"/>
      <c r="ET5" s="3043"/>
      <c r="EU5" s="3043"/>
      <c r="EV5" s="3043"/>
      <c r="EW5" s="3043"/>
      <c r="EX5" s="3043"/>
      <c r="EY5" s="3043"/>
      <c r="EZ5" s="3043"/>
      <c r="FA5" s="3043"/>
      <c r="FB5" s="3061"/>
      <c r="FC5" s="3061"/>
      <c r="FD5" s="3061"/>
      <c r="FE5" s="3061"/>
      <c r="FF5" s="3061"/>
      <c r="FG5" s="3061"/>
      <c r="FH5" s="3061"/>
      <c r="FI5" s="3061"/>
      <c r="FJ5" s="3061"/>
      <c r="FK5" s="3061"/>
      <c r="FL5" s="3061"/>
      <c r="FM5" s="3061"/>
      <c r="FN5" s="3061"/>
      <c r="FO5" s="3061"/>
      <c r="FP5" s="3061"/>
      <c r="FQ5" s="3061"/>
      <c r="FR5" s="3043"/>
      <c r="FS5" s="3043"/>
      <c r="FT5" s="3043"/>
      <c r="FU5" s="3063"/>
      <c r="FV5" s="3063"/>
      <c r="FW5" s="3063"/>
      <c r="FX5" s="3063"/>
      <c r="FY5" s="3063"/>
      <c r="FZ5" s="3063"/>
      <c r="GA5" s="3063"/>
      <c r="GB5" s="3063"/>
      <c r="GC5" s="3063"/>
      <c r="GD5" s="3063"/>
      <c r="GE5" s="3063"/>
      <c r="GF5" s="3063"/>
      <c r="GG5" s="3063"/>
      <c r="GH5" s="3073"/>
      <c r="GI5" s="3073"/>
      <c r="GJ5" s="3075"/>
      <c r="GK5" s="3075"/>
      <c r="GL5" s="3073"/>
      <c r="GM5" s="3075"/>
      <c r="GN5" s="3075"/>
      <c r="GO5" s="3073"/>
      <c r="GP5" s="3073"/>
      <c r="GQ5" s="3073"/>
      <c r="GR5" s="3063"/>
      <c r="GS5" s="3063"/>
      <c r="GT5" s="3083"/>
      <c r="GU5" s="3081"/>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68"/>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78"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69"/>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79"/>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0"/>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76"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1"/>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77"/>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48" t="s">
        <v>2584</v>
      </c>
      <c r="B184" s="3049"/>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95" hidden="1" customHeight="1">
      <c r="A186" s="374" t="s">
        <v>725</v>
      </c>
      <c r="B186" s="151" t="s">
        <v>2167</v>
      </c>
      <c r="D186" s="370"/>
      <c r="E186" s="370"/>
      <c r="F186" s="370"/>
      <c r="G186" s="370"/>
      <c r="H186" s="370"/>
      <c r="I186" s="370"/>
      <c r="J186" s="150" t="s">
        <v>1818</v>
      </c>
      <c r="L186" s="375"/>
      <c r="N186" s="374" t="s">
        <v>725</v>
      </c>
      <c r="O186" s="150" t="s">
        <v>2167</v>
      </c>
      <c r="V186" s="3064">
        <f>1.02*D186</f>
        <v>0</v>
      </c>
      <c r="W186" s="3064"/>
      <c r="X186" s="3064"/>
      <c r="Y186" s="3064"/>
      <c r="Z186" s="3064"/>
      <c r="AA186" s="3064"/>
      <c r="AB186" s="3064"/>
      <c r="AC186" s="3064"/>
      <c r="AD186" s="3064"/>
      <c r="AE186" s="3064"/>
      <c r="AF186" s="3064"/>
      <c r="AG186" s="3064"/>
      <c r="AH186" s="3064"/>
      <c r="AI186" s="3064"/>
      <c r="AJ186" s="3064"/>
      <c r="AK186" s="3064"/>
      <c r="AL186" s="3064"/>
      <c r="AM186" s="3064"/>
      <c r="AN186" s="3064"/>
      <c r="AO186" s="3064"/>
      <c r="AP186" s="3064"/>
      <c r="AQ186" s="3064"/>
      <c r="AR186" s="3064"/>
      <c r="AS186" s="3064"/>
      <c r="AT186" s="3064"/>
      <c r="AU186" s="3064"/>
      <c r="AV186" s="3064"/>
      <c r="AW186" s="3064"/>
      <c r="AX186" s="3064"/>
      <c r="AY186" s="3064"/>
      <c r="AZ186" s="3064"/>
      <c r="BA186" s="3064"/>
      <c r="BB186" s="3064"/>
      <c r="BC186" s="3064"/>
      <c r="BD186" s="3064"/>
      <c r="BE186" s="3064"/>
      <c r="BF186" s="3064"/>
      <c r="BG186" s="3064"/>
      <c r="BH186" s="3064"/>
      <c r="BI186" s="3064"/>
      <c r="CS186" s="376"/>
    </row>
    <row r="187" spans="1:256" ht="18.95" hidden="1" customHeight="1">
      <c r="A187" s="374" t="s">
        <v>726</v>
      </c>
      <c r="B187" s="151" t="s">
        <v>2167</v>
      </c>
      <c r="D187" s="370"/>
      <c r="E187" s="370"/>
      <c r="F187" s="370"/>
      <c r="G187" s="370"/>
      <c r="H187" s="370"/>
      <c r="I187" s="370"/>
      <c r="J187" s="150" t="s">
        <v>1818</v>
      </c>
      <c r="L187" s="375"/>
      <c r="N187" s="374" t="s">
        <v>726</v>
      </c>
      <c r="O187" s="150" t="s">
        <v>2167</v>
      </c>
      <c r="V187" s="3064">
        <f>1.02*D187</f>
        <v>0</v>
      </c>
      <c r="W187" s="3064"/>
      <c r="X187" s="3064"/>
      <c r="Y187" s="3064"/>
      <c r="Z187" s="3064"/>
      <c r="AA187" s="3064"/>
      <c r="AB187" s="3064"/>
      <c r="AC187" s="3064"/>
      <c r="AD187" s="3064"/>
      <c r="AE187" s="3064"/>
      <c r="AF187" s="3064"/>
      <c r="AG187" s="3064"/>
      <c r="AH187" s="3064"/>
      <c r="AI187" s="3064"/>
      <c r="AJ187" s="3064"/>
      <c r="AK187" s="3064"/>
      <c r="AL187" s="3064"/>
      <c r="AM187" s="3064"/>
      <c r="AN187" s="3064"/>
      <c r="AO187" s="3064"/>
      <c r="AP187" s="3064"/>
      <c r="AQ187" s="3064"/>
      <c r="AR187" s="3064"/>
      <c r="AS187" s="3064"/>
      <c r="AT187" s="3064"/>
      <c r="AU187" s="3064"/>
      <c r="AV187" s="3064"/>
      <c r="AW187" s="3064"/>
      <c r="AX187" s="3064"/>
      <c r="AY187" s="3064"/>
      <c r="AZ187" s="3064"/>
      <c r="BA187" s="3064"/>
      <c r="BB187" s="3064"/>
      <c r="BC187" s="3064"/>
      <c r="BD187" s="3064"/>
      <c r="BE187" s="3064"/>
      <c r="BF187" s="3064"/>
      <c r="BG187" s="3064"/>
      <c r="BH187" s="3064"/>
      <c r="BI187" s="3064"/>
    </row>
    <row r="188" spans="1:256" ht="18.95" hidden="1" customHeight="1">
      <c r="A188" s="374" t="s">
        <v>838</v>
      </c>
      <c r="B188" s="151" t="s">
        <v>2167</v>
      </c>
      <c r="D188" s="370"/>
      <c r="E188" s="370"/>
      <c r="F188" s="370"/>
      <c r="G188" s="370"/>
      <c r="H188" s="370"/>
      <c r="I188" s="370"/>
      <c r="J188" s="150" t="s">
        <v>1818</v>
      </c>
      <c r="L188" s="375"/>
      <c r="N188" s="374" t="s">
        <v>838</v>
      </c>
      <c r="O188" s="150" t="s">
        <v>2167</v>
      </c>
      <c r="V188" s="3064">
        <f>1.02*D188</f>
        <v>0</v>
      </c>
      <c r="W188" s="3064"/>
      <c r="X188" s="3064"/>
      <c r="Y188" s="3064"/>
      <c r="Z188" s="3064"/>
      <c r="AA188" s="3064"/>
      <c r="AB188" s="3064"/>
      <c r="AC188" s="3064"/>
      <c r="AD188" s="3064"/>
      <c r="AE188" s="3064"/>
      <c r="AF188" s="3064"/>
      <c r="AG188" s="3064"/>
      <c r="AH188" s="3064"/>
      <c r="AI188" s="3064"/>
      <c r="AJ188" s="3064"/>
      <c r="AK188" s="3064"/>
      <c r="AL188" s="3064"/>
      <c r="AM188" s="3064"/>
      <c r="AN188" s="3064"/>
      <c r="AO188" s="3064"/>
      <c r="AP188" s="3064"/>
      <c r="AQ188" s="3064"/>
      <c r="AR188" s="3064"/>
      <c r="AS188" s="3064"/>
      <c r="AT188" s="3064"/>
      <c r="AU188" s="3064"/>
      <c r="AV188" s="3064"/>
      <c r="AW188" s="3064"/>
      <c r="AX188" s="3064"/>
      <c r="AY188" s="3064"/>
      <c r="AZ188" s="3064"/>
      <c r="BA188" s="3064"/>
      <c r="BB188" s="3064"/>
      <c r="BC188" s="3064"/>
      <c r="BD188" s="3064"/>
      <c r="BE188" s="3064"/>
      <c r="BF188" s="3064"/>
      <c r="BG188" s="3064"/>
      <c r="BH188" s="3064"/>
      <c r="BI188" s="3064"/>
    </row>
    <row r="189" spans="1:256" ht="18.95"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95"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95"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95"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95"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95"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95"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95"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95"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95"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95"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95"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95" hidden="1" customHeight="1">
      <c r="A201" s="150" t="s">
        <v>1953</v>
      </c>
      <c r="B201" s="151" t="s">
        <v>2167</v>
      </c>
      <c r="L201" s="371"/>
      <c r="N201" s="150" t="s">
        <v>1953</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099" t="e">
        <f>#REF!&amp;", "&amp;#REF!</f>
        <v>#REF!</v>
      </c>
      <c r="B4" s="3099"/>
      <c r="C4" s="3099"/>
      <c r="D4" s="3099"/>
      <c r="E4" s="3099"/>
      <c r="F4" s="3099"/>
      <c r="G4" s="3099"/>
      <c r="H4" s="3099"/>
      <c r="I4" s="3099"/>
      <c r="J4" s="3099"/>
      <c r="K4" s="3099"/>
      <c r="L4" s="3099"/>
      <c r="M4" s="3099"/>
      <c r="N4" s="3099"/>
      <c r="O4" s="3099"/>
      <c r="P4" s="3099"/>
      <c r="Q4" s="3099"/>
      <c r="R4" s="3099"/>
      <c r="S4" s="3099"/>
      <c r="T4" s="3099"/>
      <c r="U4" s="3099"/>
      <c r="V4" s="3099"/>
      <c r="W4" s="3099"/>
      <c r="X4" s="3099"/>
      <c r="Y4" s="3099"/>
      <c r="Z4" s="3099"/>
      <c r="AA4" s="3099"/>
      <c r="AB4" s="3099"/>
      <c r="AC4" s="3099"/>
      <c r="AD4" s="3099"/>
      <c r="AE4" s="3099"/>
      <c r="AF4" s="3099"/>
      <c r="AG4" s="3099"/>
      <c r="AH4" s="3099"/>
      <c r="AI4" s="3099"/>
      <c r="AJ4" s="3099"/>
      <c r="AK4" s="3099"/>
      <c r="AL4" s="3099"/>
      <c r="AM4" s="3099"/>
      <c r="AN4" s="3099"/>
      <c r="AO4" s="3099"/>
      <c r="AP4" s="3099"/>
      <c r="AQ4" s="3099"/>
      <c r="AR4" s="3099"/>
      <c r="AS4" s="3099"/>
      <c r="AT4" s="3099"/>
      <c r="AU4" s="3099"/>
      <c r="AV4" s="3099"/>
      <c r="AW4" s="3099"/>
      <c r="AX4" s="3099"/>
      <c r="AY4" s="3099"/>
      <c r="AZ4" s="3099"/>
      <c r="BA4" s="3099"/>
      <c r="BB4" s="3099"/>
      <c r="BC4" s="3099"/>
      <c r="BD4" s="3099"/>
      <c r="BE4" s="3099"/>
      <c r="BF4" s="3099"/>
      <c r="BG4" s="3099"/>
      <c r="BH4" s="3099"/>
      <c r="BI4" s="3099"/>
      <c r="BJ4" s="3099"/>
      <c r="BK4" s="3099"/>
      <c r="BL4" s="3099"/>
      <c r="BM4" s="3099"/>
      <c r="BN4" s="3099"/>
      <c r="BO4" s="3099"/>
      <c r="BP4" s="3099"/>
      <c r="BQ4" s="3099"/>
      <c r="BR4" s="3099"/>
      <c r="BS4" s="3099"/>
      <c r="BT4" s="3099"/>
      <c r="BU4" s="3099"/>
      <c r="BV4" s="3099"/>
      <c r="BW4" s="3099"/>
      <c r="BX4" s="3099"/>
      <c r="BY4" s="3099"/>
      <c r="BZ4" s="3099"/>
      <c r="CA4" s="3099"/>
      <c r="CB4" s="3099"/>
      <c r="CC4" s="3099"/>
      <c r="CD4" s="3099"/>
      <c r="CE4" s="3099"/>
      <c r="CF4" s="3099"/>
      <c r="CG4" s="3099"/>
      <c r="CH4" s="3099"/>
      <c r="CI4" s="3099"/>
      <c r="CJ4" s="3099"/>
      <c r="CK4" s="3099"/>
      <c r="CL4" s="3099"/>
      <c r="CM4" s="3099"/>
      <c r="CN4" s="3099"/>
      <c r="CO4" s="3099"/>
      <c r="CP4" s="3099"/>
      <c r="CQ4" s="3099"/>
      <c r="CR4" s="3099"/>
      <c r="CS4" s="3099"/>
      <c r="CT4" s="3099"/>
      <c r="CU4" s="3099"/>
      <c r="CV4" s="3099"/>
      <c r="CW4" s="3099"/>
      <c r="CX4" s="3099"/>
      <c r="CY4" s="3099"/>
      <c r="CZ4" s="3099"/>
      <c r="DA4" s="3099"/>
      <c r="DB4" s="3099"/>
      <c r="DC4" s="3099"/>
      <c r="DD4" s="3099"/>
      <c r="DE4" s="3099"/>
      <c r="DF4" s="3099"/>
      <c r="DG4" s="3099"/>
      <c r="DH4" s="3099"/>
      <c r="DI4" s="3099"/>
      <c r="DJ4" s="3099"/>
      <c r="DK4" s="3099"/>
      <c r="DL4" s="3099"/>
      <c r="DM4" s="3099"/>
      <c r="DN4" s="3099"/>
      <c r="DO4" s="3099"/>
      <c r="DP4" s="3099"/>
      <c r="DQ4" s="3099"/>
      <c r="DR4" s="3099"/>
      <c r="DS4" s="3099"/>
      <c r="DT4" s="3099"/>
      <c r="DU4" s="3099"/>
      <c r="DV4" s="3099"/>
      <c r="DW4" s="3099"/>
      <c r="DX4" s="3099"/>
      <c r="DY4" s="3099"/>
      <c r="DZ4" s="3099"/>
      <c r="EA4" s="3099"/>
      <c r="EB4" s="3099"/>
      <c r="EC4" s="3099"/>
    </row>
    <row r="5" spans="1:153" ht="34.5" customHeight="1" thickTop="1" thickBot="1">
      <c r="A5" s="3086" t="s">
        <v>3749</v>
      </c>
      <c r="B5" s="3088" t="s">
        <v>3750</v>
      </c>
      <c r="C5" s="3090" t="s">
        <v>3859</v>
      </c>
      <c r="D5" s="3090" t="s">
        <v>3860</v>
      </c>
      <c r="E5" s="3090" t="s">
        <v>3757</v>
      </c>
      <c r="F5" s="3104" t="s">
        <v>3758</v>
      </c>
      <c r="G5" s="3104" t="s">
        <v>3759</v>
      </c>
      <c r="H5" s="3104" t="s">
        <v>3760</v>
      </c>
      <c r="I5" s="3092" t="s">
        <v>2271</v>
      </c>
      <c r="J5" s="3093"/>
      <c r="K5" s="3094"/>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97" t="s">
        <v>2385</v>
      </c>
      <c r="BP5" s="3097" t="s">
        <v>2388</v>
      </c>
      <c r="BQ5" s="3097" t="s">
        <v>2388</v>
      </c>
      <c r="BR5" s="3097"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5" t="s">
        <v>3866</v>
      </c>
      <c r="CO5" s="3095" t="s">
        <v>3867</v>
      </c>
      <c r="CP5" s="3095" t="s">
        <v>3868</v>
      </c>
      <c r="CQ5" s="3112" t="str">
        <f>"Chuoãi "&amp;EF6&amp;" laép vaøo xaø  CÑX "&amp;EF6 &amp; "-X"</f>
        <v>Chuoãi Polymer laép vaøo xaø  CÑX Polymer-X</v>
      </c>
      <c r="CR5" s="3108" t="s">
        <v>3769</v>
      </c>
      <c r="CS5" s="3101" t="s">
        <v>3869</v>
      </c>
      <c r="CT5" s="3101" t="s">
        <v>3870</v>
      </c>
      <c r="CU5" s="3095" t="s">
        <v>3770</v>
      </c>
      <c r="CV5" s="3095" t="s">
        <v>3771</v>
      </c>
      <c r="CW5" s="3095" t="s">
        <v>3772</v>
      </c>
      <c r="CX5" s="3095" t="s">
        <v>3773</v>
      </c>
      <c r="CY5" s="3106" t="s">
        <v>3871</v>
      </c>
      <c r="CZ5" s="3106" t="s">
        <v>3872</v>
      </c>
      <c r="DA5" s="3106" t="s">
        <v>3873</v>
      </c>
      <c r="DB5" s="3101" t="s">
        <v>3874</v>
      </c>
      <c r="DC5" s="3106" t="s">
        <v>3875</v>
      </c>
      <c r="DD5" s="3101" t="s">
        <v>3779</v>
      </c>
      <c r="DE5" s="3106" t="s">
        <v>3876</v>
      </c>
      <c r="DF5" s="3097" t="s">
        <v>3780</v>
      </c>
      <c r="DG5" s="3097" t="s">
        <v>3781</v>
      </c>
      <c r="DH5" s="3097" t="s">
        <v>3782</v>
      </c>
      <c r="DI5" s="3097" t="s">
        <v>3783</v>
      </c>
      <c r="DJ5" s="3097" t="s">
        <v>3784</v>
      </c>
      <c r="DK5" s="3097" t="s">
        <v>3786</v>
      </c>
      <c r="DL5" s="3097" t="s">
        <v>3786</v>
      </c>
      <c r="DM5" s="3097" t="s">
        <v>785</v>
      </c>
      <c r="DN5" s="3097" t="s">
        <v>672</v>
      </c>
      <c r="DO5" s="3097" t="s">
        <v>1893</v>
      </c>
      <c r="DP5" s="3097" t="s">
        <v>1125</v>
      </c>
      <c r="DQ5" s="3097" t="s">
        <v>1916</v>
      </c>
      <c r="DR5" s="3097" t="s">
        <v>393</v>
      </c>
      <c r="DS5" s="3097" t="s">
        <v>1907</v>
      </c>
      <c r="DT5" s="3097" t="s">
        <v>1189</v>
      </c>
      <c r="DU5" s="3097" t="s">
        <v>1190</v>
      </c>
      <c r="DV5" s="408"/>
      <c r="DW5" s="408"/>
      <c r="DX5" s="408"/>
      <c r="DY5" s="408"/>
      <c r="DZ5" s="408"/>
      <c r="EA5" s="388"/>
      <c r="EB5" s="3101" t="s">
        <v>3877</v>
      </c>
      <c r="EC5" s="3110" t="s">
        <v>2591</v>
      </c>
    </row>
    <row r="6" spans="1:153" s="414" customFormat="1" ht="99.75" customHeight="1" thickTop="1">
      <c r="A6" s="3087"/>
      <c r="B6" s="3089"/>
      <c r="C6" s="3091"/>
      <c r="D6" s="3091"/>
      <c r="E6" s="3091"/>
      <c r="F6" s="3105"/>
      <c r="G6" s="3105"/>
      <c r="H6" s="3105"/>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098"/>
      <c r="BP6" s="3098"/>
      <c r="BQ6" s="3098"/>
      <c r="BR6" s="3098"/>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6"/>
      <c r="CO6" s="3096"/>
      <c r="CP6" s="3096"/>
      <c r="CQ6" s="3096"/>
      <c r="CR6" s="3109"/>
      <c r="CS6" s="3102"/>
      <c r="CT6" s="3102"/>
      <c r="CU6" s="3096"/>
      <c r="CV6" s="3096"/>
      <c r="CW6" s="3096"/>
      <c r="CX6" s="3096"/>
      <c r="CY6" s="3107"/>
      <c r="CZ6" s="3107"/>
      <c r="DA6" s="3107"/>
      <c r="DB6" s="3102"/>
      <c r="DC6" s="3107"/>
      <c r="DD6" s="3102"/>
      <c r="DE6" s="3107"/>
      <c r="DF6" s="3103"/>
      <c r="DG6" s="3103"/>
      <c r="DH6" s="3103"/>
      <c r="DI6" s="3103"/>
      <c r="DJ6" s="3103"/>
      <c r="DK6" s="3103"/>
      <c r="DL6" s="3103"/>
      <c r="DM6" s="3103"/>
      <c r="DN6" s="3103"/>
      <c r="DO6" s="3103"/>
      <c r="DP6" s="3103"/>
      <c r="DQ6" s="3103"/>
      <c r="DR6" s="3103"/>
      <c r="DS6" s="3103"/>
      <c r="DT6" s="3103"/>
      <c r="DU6" s="3103"/>
      <c r="DV6" s="391" t="s">
        <v>3880</v>
      </c>
      <c r="DW6" s="391" t="s">
        <v>3881</v>
      </c>
      <c r="DX6" s="391" t="s">
        <v>3882</v>
      </c>
      <c r="DY6" s="391" t="s">
        <v>3883</v>
      </c>
      <c r="DZ6" s="391" t="s">
        <v>3884</v>
      </c>
      <c r="EA6" s="388" t="s">
        <v>3841</v>
      </c>
      <c r="EB6" s="3102"/>
      <c r="EC6" s="3111"/>
      <c r="ED6" s="412" t="s">
        <v>1034</v>
      </c>
      <c r="EE6" s="413" t="s">
        <v>188</v>
      </c>
      <c r="EF6" s="414" t="str">
        <f>IF(EE6="P","Polymer","treo 2 baùt")</f>
        <v>Polymer</v>
      </c>
    </row>
    <row r="7" spans="1:153" ht="18.95"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95"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100" t="s">
        <v>1632</v>
      </c>
      <c r="B99" s="3100"/>
      <c r="C99" s="3100"/>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46"/>
    <col min="3" max="3" width="19" style="2948" customWidth="1"/>
    <col min="4" max="4" width="48.109375" style="1946" customWidth="1"/>
    <col min="5" max="5" width="23.109375" style="1946" customWidth="1"/>
    <col min="6" max="6" width="39.6640625" style="2949" customWidth="1"/>
    <col min="7" max="16384" width="8.77734375" style="1946"/>
  </cols>
  <sheetData>
    <row r="1" spans="1:7" ht="25.15" customHeight="1">
      <c r="A1" s="1946">
        <f>MAX(B:B)</f>
        <v>41</v>
      </c>
      <c r="C1" s="2948" t="s">
        <v>2595</v>
      </c>
      <c r="D1" s="1946" t="s">
        <v>6442</v>
      </c>
      <c r="E1" s="1946" t="s">
        <v>6466</v>
      </c>
      <c r="F1" s="2949" t="s">
        <v>510</v>
      </c>
      <c r="G1" s="1946" t="s">
        <v>510</v>
      </c>
    </row>
    <row r="2" spans="1:7" ht="25.15" hidden="1" customHeight="1">
      <c r="B2" s="1946">
        <v>1</v>
      </c>
      <c r="C2" s="2948" t="s">
        <v>6434</v>
      </c>
      <c r="D2" s="1946" t="str">
        <f>IF(LEN(E2)&gt;0,E2,VLOOKUP(C2,DG!A:C,3,0))</f>
        <v>Số trụ trung thế hiện hữu</v>
      </c>
      <c r="F2" s="2949" t="str">
        <f>IF(LEN(C2)&gt;0,VLOOKUP(C2,DG!A:C,3,0),"")</f>
        <v>Số trụ trung thế hiện hữu</v>
      </c>
    </row>
    <row r="3" spans="1:7" ht="25.15" hidden="1" customHeight="1">
      <c r="B3" s="1946">
        <v>2</v>
      </c>
      <c r="C3" s="2948" t="s">
        <v>6435</v>
      </c>
      <c r="D3" s="1946" t="str">
        <f>IF(LEN(E3)&gt;0,E3,VLOOKUP(C3,DG!A:C,3,0))</f>
        <v>Số trụ trung thế NC, XDM</v>
      </c>
      <c r="F3" s="2949" t="str">
        <f>IF(LEN(C3)&gt;0,VLOOKUP(C3,DG!A:C,3,0),"")</f>
        <v>Số trụ trung thế NC, XDM</v>
      </c>
    </row>
    <row r="4" spans="1:7" ht="25.15" hidden="1" customHeight="1">
      <c r="B4" s="1946">
        <v>3</v>
      </c>
      <c r="C4" s="2948" t="s">
        <v>6436</v>
      </c>
      <c r="D4" s="1946" t="str">
        <f>IF(LEN(E4)&gt;0,E4,VLOOKUP(C4,DG!A:C,3,0))</f>
        <v>Khoảng cách hiện hữu</v>
      </c>
      <c r="F4" s="2949" t="str">
        <f>IF(LEN(C4)&gt;0,VLOOKUP(C4,DG!A:C,3,0),"")</f>
        <v>Khoảng cách hiện hữu</v>
      </c>
    </row>
    <row r="5" spans="1:7" ht="25.15" hidden="1" customHeight="1">
      <c r="B5" s="1946">
        <v>4</v>
      </c>
      <c r="C5" s="2948" t="s">
        <v>6437</v>
      </c>
      <c r="D5" s="1946" t="str">
        <f>IF(LEN(E5)&gt;0,E5,VLOOKUP(C5,DG!A:C,3,0))</f>
        <v>Khoảng cách NC, XDM</v>
      </c>
      <c r="F5" s="2949" t="str">
        <f>IF(LEN(C5)&gt;0,VLOOKUP(C5,DG!A:C,3,0),"")</f>
        <v>Khoảng cách NC, XDM</v>
      </c>
    </row>
    <row r="6" spans="1:7" ht="25.15" hidden="1" customHeight="1">
      <c r="B6" s="1946">
        <v>5</v>
      </c>
      <c r="C6" s="2948" t="s">
        <v>6438</v>
      </c>
      <c r="D6" s="1946" t="str">
        <f>IF(LEN(E6)&gt;0,E6,VLOOKUP(C6,DG!A:C,3,0))</f>
        <v>Cáp 24KV ACXH 50mm2</v>
      </c>
      <c r="F6" s="2949" t="str">
        <f>IF(LEN(C6)&gt;0,VLOOKUP(C6,DG!A:C,3,0),"")</f>
        <v>Cáp 24KV ACXH 50mm2</v>
      </c>
    </row>
    <row r="7" spans="1:7" ht="25.15" hidden="1" customHeight="1">
      <c r="B7" s="1946">
        <v>6</v>
      </c>
      <c r="C7" s="2948" t="s">
        <v>190</v>
      </c>
      <c r="D7" s="1946" t="str">
        <f>IF(LEN(E7)&gt;0,E7,VLOOKUP(C7,DG!A:C,3,0))</f>
        <v>Hình thức trụ hiện hữu</v>
      </c>
      <c r="F7" s="2949" t="str">
        <f>IF(LEN(C7)&gt;0,VLOOKUP(C7,DG!A:C,3,0),"")</f>
        <v>Hình thức trụ hiện hữu</v>
      </c>
    </row>
    <row r="8" spans="1:7" ht="25.15" hidden="1" customHeight="1">
      <c r="B8" s="1946">
        <v>7</v>
      </c>
      <c r="C8" s="2948" t="s">
        <v>6439</v>
      </c>
      <c r="D8" s="1946" t="str">
        <f>IF(LEN(E8)&gt;0,E8,VLOOKUP(C8,DG!A:C,3,0))</f>
        <v>Hình thức trụ thiết kế</v>
      </c>
      <c r="F8" s="2949" t="str">
        <f>IF(LEN(C8)&gt;0,VLOOKUP(C8,DG!A:C,3,0),"")</f>
        <v>Hình thức trụ thiết kế</v>
      </c>
    </row>
    <row r="9" spans="1:7" ht="25.15" hidden="1" customHeight="1">
      <c r="B9" s="1946">
        <v>8</v>
      </c>
      <c r="C9" s="2948" t="s">
        <v>6440</v>
      </c>
      <c r="D9" s="1946" t="str">
        <f>IF(LEN(E9)&gt;0,E9,VLOOKUP(C9,DG!A:C,3,0))</f>
        <v>Trụ bê tông ly tâm 12m hiện hữu</v>
      </c>
      <c r="F9" s="2949" t="str">
        <f>IF(LEN(C9)&gt;0,VLOOKUP(C9,DG!A:C,3,0),"")</f>
        <v>Trụ bê tông ly tâm 12m hiện hữu</v>
      </c>
    </row>
    <row r="10" spans="1:7" ht="25.1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15" hidden="1" customHeight="1">
      <c r="B11" s="1946">
        <v>10</v>
      </c>
      <c r="C11" s="2948" t="s">
        <v>2300</v>
      </c>
      <c r="D11" s="1946" t="str">
        <f>IF(LEN(E11)&gt;0,E11,VLOOKUP(C11,DG!A:C,3,0))</f>
        <v>Móng bê tông trụ đôi 12m</v>
      </c>
      <c r="F11" s="2949" t="str">
        <f>IF(LEN(C11)&gt;0,VLOOKUP(C11,DG!A:C,3,0),"")</f>
        <v>Móng bê tông trụ đôi 12m</v>
      </c>
    </row>
    <row r="12" spans="1:7" ht="25.15" hidden="1" customHeight="1">
      <c r="B12" s="1946">
        <v>11</v>
      </c>
      <c r="C12" s="2948" t="s">
        <v>2230</v>
      </c>
      <c r="D12" s="1946" t="str">
        <f>IF(LEN(E12)&gt;0,E12,VLOOKUP(C12,DG!A:C,3,0))</f>
        <v>Tiếp địa lặp lại trụ 12m</v>
      </c>
      <c r="F12" s="2949" t="str">
        <f>IF(LEN(C12)&gt;0,VLOOKUP(C12,DG!A:C,3,0),"")</f>
        <v>Tiếp địa lặp lại trụ 12m</v>
      </c>
    </row>
    <row r="13" spans="1:7" ht="25.15" hidden="1" customHeight="1">
      <c r="B13" s="1946">
        <v>12</v>
      </c>
      <c r="C13" s="2948" t="s">
        <v>2286</v>
      </c>
      <c r="D13" s="1946" t="str">
        <f>IF(LEN(E13)&gt;0,E13,VLOOKUP(C13,DG!A:C,3,0))</f>
        <v>X-21ĐL</v>
      </c>
      <c r="E13" s="1946" t="s">
        <v>2286</v>
      </c>
      <c r="F13" s="2949" t="str">
        <f>IF(LEN(C13)&gt;0,VLOOKUP(C13,DG!A:C,3,0),"")</f>
        <v>Bộ xà lệch đơn L75x75x8 dài 2,1m: X-21ĐL</v>
      </c>
    </row>
    <row r="14" spans="1:7" ht="25.15" hidden="1" customHeight="1">
      <c r="B14" s="1946">
        <v>13</v>
      </c>
      <c r="C14" s="2948" t="s">
        <v>890</v>
      </c>
      <c r="D14" s="1946" t="str">
        <f>IF(LEN(E14)&gt;0,E14,VLOOKUP(C14,DG!A:C,3,0))</f>
        <v>X-21KL</v>
      </c>
      <c r="E14" s="1946" t="s">
        <v>890</v>
      </c>
      <c r="F14" s="2949" t="str">
        <f>IF(LEN(C14)&gt;0,VLOOKUP(C14,DG!A:C,3,0),"")</f>
        <v>Bộ xà lệch kép L75x75x8 dài 2,1m: X-21KL</v>
      </c>
    </row>
    <row r="15" spans="1:7" ht="25.1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1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15" hidden="1" customHeight="1">
      <c r="B17" s="1946">
        <v>16</v>
      </c>
      <c r="C17" s="2948" t="s">
        <v>360</v>
      </c>
      <c r="D17" s="1946" t="str">
        <f>IF(LEN(E17)&gt;0,E17,VLOOKUP(C17,DG!A:C,3,0))</f>
        <v>Bộ xà composite 2,4m bắt FCO</v>
      </c>
      <c r="F17" s="2949" t="str">
        <f>IF(LEN(C17)&gt;0,VLOOKUP(C17,DG!A:C,3,0),"")</f>
        <v>Bộ xà composite 2,4m bắt FCO</v>
      </c>
    </row>
    <row r="18" spans="2:6" ht="25.1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1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15" hidden="1" customHeight="1">
      <c r="B20" s="1946">
        <v>19</v>
      </c>
      <c r="C20" s="2948" t="s">
        <v>6407</v>
      </c>
      <c r="D20" s="1946" t="str">
        <f>IF(LEN(E20)&gt;0,E20,VLOOKUP(C20,DG!A:C,3,0))</f>
        <v>Chuỗi sứ treo Polymer kép 25kV lắp vào xà</v>
      </c>
      <c r="F20" s="2949" t="str">
        <f>IF(LEN(C20)&gt;0,VLOOKUP(C20,DG!A:C,3,0),"")</f>
        <v>Chuỗi sứ treo Polymer kép 25kV lắp vào xà</v>
      </c>
    </row>
    <row r="21" spans="2:6" ht="25.15" hidden="1" customHeight="1">
      <c r="B21" s="1946">
        <v>20</v>
      </c>
      <c r="C21" s="2948" t="s">
        <v>2493</v>
      </c>
      <c r="D21" s="1946" t="str">
        <f>IF(LEN(E21)&gt;0,E21,VLOOKUP(C21,DG!A:C,3,0))</f>
        <v>Bộ Uclevis đỡ dây trung hòa</v>
      </c>
      <c r="F21" s="2949" t="str">
        <f>IF(LEN(C21)&gt;0,VLOOKUP(C21,DG!A:C,3,0),"")</f>
        <v>Bộ Uclevis đỡ dây trung hòa</v>
      </c>
    </row>
    <row r="22" spans="2:6" ht="25.1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15" hidden="1" customHeight="1">
      <c r="B23" s="1946">
        <v>22</v>
      </c>
      <c r="C23" s="2948" t="s">
        <v>6390</v>
      </c>
      <c r="D23" s="1946" t="str">
        <f>IF(LEN(E23)&gt;0,E23,VLOOKUP(C23,DG!A:C,3,0))</f>
        <v>Dây buộc đầu sứ cỡ dây 50mm2</v>
      </c>
      <c r="F23" s="2949" t="str">
        <f>IF(LEN(C23)&gt;0,VLOOKUP(C23,DG!A:C,3,0),"")</f>
        <v>Dây buộc đầu sứ cỡ dây 50mm2</v>
      </c>
    </row>
    <row r="24" spans="2:6" ht="25.15" hidden="1" customHeight="1">
      <c r="B24" s="1946">
        <v>23</v>
      </c>
      <c r="C24" s="2948" t="s">
        <v>6441</v>
      </c>
      <c r="D24" s="1946" t="str">
        <f>IF(LEN(E24)&gt;0,E24,VLOOKUP(C24,DG!A:C,3,0))</f>
        <v>Dây buộc cổ sứ đôi cỡ dây 50 mm2</v>
      </c>
      <c r="F24" s="2949" t="str">
        <f>IF(LEN(C24)&gt;0,VLOOKUP(C24,DG!A:C,3,0),"")</f>
        <v>Dây buộc cổ sứ đôi cỡ dây 50 mm2</v>
      </c>
    </row>
    <row r="25" spans="2:6" ht="25.15" hidden="1" customHeight="1">
      <c r="B25" s="1946">
        <v>24</v>
      </c>
      <c r="C25" s="2948" t="s">
        <v>6395</v>
      </c>
      <c r="D25" s="1946" t="str">
        <f>IF(LEN(E25)&gt;0,E25,VLOOKUP(C25,DG!A:C,3,0))</f>
        <v>Dây buộc đầu sứ cỡ dây 185mm2</v>
      </c>
      <c r="F25" s="2949" t="str">
        <f>IF(LEN(C25)&gt;0,VLOOKUP(C25,DG!A:C,3,0),"")</f>
        <v>Dây buộc đầu sứ cỡ dây 185mm2</v>
      </c>
    </row>
    <row r="26" spans="2:6" ht="25.15" hidden="1" customHeight="1">
      <c r="B26" s="1946">
        <v>25</v>
      </c>
      <c r="C26" s="2948" t="s">
        <v>235</v>
      </c>
      <c r="D26" s="1946" t="str">
        <f>IF(LEN(E26)&gt;0,E26,VLOOKUP(C26,DG!A:C,3,0))</f>
        <v>Kẹp quai 4/0</v>
      </c>
      <c r="F26" s="2949" t="str">
        <f>IF(LEN(C26)&gt;0,VLOOKUP(C26,DG!A:C,3,0),"")</f>
        <v>Kẹp quai 4/0</v>
      </c>
    </row>
    <row r="27" spans="2:6" ht="25.15" hidden="1" customHeight="1">
      <c r="B27" s="1946">
        <v>26</v>
      </c>
      <c r="C27" s="2948" t="s">
        <v>1045</v>
      </c>
      <c r="D27" s="1946" t="str">
        <f>IF(LEN(E27)&gt;0,E27,VLOOKUP(C27,DG!A:C,3,0))</f>
        <v>Kẹp hotline 4/0</v>
      </c>
      <c r="F27" s="2949" t="str">
        <f>IF(LEN(C27)&gt;0,VLOOKUP(C27,DG!A:C,3,0),"")</f>
        <v>Kẹp hotline 4/0</v>
      </c>
    </row>
    <row r="28" spans="2:6" ht="25.15" hidden="1" customHeight="1">
      <c r="B28" s="1946">
        <v>27</v>
      </c>
      <c r="C28" s="2948" t="s">
        <v>4328</v>
      </c>
      <c r="D28" s="1946" t="str">
        <f>IF(LEN(C28)&gt;0,VLOOKUP(C28,DG!A:C,3,0),"")</f>
        <v/>
      </c>
      <c r="F28" s="2949" t="str">
        <f>IF(LEN(C28)&gt;0,VLOOKUP(C28,DG!A:C,3,0),"")</f>
        <v/>
      </c>
    </row>
    <row r="29" spans="2:6" ht="25.15" hidden="1" customHeight="1">
      <c r="B29" s="1946">
        <v>28</v>
      </c>
      <c r="C29" s="2948" t="s">
        <v>4328</v>
      </c>
      <c r="D29" s="1946" t="str">
        <f>IF(LEN(C29)&gt;0,VLOOKUP(C29,DG!A:C,3,0),"")</f>
        <v/>
      </c>
      <c r="F29" s="2949" t="str">
        <f>IF(LEN(C29)&gt;0,VLOOKUP(C29,DG!A:C,3,0),"")</f>
        <v/>
      </c>
    </row>
    <row r="30" spans="2:6" ht="25.15" hidden="1" customHeight="1">
      <c r="B30" s="1946">
        <v>29</v>
      </c>
      <c r="C30" s="2948" t="s">
        <v>5714</v>
      </c>
      <c r="D30" s="1946" t="str">
        <f>IF(LEN(E30)&gt;0,E30,VLOOKUP(C30,DG!A:C,3,0))</f>
        <v>Băng keo cách điện trung thế</v>
      </c>
      <c r="F30" s="2949" t="str">
        <f>IF(LEN(C30)&gt;0,VLOOKUP(C30,DG!A:C,3,0),"")</f>
        <v>Băng keo cách điện trung thế</v>
      </c>
    </row>
    <row r="31" spans="2:6" ht="25.15" hidden="1" customHeight="1">
      <c r="B31" s="1946">
        <v>30</v>
      </c>
      <c r="C31" s="2948" t="s">
        <v>1648</v>
      </c>
      <c r="D31" s="1946" t="str">
        <f>IF(LEN(E31)&gt;0,E31,VLOOKUP(C31,DG!A:C,3,0))</f>
        <v>FCO 24kV - 100A</v>
      </c>
      <c r="F31" s="2949" t="str">
        <f>IF(LEN(C31)&gt;0,VLOOKUP(C31,DG!A:C,3,0),"")</f>
        <v>FCO 24kV - 100A</v>
      </c>
    </row>
    <row r="32" spans="2:6" ht="25.15" hidden="1" customHeight="1">
      <c r="B32" s="1946">
        <v>31</v>
      </c>
      <c r="C32" s="2948" t="s">
        <v>6447</v>
      </c>
      <c r="D32" s="1946" t="str">
        <f>IF(LEN(E32)&gt;0,E32,VLOOKUP(C32,DG!A:C,3,0))</f>
        <v>Tháo Bộ cách điện đứng+ty sứ</v>
      </c>
      <c r="F32" s="2949" t="str">
        <f>IF(LEN(C32)&gt;0,VLOOKUP(C32,DG!A:C,3,0),"")</f>
        <v>Tháo Bộ cách điện đứng+ty sứ</v>
      </c>
    </row>
    <row r="33" spans="2:6" ht="25.15" hidden="1" customHeight="1">
      <c r="B33" s="1946">
        <v>32</v>
      </c>
      <c r="C33" s="2948" t="s">
        <v>6462</v>
      </c>
      <c r="D33" s="1946" t="str">
        <f>IF(LEN(E33)&gt;0,E33,VLOOKUP(C33,DG!A:C,3,0))</f>
        <v>Tháo Bộ cách điện đỉnh+ty sứ đơn</v>
      </c>
      <c r="F33" s="2949" t="str">
        <f>IF(LEN(C33)&gt;0,VLOOKUP(C33,DG!A:C,3,0),"")</f>
        <v>Tháo Bộ cách điện đỉnh+ty sứ đơn</v>
      </c>
    </row>
    <row r="34" spans="2:6" ht="25.15" hidden="1" customHeight="1">
      <c r="B34" s="1946">
        <v>33</v>
      </c>
      <c r="C34" s="2950" t="s">
        <v>6449</v>
      </c>
      <c r="D34" s="1946" t="str">
        <f>IF(LEN(E34)&gt;0,E34,VLOOKUP(C34,DG!A:C,3,0))</f>
        <v>Tháo Bộ Uclevis đỡ dây trung hòa</v>
      </c>
      <c r="F34" s="2949" t="str">
        <f>IF(LEN(C34)&gt;0,VLOOKUP(C34,DG!A:C,3,0),"")</f>
        <v>Tháo Bộ Uclevis đỡ dây trung hòa</v>
      </c>
    </row>
    <row r="35" spans="2:6" ht="25.15" hidden="1" customHeight="1">
      <c r="B35" s="1946">
        <v>34</v>
      </c>
      <c r="C35" s="2948" t="s">
        <v>6445</v>
      </c>
      <c r="D35" s="1946" t="str">
        <f>IF(LEN(E35)&gt;0,E35,VLOOKUP(C35,DG!A:C,3,0))</f>
        <v>Tháo Đà 1,66m</v>
      </c>
      <c r="F35" s="2949" t="str">
        <f>IF(LEN(C35)&gt;0,VLOOKUP(C35,DG!A:C,3,0),"")</f>
        <v>Tháo Đà 1,66m</v>
      </c>
    </row>
    <row r="36" spans="2:6" ht="25.15" hidden="1" customHeight="1">
      <c r="B36" s="1946">
        <v>35</v>
      </c>
      <c r="C36" s="2948" t="s">
        <v>6467</v>
      </c>
      <c r="D36" s="1946" t="str">
        <f>IF(LEN(E36)&gt;0,E36,VLOOKUP(C36,DG!A:C,3,0))</f>
        <v>Nhổ Trụ bê tông ly tâm 12m</v>
      </c>
      <c r="F36" s="2949" t="str">
        <f>IF(LEN(C36)&gt;0,VLOOKUP(C36,DG!A:C,3,0),"")</f>
        <v>Nhổ Trụ bê tông ly tâm 12m</v>
      </c>
    </row>
    <row r="37" spans="2:6" ht="25.15" hidden="1" customHeight="1">
      <c r="B37" s="1946">
        <v>36</v>
      </c>
      <c r="C37" s="2948" t="s">
        <v>6448</v>
      </c>
      <c r="D37" s="1946" t="str">
        <f>IF(LEN(E37)&gt;0,E37,VLOOKUP(C37,DG!A:C,3,0))</f>
        <v>Lắp Bộ cách điện đứng+ty sứ</v>
      </c>
      <c r="F37" s="2949" t="str">
        <f>IF(LEN(C37)&gt;0,VLOOKUP(C37,DG!A:C,3,0),"")</f>
        <v>Lắp Bộ cách điện đứng+ty sứ</v>
      </c>
    </row>
    <row r="38" spans="2:6" ht="25.15" hidden="1" customHeight="1">
      <c r="B38" s="1946">
        <v>37</v>
      </c>
      <c r="C38" s="2948" t="s">
        <v>6463</v>
      </c>
      <c r="D38" s="1946" t="str">
        <f>IF(LEN(E38)&gt;0,E38,VLOOKUP(C38,DG!A:C,3,0))</f>
        <v>Lắp Bộ cách điện đỉnh+ty sứ đơn</v>
      </c>
      <c r="F38" s="2949" t="str">
        <f>IF(LEN(C38)&gt;0,VLOOKUP(C38,DG!A:C,3,0),"")</f>
        <v>Lắp Bộ cách điện đỉnh+ty sứ đơn</v>
      </c>
    </row>
    <row r="39" spans="2:6" ht="25.15" hidden="1" customHeight="1">
      <c r="B39" s="1946">
        <v>38</v>
      </c>
      <c r="C39" s="2950" t="s">
        <v>6450</v>
      </c>
      <c r="D39" s="1946" t="str">
        <f>IF(LEN(E39)&gt;0,E39,VLOOKUP(C39,DG!A:C,3,0))</f>
        <v>Lắp Bộ Uclevis đỡ dây trung hòa</v>
      </c>
      <c r="F39" s="2949" t="str">
        <f>IF(LEN(C39)&gt;0,VLOOKUP(C39,DG!A:C,3,0),"")</f>
        <v>Lắp Bộ Uclevis đỡ dây trung hòa</v>
      </c>
    </row>
    <row r="40" spans="2:6" ht="25.15" hidden="1" customHeight="1">
      <c r="B40" s="1946">
        <v>39</v>
      </c>
      <c r="C40" s="2948" t="s">
        <v>6472</v>
      </c>
      <c r="D40" s="1946" t="str">
        <f>IF(LEN(E40)&gt;0,E40,VLOOKUP(C40,DG!A:C,3,0))</f>
        <v>Lắp Bộ xà lệch đơn L75x75x8 dài 2m</v>
      </c>
      <c r="F40" s="2949" t="str">
        <f>IF(LEN(C40)&gt;0,VLOOKUP(C40,DG!A:C,3,0),"")</f>
        <v>Lắp Bộ xà lệch đơn L75x75x8 dài 2m</v>
      </c>
    </row>
    <row r="41" spans="2:6" ht="25.15" hidden="1" customHeight="1">
      <c r="B41" s="1946">
        <v>40</v>
      </c>
      <c r="C41" s="2948" t="s">
        <v>6446</v>
      </c>
      <c r="D41" s="1946" t="str">
        <f>IF(LEN(E41)&gt;0,E41,VLOOKUP(C41,DG!A:C,3,0))</f>
        <v>Lắp Đà 1,66m</v>
      </c>
      <c r="F41" s="2949" t="str">
        <f>IF(LEN(C41)&gt;0,VLOOKUP(C41,DG!A:C,3,0),"")</f>
        <v>Lắp Đà 1,66m</v>
      </c>
    </row>
    <row r="42" spans="2:6" ht="25.15" hidden="1" customHeight="1">
      <c r="B42" s="1946">
        <v>41</v>
      </c>
      <c r="C42" s="2948" t="s">
        <v>6475</v>
      </c>
      <c r="D42" s="1946" t="str">
        <f>IF(LEN(E42)&gt;0,E42,VLOOKUP(C42,DG!A:C,3,0))</f>
        <v>Ghi chú</v>
      </c>
      <c r="F42" s="2949" t="str">
        <f>IF(LEN(C42)&gt;0,VLOOKUP(C42,DG!A:C,3,0),"")</f>
        <v>Ghi chú</v>
      </c>
    </row>
    <row r="43" spans="2:6" ht="25.15" hidden="1" customHeight="1">
      <c r="C43" s="2948" t="s">
        <v>6468</v>
      </c>
      <c r="D43" s="1946" t="str">
        <f>IF(LEN(E43)&gt;0,E43,VLOOKUP(C43,DG!A:C,3,0))</f>
        <v>Trồng Trụ bê tông ly tâm 12m</v>
      </c>
      <c r="F43" s="2949" t="str">
        <f>IF(LEN(C43)&gt;0,VLOOKUP(C43,DG!A:C,3,0),"")</f>
        <v>Trồng Trụ bê tông ly tâm 12m</v>
      </c>
    </row>
    <row r="44" spans="2:6" ht="25.15" hidden="1" customHeight="1">
      <c r="C44" s="2948" t="s">
        <v>6412</v>
      </c>
      <c r="D44" s="1946" t="str">
        <f>IF(LEN(E44)&gt;0,E44,VLOOKUP(C44,DG!A:C,3,0))</f>
        <v>Cáp 24KV ACXH 70mm2</v>
      </c>
      <c r="F44" s="2949" t="str">
        <f>IF(LEN(C44)&gt;0,VLOOKUP(C44,DG!A:C,3,0),"")</f>
        <v>Cáp 24KV ACXH 70mm2</v>
      </c>
    </row>
    <row r="45" spans="2:6" ht="25.15" hidden="1" customHeight="1">
      <c r="C45" s="2948" t="s">
        <v>6378</v>
      </c>
      <c r="D45" s="1946" t="str">
        <f>IF(LEN(E45)&gt;0,E45,VLOOKUP(C45,DG!A:C,3,0))</f>
        <v>Cáp đồng bọc 24KV-CXV-25</v>
      </c>
      <c r="F45" s="2949" t="str">
        <f>IF(LEN(C45)&gt;0,VLOOKUP(C45,DG!A:C,3,0),"")</f>
        <v>Cáp đồng bọc 24KV-CXV-25</v>
      </c>
    </row>
    <row r="46" spans="2:6" ht="25.15" hidden="1" customHeight="1">
      <c r="C46" s="2948" t="s">
        <v>6379</v>
      </c>
      <c r="D46" s="1946" t="str">
        <f>IF(LEN(E46)&gt;0,E46,VLOOKUP(C46,DG!A:C,3,0))</f>
        <v>Cáp đồng bọc 24KV-CXV-95</v>
      </c>
      <c r="F46" s="2949" t="str">
        <f>IF(LEN(C46)&gt;0,VLOOKUP(C46,DG!A:C,3,0),"")</f>
        <v>Cáp đồng bọc 24KV-CXV-95</v>
      </c>
    </row>
    <row r="47" spans="2:6" ht="25.15" hidden="1" customHeight="1">
      <c r="C47" s="2948" t="s">
        <v>301</v>
      </c>
      <c r="D47" s="1946" t="str">
        <f>IF(LEN(E47)&gt;0,E47,VLOOKUP(C47,DG!A:C,3,0))</f>
        <v>Trụ bê tông ly tâm 14m</v>
      </c>
      <c r="F47" s="2949" t="str">
        <f>IF(LEN(C47)&gt;0,VLOOKUP(C47,DG!A:C,3,0),"")</f>
        <v>Trụ bê tông ly tâm 14m</v>
      </c>
    </row>
    <row r="48" spans="2:6" ht="25.15" hidden="1" customHeight="1">
      <c r="C48" s="2948" t="s">
        <v>218</v>
      </c>
      <c r="D48" s="1946" t="str">
        <f>IF(LEN(E48)&gt;0,E48,VLOOKUP(C48,DG!A:C,3,0))</f>
        <v>Móng M12</v>
      </c>
      <c r="F48" s="2949" t="str">
        <f>IF(LEN(C48)&gt;0,VLOOKUP(C48,DG!A:C,3,0),"")</f>
        <v>Móng M12</v>
      </c>
    </row>
    <row r="49" spans="3:6" ht="25.15" hidden="1" customHeight="1">
      <c r="C49" s="2948" t="s">
        <v>2301</v>
      </c>
      <c r="D49" s="1946" t="str">
        <f>IF(LEN(E49)&gt;0,E49,VLOOKUP(C49,DG!A:C,3,0))</f>
        <v>Móng bê tông trụ đơn 14m</v>
      </c>
      <c r="F49" s="2949" t="str">
        <f>IF(LEN(C49)&gt;0,VLOOKUP(C49,DG!A:C,3,0),"")</f>
        <v>Móng bê tông trụ đơn 14m</v>
      </c>
    </row>
    <row r="50" spans="3:6" ht="25.15" hidden="1" customHeight="1">
      <c r="C50" s="2948" t="s">
        <v>6382</v>
      </c>
      <c r="D50" s="1946" t="str">
        <f>IF(LEN(E50)&gt;0,E50,VLOOKUP(C50,DG!A:C,3,0))</f>
        <v>Móng bê tông trụ đôi 14m</v>
      </c>
      <c r="F50" s="2949" t="str">
        <f>IF(LEN(C50)&gt;0,VLOOKUP(C50,DG!A:C,3,0),"")</f>
        <v>Móng bê tông trụ đôi 14m</v>
      </c>
    </row>
    <row r="51" spans="3:6" ht="25.15" hidden="1" customHeight="1">
      <c r="C51" s="2948" t="s">
        <v>6405</v>
      </c>
      <c r="D51" s="1946" t="str">
        <f>IF(LEN(E51)&gt;0,E51,VLOOKUP(C51,DG!A:C,3,0))</f>
        <v>Tiếp địa trụ Recloser, LBS</v>
      </c>
      <c r="F51" s="2949" t="str">
        <f>IF(LEN(C51)&gt;0,VLOOKUP(C51,DG!A:C,3,0),"")</f>
        <v>Tiếp địa trụ Recloser, LBS</v>
      </c>
    </row>
    <row r="52" spans="3:6" ht="25.15" hidden="1" customHeight="1">
      <c r="C52" s="2948" t="s">
        <v>6471</v>
      </c>
      <c r="D52" s="1946" t="str">
        <f>IF(LEN(E52)&gt;0,E52,VLOOKUP(C52,DG!A:C,3,0))</f>
        <v>Tháo Bộ xà lệch đơn L75x75x8 dài 2m</v>
      </c>
      <c r="F52" s="2949" t="str">
        <f>IF(LEN(C52)&gt;0,VLOOKUP(C52,DG!A:C,3,0),"")</f>
        <v>Tháo Bộ xà lệch đơn L75x75x8 dài 2m</v>
      </c>
    </row>
    <row r="53" spans="3:6" ht="25.15" hidden="1" customHeight="1">
      <c r="C53" s="2948" t="s">
        <v>2287</v>
      </c>
      <c r="D53" s="1946" t="str">
        <f>IF(LEN(E53)&gt;0,E53,VLOOKUP(C53,DG!A:C,3,0))</f>
        <v>Bộ xà lệch đơn L75x75x8 dài 2m: X-20ĐL2/3</v>
      </c>
      <c r="F53" s="2949" t="str">
        <f>IF(LEN(C53)&gt;0,VLOOKUP(C53,DG!A:C,3,0),"")</f>
        <v>Bộ xà lệch đơn L75x75x8 dài 2m: X-20ĐL2/3</v>
      </c>
    </row>
    <row r="54" spans="3:6" ht="25.15" hidden="1" customHeight="1">
      <c r="C54" s="2948" t="s">
        <v>2114</v>
      </c>
      <c r="D54" s="1946" t="str">
        <f>IF(LEN(E54)&gt;0,E54,VLOOKUP(C54,DG!A:C,3,0))</f>
        <v>Bộ xà lệch kép L75x75x8 dài 2m: X-20KL2/3</v>
      </c>
      <c r="F54" s="2949" t="str">
        <f>IF(LEN(C54)&gt;0,VLOOKUP(C54,DG!A:C,3,0),"")</f>
        <v>Bộ xà lệch kép L75x75x8 dài 2m: X-20KL2/3</v>
      </c>
    </row>
    <row r="55" spans="3:6" ht="25.15" hidden="1" customHeight="1">
      <c r="C55" s="2948" t="s">
        <v>2527</v>
      </c>
      <c r="D55" s="1946" t="str">
        <f>IF(LEN(E55)&gt;0,E55,VLOOKUP(C55,DG!A:C,3,0))</f>
        <v>Bộ Uclevis đỡ dây trung hòa trụ ghép</v>
      </c>
      <c r="F55" s="2949" t="str">
        <f>IF(LEN(C55)&gt;0,VLOOKUP(C55,DG!A:C,3,0),"")</f>
        <v>Bộ Uclevis đỡ dây trung hòa trụ ghép</v>
      </c>
    </row>
    <row r="56" spans="3:6" ht="25.15" hidden="1" customHeight="1">
      <c r="C56" s="2948" t="s">
        <v>6392</v>
      </c>
      <c r="D56" s="1946" t="str">
        <f>IF(LEN(E56)&gt;0,E56,VLOOKUP(C56,DG!A:C,3,0))</f>
        <v>Dây buộc đầu sứ cỡ dây 95mm2</v>
      </c>
      <c r="F56" s="2949" t="str">
        <f>IF(LEN(C56)&gt;0,VLOOKUP(C56,DG!A:C,3,0),"")</f>
        <v>Dây buộc đầu sứ cỡ dây 95mm2</v>
      </c>
    </row>
    <row r="57" spans="3:6" ht="25.15" hidden="1" customHeight="1">
      <c r="C57" s="2948" t="s">
        <v>6383</v>
      </c>
      <c r="D57" s="1946" t="str">
        <f>IF(LEN(E57)&gt;0,E57,VLOOKUP(C57,DG!A:C,3,0))</f>
        <v>Dây buộc cổ sứ cỡ dây 50mm2</v>
      </c>
      <c r="F57" s="2949" t="str">
        <f>IF(LEN(C57)&gt;0,VLOOKUP(C57,DG!A:C,3,0),"")</f>
        <v>Dây buộc cổ sứ cỡ dây 50mm2</v>
      </c>
    </row>
    <row r="58" spans="3:6" ht="25.15" hidden="1" customHeight="1">
      <c r="C58" s="2948" t="s">
        <v>6385</v>
      </c>
      <c r="D58" s="1946" t="str">
        <f>IF(LEN(E58)&gt;0,E58,VLOOKUP(C58,DG!A:C,3,0))</f>
        <v>Dây buộc cổ sứ cỡ dây 95mm2</v>
      </c>
      <c r="F58" s="2949" t="str">
        <f>IF(LEN(C58)&gt;0,VLOOKUP(C58,DG!A:C,3,0),"")</f>
        <v>Dây buộc cổ sứ cỡ dây 95mm2</v>
      </c>
    </row>
    <row r="59" spans="3:6" ht="25.15" hidden="1" customHeight="1">
      <c r="C59" s="2948" t="s">
        <v>6388</v>
      </c>
      <c r="D59" s="1946" t="str">
        <f>IF(LEN(E59)&gt;0,E59,VLOOKUP(C59,DG!A:C,3,0))</f>
        <v>Dây buộc cổ sứ cỡ dây 185mm2</v>
      </c>
      <c r="F59" s="2949" t="str">
        <f>IF(LEN(C59)&gt;0,VLOOKUP(C59,DG!A:C,3,0),"")</f>
        <v>Dây buộc cổ sứ cỡ dây 185mm2</v>
      </c>
    </row>
    <row r="60" spans="3:6" ht="25.15" hidden="1" customHeight="1">
      <c r="C60" s="2948" t="s">
        <v>532</v>
      </c>
      <c r="D60" s="1946" t="str">
        <f>IF(LEN(E60)&gt;0,E60,VLOOKUP(C60,DG!A:C,3,0))</f>
        <v>Bộ khóa néo dây trung hòa vào trụ ghép</v>
      </c>
      <c r="F60" s="2949" t="str">
        <f>IF(LEN(C60)&gt;0,VLOOKUP(C60,DG!A:C,3,0),"")</f>
        <v>Bộ khóa néo dây trung hòa vào trụ ghép</v>
      </c>
    </row>
    <row r="61" spans="3:6" ht="25.15" hidden="1" customHeight="1">
      <c r="C61" s="2948" t="s">
        <v>1575</v>
      </c>
      <c r="D61" s="1946" t="str">
        <f>IF(LEN(E61)&gt;0,E61,VLOOKUP(C61,DG!A:C,3,0))</f>
        <v>Kẹp ép WR cỡ dây 50mm2</v>
      </c>
      <c r="F61" s="2949" t="str">
        <f>IF(LEN(C61)&gt;0,VLOOKUP(C61,DG!A:C,3,0),"")</f>
        <v>Kẹp ép WR cỡ dây 50mm2</v>
      </c>
    </row>
    <row r="62" spans="3:6" ht="25.15" hidden="1" customHeight="1">
      <c r="C62" s="2948" t="s">
        <v>1576</v>
      </c>
      <c r="D62" s="1946" t="str">
        <f>IF(LEN(E62)&gt;0,E62,VLOOKUP(C62,DG!A:C,3,0))</f>
        <v>Kẹp ép WR cỡ dây 70mm2</v>
      </c>
      <c r="F62" s="2949" t="str">
        <f>IF(LEN(C62)&gt;0,VLOOKUP(C62,DG!A:C,3,0),"")</f>
        <v>Kẹp ép WR cỡ dây 70mm2</v>
      </c>
    </row>
    <row r="63" spans="3:6" ht="25.15" hidden="1" customHeight="1">
      <c r="C63" s="2948" t="s">
        <v>239</v>
      </c>
      <c r="D63" s="1946" t="str">
        <f>IF(LEN(E63)&gt;0,E63,VLOOKUP(C63,DG!A:C,3,0))</f>
        <v>Kẹp ép WR cỡ dây 95mm2</v>
      </c>
      <c r="F63" s="2949" t="str">
        <f>IF(LEN(C63)&gt;0,VLOOKUP(C63,DG!A:C,3,0),"")</f>
        <v>Kẹp ép WR cỡ dây 95mm2</v>
      </c>
    </row>
    <row r="64" spans="3:6" ht="25.15" hidden="1" customHeight="1">
      <c r="C64" s="2948" t="s">
        <v>6398</v>
      </c>
      <c r="D64" s="1946" t="str">
        <f>IF(LEN(E64)&gt;0,E64,VLOOKUP(C64,DG!A:C,3,0))</f>
        <v>Ống nối dây AC-</v>
      </c>
      <c r="F64" s="2949" t="str">
        <f>IF(LEN(C64)&gt;0,VLOOKUP(C64,DG!A:C,3,0),"")</f>
        <v>Ống nối dây AC-</v>
      </c>
    </row>
    <row r="65" spans="3:6" ht="25.15" hidden="1" customHeight="1">
      <c r="C65" s="2948" t="s">
        <v>4602</v>
      </c>
      <c r="D65" s="1946" t="str">
        <f>IF(LEN(E65)&gt;0,E65,VLOOKUP(C65,DG!A:C,3,0))</f>
        <v>Ống co nhiệt</v>
      </c>
      <c r="F65" s="2949" t="str">
        <f>IF(LEN(C65)&gt;0,VLOOKUP(C65,DG!A:C,3,0),"")</f>
        <v>Ống co nhiệt</v>
      </c>
    </row>
    <row r="66" spans="3:6" ht="25.15" hidden="1" customHeight="1">
      <c r="D66" s="1946" t="str">
        <f>IF(LEN(C66)&gt;0,VLOOKUP(C66,DG!A:C,3,0),"")</f>
        <v/>
      </c>
      <c r="E66" s="1946" t="s">
        <v>510</v>
      </c>
      <c r="F66" s="2949" t="str">
        <f>IF(LEN(C66)&gt;0,VLOOKUP(C66,DG!A:C,3,0),"")</f>
        <v/>
      </c>
    </row>
    <row r="67" spans="3:6" ht="25.15" hidden="1" customHeight="1">
      <c r="C67" s="2948" t="s">
        <v>4328</v>
      </c>
      <c r="D67" s="1946" t="str">
        <f>IF(LEN(C67)&gt;0,VLOOKUP(C67,DG!A:C,3,0),"")</f>
        <v/>
      </c>
      <c r="F67" s="2949" t="str">
        <f>IF(LEN(C67)&gt;0,VLOOKUP(C67,DG!A:C,3,0),"")</f>
        <v/>
      </c>
    </row>
    <row r="68" spans="3:6" ht="25.15" hidden="1" customHeight="1">
      <c r="C68" s="2948" t="s">
        <v>4328</v>
      </c>
      <c r="D68" s="1946" t="str">
        <f>IF(LEN(C68)&gt;0,VLOOKUP(C68,DG!A:C,3,0),"")</f>
        <v/>
      </c>
      <c r="F68" s="2949" t="str">
        <f>IF(LEN(C68)&gt;0,VLOOKUP(C68,DG!A:C,3,0),"")</f>
        <v/>
      </c>
    </row>
    <row r="69" spans="3:6" ht="25.15" hidden="1" customHeight="1">
      <c r="C69" s="2948" t="s">
        <v>4328</v>
      </c>
      <c r="D69" s="1946" t="str">
        <f>IF(LEN(C69)&gt;0,VLOOKUP(C69,DG!A:C,3,0),"")</f>
        <v/>
      </c>
      <c r="F69" s="2949" t="str">
        <f>IF(LEN(C69)&gt;0,VLOOKUP(C69,DG!A:C,3,0),"")</f>
        <v/>
      </c>
    </row>
    <row r="70" spans="3:6" ht="25.15" hidden="1" customHeight="1">
      <c r="C70" s="2948" t="s">
        <v>4328</v>
      </c>
      <c r="D70" s="1946" t="str">
        <f>IF(LEN(C70)&gt;0,VLOOKUP(C70,DG!A:C,3,0),"")</f>
        <v/>
      </c>
      <c r="F70" s="2949" t="str">
        <f>IF(LEN(C70)&gt;0,VLOOKUP(C70,DG!A:C,3,0),"")</f>
        <v/>
      </c>
    </row>
    <row r="71" spans="3:6" ht="25.15" hidden="1" customHeight="1">
      <c r="C71" s="2948" t="s">
        <v>4328</v>
      </c>
      <c r="D71" s="1946" t="str">
        <f>IF(LEN(C71)&gt;0,VLOOKUP(C71,DG!A:C,3,0),"")</f>
        <v/>
      </c>
      <c r="F71" s="2949" t="str">
        <f>IF(LEN(C71)&gt;0,VLOOKUP(C71,DG!A:C,3,0),"")</f>
        <v/>
      </c>
    </row>
    <row r="72" spans="3:6" ht="25.15" hidden="1" customHeight="1">
      <c r="C72" s="2948" t="s">
        <v>4328</v>
      </c>
      <c r="D72" s="1946" t="str">
        <f>IF(LEN(C72)&gt;0,VLOOKUP(C72,DG!A:C,3,0),"")</f>
        <v/>
      </c>
      <c r="F72" s="2949" t="str">
        <f>IF(LEN(C72)&gt;0,VLOOKUP(C72,DG!A:C,3,0),"")</f>
        <v/>
      </c>
    </row>
    <row r="73" spans="3:6" ht="25.15" hidden="1" customHeight="1">
      <c r="C73" s="2948" t="s">
        <v>4328</v>
      </c>
      <c r="D73" s="1946" t="str">
        <f>IF(LEN(C73)&gt;0,VLOOKUP(C73,DG!A:C,3,0),"")</f>
        <v/>
      </c>
      <c r="F73" s="2949" t="str">
        <f>IF(LEN(C73)&gt;0,VLOOKUP(C73,DG!A:C,3,0),"")</f>
        <v/>
      </c>
    </row>
    <row r="74" spans="3:6" ht="25.15" hidden="1" customHeight="1">
      <c r="C74" s="2948" t="s">
        <v>4328</v>
      </c>
      <c r="D74" s="1946" t="str">
        <f>IF(LEN(C74)&gt;0,VLOOKUP(C74,DG!A:C,3,0),"")</f>
        <v/>
      </c>
      <c r="F74" s="2949" t="str">
        <f>IF(LEN(C74)&gt;0,VLOOKUP(C74,DG!A:C,3,0),"")</f>
        <v/>
      </c>
    </row>
    <row r="75" spans="3:6" ht="25.15" hidden="1" customHeight="1">
      <c r="C75" s="2948" t="s">
        <v>4328</v>
      </c>
      <c r="D75" s="1946" t="str">
        <f>IF(LEN(C75)&gt;0,VLOOKUP(C75,DG!A:C,3,0),"")</f>
        <v/>
      </c>
      <c r="F75" s="2949" t="str">
        <f>IF(LEN(C75)&gt;0,VLOOKUP(C75,DG!A:C,3,0),"")</f>
        <v/>
      </c>
    </row>
    <row r="76" spans="3:6" ht="25.15" hidden="1" customHeight="1">
      <c r="C76" s="2948" t="s">
        <v>4328</v>
      </c>
      <c r="D76" s="1946" t="str">
        <f>IF(LEN(C76)&gt;0,VLOOKUP(C76,DG!A:C,3,0),"")</f>
        <v/>
      </c>
      <c r="F76" s="2949" t="str">
        <f>IF(LEN(C76)&gt;0,VLOOKUP(C76,DG!A:C,3,0),"")</f>
        <v/>
      </c>
    </row>
    <row r="77" spans="3:6" ht="25.15" hidden="1" customHeight="1">
      <c r="C77" s="2948" t="s">
        <v>4328</v>
      </c>
      <c r="D77" s="1946" t="str">
        <f>IF(LEN(C77)&gt;0,VLOOKUP(C77,DG!A:C,3,0),"")</f>
        <v/>
      </c>
      <c r="F77" s="2949" t="str">
        <f>IF(LEN(C77)&gt;0,VLOOKUP(C77,DG!A:C,3,0),"")</f>
        <v/>
      </c>
    </row>
    <row r="78" spans="3:6" ht="25.15" hidden="1" customHeight="1">
      <c r="C78" s="2948" t="s">
        <v>4328</v>
      </c>
      <c r="D78" s="1946" t="str">
        <f>IF(LEN(C78)&gt;0,VLOOKUP(C78,DG!A:C,3,0),"")</f>
        <v/>
      </c>
      <c r="F78" s="2949" t="str">
        <f>IF(LEN(C78)&gt;0,VLOOKUP(C78,DG!A:C,3,0),"")</f>
        <v/>
      </c>
    </row>
    <row r="79" spans="3:6" ht="25.15" hidden="1" customHeight="1">
      <c r="C79" s="2948" t="s">
        <v>4328</v>
      </c>
      <c r="D79" s="1946" t="str">
        <f>IF(LEN(C79)&gt;0,VLOOKUP(C79,DG!A:C,3,0),"")</f>
        <v/>
      </c>
      <c r="F79" s="2949" t="str">
        <f>IF(LEN(C79)&gt;0,VLOOKUP(C79,DG!A:C,3,0),"")</f>
        <v/>
      </c>
    </row>
    <row r="80" spans="3:6" ht="25.15" hidden="1" customHeight="1">
      <c r="C80" s="2948" t="s">
        <v>4328</v>
      </c>
      <c r="D80" s="1946" t="str">
        <f>IF(LEN(C80)&gt;0,VLOOKUP(C80,DG!A:C,3,0),"")</f>
        <v/>
      </c>
      <c r="F80" s="2949" t="str">
        <f>IF(LEN(C80)&gt;0,VLOOKUP(C80,DG!A:C,3,0),"")</f>
        <v/>
      </c>
    </row>
    <row r="81" spans="3:6" ht="25.15" hidden="1" customHeight="1">
      <c r="C81" s="2948" t="s">
        <v>4328</v>
      </c>
      <c r="D81" s="1946" t="str">
        <f>IF(LEN(C81)&gt;0,VLOOKUP(C81,DG!A:C,3,0),"")</f>
        <v/>
      </c>
      <c r="F81" s="2949" t="str">
        <f>IF(LEN(C81)&gt;0,VLOOKUP(C81,DG!A:C,3,0),"")</f>
        <v/>
      </c>
    </row>
    <row r="82" spans="3:6" ht="25.15" hidden="1" customHeight="1">
      <c r="C82" s="2948" t="s">
        <v>4328</v>
      </c>
      <c r="D82" s="1946" t="str">
        <f>IF(LEN(C82)&gt;0,VLOOKUP(C82,DG!A:C,3,0),"")</f>
        <v/>
      </c>
      <c r="F82" s="2949" t="str">
        <f>IF(LEN(C82)&gt;0,VLOOKUP(C82,DG!A:C,3,0),"")</f>
        <v/>
      </c>
    </row>
    <row r="83" spans="3:6" ht="25.15" hidden="1" customHeight="1">
      <c r="C83" s="2948" t="s">
        <v>4328</v>
      </c>
      <c r="D83" s="1946" t="str">
        <f>IF(LEN(C83)&gt;0,VLOOKUP(C83,DG!A:C,3,0),"")</f>
        <v/>
      </c>
      <c r="F83" s="2949" t="str">
        <f>IF(LEN(C83)&gt;0,VLOOKUP(C83,DG!A:C,3,0),"")</f>
        <v/>
      </c>
    </row>
    <row r="84" spans="3:6" ht="25.1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15" hidden="1" customHeight="1">
      <c r="C85" s="2948" t="s">
        <v>785</v>
      </c>
      <c r="D85" s="1946" t="str">
        <f>IF(LEN(E85)&gt;0,E85,VLOOKUP(C85,DG!A:C,3,0))</f>
        <v>LTD 1P 24KV - 800A</v>
      </c>
      <c r="F85" s="2949" t="str">
        <f>IF(LEN(C85)&gt;0,VLOOKUP(C85,DG!A:C,3,0),"")</f>
        <v>LTD 1P 24KV - 800A</v>
      </c>
    </row>
    <row r="86" spans="3:6" ht="25.15" hidden="1" customHeight="1">
      <c r="C86" s="2948" t="s">
        <v>1369</v>
      </c>
      <c r="D86" s="1946" t="str">
        <f>IF(LEN(E86)&gt;0,E86,VLOOKUP(C86,DG!A:C,3,0))</f>
        <v>Chống sét van LA-18KV-10KA</v>
      </c>
      <c r="F86" s="2949" t="str">
        <f>IF(LEN(C86)&gt;0,VLOOKUP(C86,DG!A:C,3,0),"")</f>
        <v>Chống sét van LA-18KV-10KA</v>
      </c>
    </row>
    <row r="87" spans="3:6" ht="25.15" hidden="1" customHeight="1">
      <c r="C87" s="2948" t="s">
        <v>299</v>
      </c>
      <c r="D87" s="1946" t="str">
        <f>IF(LEN(E87)&gt;0,E87,VLOOKUP(C87,DG!A:C,3,0))</f>
        <v>Trụ bê tông ly tâm 10.5m</v>
      </c>
      <c r="F87" s="2949" t="str">
        <f>IF(LEN(C87)&gt;0,VLOOKUP(C87,DG!A:C,3,0),"")</f>
        <v>Trụ bê tông ly tâm 10.5m</v>
      </c>
    </row>
    <row r="88" spans="3:6" ht="25.15" hidden="1" customHeight="1">
      <c r="C88" s="2948" t="s">
        <v>1182</v>
      </c>
      <c r="D88" s="1946" t="str">
        <f>IF(LEN(E88)&gt;0,E88,VLOOKUP(C88,DG!A:C,3,0))</f>
        <v>Trụ bê tông ly tâm 12m trồng thủ công</v>
      </c>
      <c r="F88" s="2949" t="str">
        <f>IF(LEN(C88)&gt;0,VLOOKUP(C88,DG!A:C,3,0),"")</f>
        <v>Trụ bê tông ly tâm 12m trồng thủ công</v>
      </c>
    </row>
    <row r="89" spans="3:6" ht="25.15" hidden="1" customHeight="1">
      <c r="C89" s="2948" t="s">
        <v>756</v>
      </c>
      <c r="D89" s="1946" t="str">
        <f>IF(LEN(E89)&gt;0,E89,VLOOKUP(C89,DG!A:C,3,0))</f>
        <v>Trụ bê tông ly tâm 20m</v>
      </c>
      <c r="F89" s="2949" t="str">
        <f>IF(LEN(C89)&gt;0,VLOOKUP(C89,DG!A:C,3,0),"")</f>
        <v>Trụ bê tông ly tâm 20m</v>
      </c>
    </row>
    <row r="90" spans="3:6" ht="25.15" hidden="1" customHeight="1">
      <c r="C90" s="2948" t="s">
        <v>2171</v>
      </c>
      <c r="D90" s="1946" t="str">
        <f>IF(LEN(E90)&gt;0,E90,VLOOKUP(C90,DG!A:C,3,0))</f>
        <v>Móng M8a</v>
      </c>
      <c r="F90" s="2949" t="str">
        <f>IF(LEN(C90)&gt;0,VLOOKUP(C90,DG!A:C,3,0),"")</f>
        <v>Móng M8a</v>
      </c>
    </row>
    <row r="91" spans="3:6" ht="25.15" hidden="1" customHeight="1">
      <c r="C91" s="2948" t="s">
        <v>302</v>
      </c>
      <c r="D91" s="1946" t="str">
        <f>IF(LEN(E91)&gt;0,E91,VLOOKUP(C91,DG!A:C,3,0))</f>
        <v>Móng M12a</v>
      </c>
      <c r="F91" s="2949" t="str">
        <f>IF(LEN(C91)&gt;0,VLOOKUP(C91,DG!A:C,3,0),"")</f>
        <v>Móng M12a</v>
      </c>
    </row>
    <row r="92" spans="3:6" ht="25.15" hidden="1" customHeight="1">
      <c r="C92" s="2948" t="s">
        <v>2257</v>
      </c>
      <c r="D92" s="1946" t="str">
        <f>IF(LEN(E92)&gt;0,E92,VLOOKUP(C92,DG!A:C,3,0))</f>
        <v>Móng M12b</v>
      </c>
      <c r="F92" s="2949" t="str">
        <f>IF(LEN(C92)&gt;0,VLOOKUP(C92,DG!A:C,3,0),"")</f>
        <v>Móng M12b</v>
      </c>
    </row>
    <row r="93" spans="3:6" ht="25.15" hidden="1" customHeight="1">
      <c r="C93" s="2948" t="s">
        <v>303</v>
      </c>
      <c r="D93" s="1946" t="str">
        <f>IF(LEN(E93)&gt;0,E93,VLOOKUP(C93,DG!A:C,3,0))</f>
        <v>Móng M12aa</v>
      </c>
      <c r="F93" s="2949" t="str">
        <f>IF(LEN(C93)&gt;0,VLOOKUP(C93,DG!A:C,3,0),"")</f>
        <v>Móng M12aa</v>
      </c>
    </row>
    <row r="94" spans="3:6" ht="25.15" hidden="1" customHeight="1">
      <c r="C94" s="2948" t="s">
        <v>635</v>
      </c>
      <c r="D94" s="1946" t="str">
        <f>IF(LEN(E94)&gt;0,E94,VLOOKUP(C94,DG!A:C,3,0))</f>
        <v>Móng M12ba</v>
      </c>
      <c r="F94" s="2949" t="str">
        <f>IF(LEN(C94)&gt;0,VLOOKUP(C94,DG!A:C,3,0),"")</f>
        <v>Móng M12ba</v>
      </c>
    </row>
    <row r="95" spans="3:6" ht="25.15" hidden="1" customHeight="1">
      <c r="C95" s="2948" t="s">
        <v>644</v>
      </c>
      <c r="D95" s="1946" t="str">
        <f>IF(LEN(E95)&gt;0,E95,VLOOKUP(C95,DG!A:C,3,0))</f>
        <v>Móng M12bb</v>
      </c>
      <c r="F95" s="2949" t="str">
        <f>IF(LEN(C95)&gt;0,VLOOKUP(C95,DG!A:C,3,0),"")</f>
        <v>Móng M12bb</v>
      </c>
    </row>
    <row r="96" spans="3:6" ht="25.15" hidden="1" customHeight="1">
      <c r="C96" s="2948" t="s">
        <v>643</v>
      </c>
      <c r="D96" s="1946" t="str">
        <f>IF(LEN(E96)&gt;0,E96,VLOOKUP(C96,DG!A:C,3,0))</f>
        <v>Móng M12-2a</v>
      </c>
      <c r="F96" s="2949" t="str">
        <f>IF(LEN(C96)&gt;0,VLOOKUP(C96,DG!A:C,3,0),"")</f>
        <v>Móng M12-2a</v>
      </c>
    </row>
    <row r="97" spans="3:6" ht="25.15" hidden="1" customHeight="1">
      <c r="C97" s="2948" t="s">
        <v>1896</v>
      </c>
      <c r="D97" s="1946" t="str">
        <f>IF(LEN(E97)&gt;0,E97,VLOOKUP(C97,DG!A:C,3,0))</f>
        <v>Móng M12-2b</v>
      </c>
      <c r="F97" s="2949" t="str">
        <f>IF(LEN(C97)&gt;0,VLOOKUP(C97,DG!A:C,3,0),"")</f>
        <v>Móng M12-2b</v>
      </c>
    </row>
    <row r="98" spans="3:6" ht="25.15" hidden="1" customHeight="1">
      <c r="C98" s="2948" t="s">
        <v>509</v>
      </c>
      <c r="D98" s="1946" t="str">
        <f>IF(LEN(E98)&gt;0,E98,VLOOKUP(C98,DG!A:C,3,0))</f>
        <v>Móng M12-2bn</v>
      </c>
      <c r="F98" s="2949" t="str">
        <f>IF(LEN(C98)&gt;0,VLOOKUP(C98,DG!A:C,3,0),"")</f>
        <v>Móng M12-2bn</v>
      </c>
    </row>
    <row r="99" spans="3:6" ht="25.15" hidden="1" customHeight="1">
      <c r="C99" s="2948" t="s">
        <v>2175</v>
      </c>
      <c r="D99" s="1946" t="str">
        <f>IF(LEN(E99)&gt;0,E99,VLOOKUP(C99,DG!A:C,3,0))</f>
        <v>Móng M12b-aa(hh)</v>
      </c>
      <c r="F99" s="2949" t="str">
        <f>IF(LEN(C99)&gt;0,VLOOKUP(C99,DG!A:C,3,0),"")</f>
        <v>Móng M12b-aa(hh)</v>
      </c>
    </row>
    <row r="100" spans="3:6" ht="25.15" hidden="1" customHeight="1">
      <c r="C100" s="2948" t="s">
        <v>741</v>
      </c>
      <c r="D100" s="1946" t="str">
        <f>IF(LEN(E100)&gt;0,E100,VLOOKUP(C100,DG!A:C,3,0))</f>
        <v>Móng chống ngập nước</v>
      </c>
      <c r="F100" s="2949" t="str">
        <f>IF(LEN(C100)&gt;0,VLOOKUP(C100,DG!A:C,3,0),"")</f>
        <v>Móng chống ngập nước</v>
      </c>
    </row>
    <row r="101" spans="3:6" ht="25.15" hidden="1" customHeight="1">
      <c r="C101" s="2948" t="s">
        <v>2298</v>
      </c>
      <c r="D101" s="1946" t="str">
        <f>IF(LEN(E101)&gt;0,E101,VLOOKUP(C101,DG!A:C,3,0))</f>
        <v>Móng M12 phá đá</v>
      </c>
      <c r="F101" s="2949" t="str">
        <f>IF(LEN(C101)&gt;0,VLOOKUP(C101,DG!A:C,3,0),"")</f>
        <v>Móng M12 phá đá</v>
      </c>
    </row>
    <row r="102" spans="3:6" ht="25.15" hidden="1" customHeight="1">
      <c r="C102" s="2948" t="s">
        <v>2299</v>
      </c>
      <c r="D102" s="1946" t="str">
        <f>IF(LEN(E102)&gt;0,E102,VLOOKUP(C102,DG!A:C,3,0))</f>
        <v>Móng bê tông trụ đơn 12m</v>
      </c>
      <c r="F102" s="2949" t="str">
        <f>IF(LEN(C102)&gt;0,VLOOKUP(C102,DG!A:C,3,0),"")</f>
        <v>Móng bê tông trụ đơn 12m</v>
      </c>
    </row>
    <row r="103" spans="3:6" ht="25.15" hidden="1" customHeight="1">
      <c r="C103" s="2948" t="s">
        <v>2258</v>
      </c>
      <c r="D103" s="1946" t="str">
        <f>IF(LEN(E103)&gt;0,E103,VLOOKUP(C103,DG!A:C,3,0))</f>
        <v>Móng bê tông trụ đôi 12m tim 500</v>
      </c>
      <c r="F103" s="2949" t="str">
        <f>IF(LEN(C103)&gt;0,VLOOKUP(C103,DG!A:C,3,0),"")</f>
        <v>Móng bê tông trụ đôi 12m tim 500</v>
      </c>
    </row>
    <row r="104" spans="3:6" ht="25.15" hidden="1" customHeight="1">
      <c r="C104" s="2948" t="s">
        <v>777</v>
      </c>
      <c r="D104" s="1946" t="str">
        <f>IF(LEN(E104)&gt;0,E104,VLOOKUP(C104,DG!A:C,3,0))</f>
        <v>Móng M14</v>
      </c>
      <c r="F104" s="2949" t="str">
        <f>IF(LEN(C104)&gt;0,VLOOKUP(C104,DG!A:C,3,0),"")</f>
        <v>Móng M14</v>
      </c>
    </row>
    <row r="105" spans="3:6" ht="25.15" hidden="1" customHeight="1">
      <c r="C105" s="2948" t="s">
        <v>645</v>
      </c>
      <c r="D105" s="1946" t="str">
        <f>IF(LEN(E105)&gt;0,E105,VLOOKUP(C105,DG!A:C,3,0))</f>
        <v>Móng M14a</v>
      </c>
      <c r="F105" s="2949" t="str">
        <f>IF(LEN(C105)&gt;0,VLOOKUP(C105,DG!A:C,3,0),"")</f>
        <v>Móng M14a</v>
      </c>
    </row>
    <row r="106" spans="3:6" ht="25.15" hidden="1" customHeight="1">
      <c r="C106" s="2948" t="s">
        <v>747</v>
      </c>
      <c r="D106" s="1946" t="str">
        <f>IF(LEN(E106)&gt;0,E106,VLOOKUP(C106,DG!A:C,3,0))</f>
        <v>Móng M14b</v>
      </c>
      <c r="F106" s="2949" t="str">
        <f>IF(LEN(C106)&gt;0,VLOOKUP(C106,DG!A:C,3,0),"")</f>
        <v>Móng M14b</v>
      </c>
    </row>
    <row r="107" spans="3:6" ht="25.15" hidden="1" customHeight="1">
      <c r="C107" s="2948" t="s">
        <v>646</v>
      </c>
      <c r="D107" s="1946" t="str">
        <f>IF(LEN(E107)&gt;0,E107,VLOOKUP(C107,DG!A:C,3,0))</f>
        <v>Móng M14aa</v>
      </c>
      <c r="F107" s="2949" t="str">
        <f>IF(LEN(C107)&gt;0,VLOOKUP(C107,DG!A:C,3,0),"")</f>
        <v>Móng M14aa</v>
      </c>
    </row>
    <row r="108" spans="3:6" ht="25.15" hidden="1" customHeight="1">
      <c r="C108" s="2948" t="s">
        <v>481</v>
      </c>
      <c r="D108" s="1946" t="str">
        <f>IF(LEN(E108)&gt;0,E108,VLOOKUP(C108,DG!A:C,3,0))</f>
        <v>Móng M14ba</v>
      </c>
      <c r="F108" s="2949" t="str">
        <f>IF(LEN(C108)&gt;0,VLOOKUP(C108,DG!A:C,3,0),"")</f>
        <v>Móng M14ba</v>
      </c>
    </row>
    <row r="109" spans="3:6" ht="25.15" hidden="1" customHeight="1">
      <c r="C109" s="2948" t="s">
        <v>482</v>
      </c>
      <c r="D109" s="1946" t="str">
        <f>IF(LEN(E109)&gt;0,E109,VLOOKUP(C109,DG!A:C,3,0))</f>
        <v>Móng M14bb</v>
      </c>
      <c r="F109" s="2949" t="str">
        <f>IF(LEN(C109)&gt;0,VLOOKUP(C109,DG!A:C,3,0),"")</f>
        <v>Móng M14bb</v>
      </c>
    </row>
    <row r="110" spans="3:6" ht="25.15" hidden="1" customHeight="1">
      <c r="C110" s="2948" t="s">
        <v>647</v>
      </c>
      <c r="D110" s="1946" t="str">
        <f>IF(LEN(E110)&gt;0,E110,VLOOKUP(C110,DG!A:C,3,0))</f>
        <v>Móng M14-2a</v>
      </c>
      <c r="F110" s="2949" t="str">
        <f>IF(LEN(C110)&gt;0,VLOOKUP(C110,DG!A:C,3,0),"")</f>
        <v>Móng M14-2a</v>
      </c>
    </row>
    <row r="111" spans="3:6" ht="25.15" hidden="1" customHeight="1">
      <c r="C111" s="2948" t="s">
        <v>284</v>
      </c>
      <c r="D111" s="1946" t="str">
        <f>IF(LEN(E111)&gt;0,E111,VLOOKUP(C111,DG!A:C,3,0))</f>
        <v>Móng M14-2bn</v>
      </c>
      <c r="F111" s="2949" t="str">
        <f>IF(LEN(C111)&gt;0,VLOOKUP(C111,DG!A:C,3,0),"")</f>
        <v>Móng M14-2bn</v>
      </c>
    </row>
    <row r="112" spans="3:6" ht="25.15" hidden="1" customHeight="1">
      <c r="C112" s="2948" t="s">
        <v>983</v>
      </c>
      <c r="D112" s="1946" t="str">
        <f>IF(LEN(E112)&gt;0,E112,VLOOKUP(C112,DG!A:C,3,0))</f>
        <v>Móng M14-4b</v>
      </c>
      <c r="F112" s="2949" t="str">
        <f>IF(LEN(C112)&gt;0,VLOOKUP(C112,DG!A:C,3,0),"")</f>
        <v>Móng M14-4b</v>
      </c>
    </row>
    <row r="113" spans="3:6" ht="25.15" hidden="1" customHeight="1">
      <c r="C113" s="2948" t="s">
        <v>311</v>
      </c>
      <c r="D113" s="1946" t="str">
        <f>IF(LEN(E113)&gt;0,E113,VLOOKUP(C113,DG!A:C,3,0))</f>
        <v>Móng BTCL-14-500</v>
      </c>
      <c r="F113" s="2949" t="str">
        <f>IF(LEN(C113)&gt;0,VLOOKUP(C113,DG!A:C,3,0),"")</f>
        <v>Móng BTCL-14-500</v>
      </c>
    </row>
    <row r="114" spans="3:6" ht="25.15" hidden="1" customHeight="1">
      <c r="C114" s="2948" t="s">
        <v>888</v>
      </c>
      <c r="D114" s="1946" t="str">
        <f>IF(LEN(E114)&gt;0,E114,VLOOKUP(C114,DG!A:C,3,0))</f>
        <v>Móng M20-4b</v>
      </c>
      <c r="F114" s="2949" t="str">
        <f>IF(LEN(C114)&gt;0,VLOOKUP(C114,DG!A:C,3,0),"")</f>
        <v>Móng M20-4b</v>
      </c>
    </row>
    <row r="115" spans="3:6" ht="25.1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1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1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1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1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1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15" hidden="1" customHeight="1">
      <c r="C121" s="2948" t="s">
        <v>4328</v>
      </c>
      <c r="D121" s="1946" t="str">
        <f>IF(LEN(C121)&gt;0,VLOOKUP(C121,DG!A:C,3,0),"")</f>
        <v/>
      </c>
      <c r="F121" s="2949" t="str">
        <f>IF(LEN(C121)&gt;0,VLOOKUP(C121,DG!A:C,3,0),"")</f>
        <v/>
      </c>
    </row>
    <row r="122" spans="3:6" ht="25.1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1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15" hidden="1" customHeight="1">
      <c r="C124" s="2948" t="s">
        <v>4328</v>
      </c>
      <c r="D124" s="1946" t="str">
        <f>IF(LEN(C124)&gt;0,VLOOKUP(C124,DG!A:C,3,0),"")</f>
        <v/>
      </c>
      <c r="F124" s="2949" t="str">
        <f>IF(LEN(C124)&gt;0,VLOOKUP(C124,DG!A:C,3,0),"")</f>
        <v/>
      </c>
    </row>
    <row r="125" spans="3:6" ht="25.1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15" hidden="1" customHeight="1">
      <c r="C126" s="2948" t="s">
        <v>746</v>
      </c>
      <c r="D126" s="1946" t="str">
        <f>IF(LEN(E126)&gt;0,E126,VLOOKUP(C126,DG!A:C,3,0))</f>
        <v>Bộ chằng vượt đơn: CK-B</v>
      </c>
      <c r="F126" s="2949" t="str">
        <f>IF(LEN(C126)&gt;0,VLOOKUP(C126,DG!A:C,3,0),"")</f>
        <v>Bộ chằng vượt đơn: CK-B</v>
      </c>
    </row>
    <row r="127" spans="3:6" ht="25.15" hidden="1" customHeight="1">
      <c r="C127" s="2948" t="s">
        <v>745</v>
      </c>
      <c r="D127" s="1946" t="str">
        <f>IF(LEN(E127)&gt;0,E127,VLOOKUP(C127,DG!A:C,3,0))</f>
        <v>Bộ chằng vượt kép: CKK-B</v>
      </c>
      <c r="F127" s="2949" t="str">
        <f>IF(LEN(C127)&gt;0,VLOOKUP(C127,DG!A:C,3,0),"")</f>
        <v>Bộ chằng vượt kép: CKK-B</v>
      </c>
    </row>
    <row r="128" spans="3:6" ht="25.15" hidden="1" customHeight="1">
      <c r="C128" s="2948" t="s">
        <v>1488</v>
      </c>
      <c r="D128" s="1946" t="str">
        <f>IF(LEN(E128)&gt;0,E128,VLOOKUP(C128,DG!A:C,3,0))</f>
        <v>Bộ móng neo xòe cho chằng xuống: NXX</v>
      </c>
      <c r="F128" s="2949" t="str">
        <f>IF(LEN(C128)&gt;0,VLOOKUP(C128,DG!A:C,3,0),"")</f>
        <v>Bộ móng neo xòe cho chằng xuống: NXX</v>
      </c>
    </row>
    <row r="129" spans="3:6" ht="25.15" hidden="1" customHeight="1">
      <c r="C129" s="2948" t="s">
        <v>1489</v>
      </c>
      <c r="D129" s="1946" t="str">
        <f>IF(LEN(E129)&gt;0,E129,VLOOKUP(C129,DG!A:C,3,0))</f>
        <v>Bộ móng neo xòe cho chằng lệch: NXL</v>
      </c>
      <c r="F129" s="2949" t="str">
        <f>IF(LEN(C129)&gt;0,VLOOKUP(C129,DG!A:C,3,0),"")</f>
        <v>Bộ móng neo xòe cho chằng lệch: NXL</v>
      </c>
    </row>
    <row r="130" spans="3:6" ht="25.1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1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1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1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1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15" hidden="1" customHeight="1">
      <c r="C135" s="2948" t="s">
        <v>4328</v>
      </c>
      <c r="D135" s="1946" t="str">
        <f>IF(LEN(C135)&gt;0,VLOOKUP(C135,DG!A:C,3,0),"")</f>
        <v/>
      </c>
      <c r="F135" s="2949" t="str">
        <f>IF(LEN(C135)&gt;0,VLOOKUP(C135,DG!A:C,3,0),"")</f>
        <v/>
      </c>
    </row>
    <row r="136" spans="3:6" ht="25.15" hidden="1" customHeight="1">
      <c r="C136" s="2948" t="s">
        <v>4328</v>
      </c>
      <c r="D136" s="1946" t="str">
        <f>IF(LEN(C136)&gt;0,VLOOKUP(C136,DG!A:C,3,0),"")</f>
        <v/>
      </c>
      <c r="F136" s="2949" t="str">
        <f>IF(LEN(C136)&gt;0,VLOOKUP(C136,DG!A:C,3,0),"")</f>
        <v/>
      </c>
    </row>
    <row r="137" spans="3:6" ht="25.1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1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1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15" hidden="1" customHeight="1">
      <c r="C140" s="2948" t="s">
        <v>2137</v>
      </c>
      <c r="D140" s="1946" t="str">
        <f>IF(LEN(E140)&gt;0,E140,VLOOKUP(C140,DG!A:C,3,0))</f>
        <v>Tiếp địa lặp lại (trụ 10.5m)</v>
      </c>
      <c r="F140" s="2949" t="str">
        <f>IF(LEN(C140)&gt;0,VLOOKUP(C140,DG!A:C,3,0),"")</f>
        <v>Tiếp địa lặp lại (trụ 10.5m)</v>
      </c>
    </row>
    <row r="141" spans="3:6" ht="25.15" hidden="1" customHeight="1">
      <c r="C141" s="2948" t="s">
        <v>1633</v>
      </c>
      <c r="D141" s="1946" t="str">
        <f>IF(LEN(E141)&gt;0,E141,VLOOKUP(C141,DG!A:C,3,0))</f>
        <v>Tiếp địa lặp lại (trụ 12m)</v>
      </c>
      <c r="F141" s="2949" t="str">
        <f>IF(LEN(C141)&gt;0,VLOOKUP(C141,DG!A:C,3,0),"")</f>
        <v>Tiếp địa lặp lại (trụ 12m)</v>
      </c>
    </row>
    <row r="142" spans="3:6" ht="25.15" hidden="1" customHeight="1">
      <c r="C142" s="2948" t="s">
        <v>545</v>
      </c>
      <c r="D142" s="1946" t="str">
        <f>IF(LEN(E142)&gt;0,E142,VLOOKUP(C142,DG!A:C,3,0))</f>
        <v>Tiếp địa mái tole</v>
      </c>
      <c r="F142" s="2949" t="str">
        <f>IF(LEN(C142)&gt;0,VLOOKUP(C142,DG!A:C,3,0),"")</f>
        <v>Tiếp địa mái tole</v>
      </c>
    </row>
    <row r="143" spans="3:6" ht="25.15" hidden="1" customHeight="1">
      <c r="C143" s="2948" t="s">
        <v>1050</v>
      </c>
      <c r="D143" s="1946" t="str">
        <f>IF(LEN(E143)&gt;0,E143,VLOOKUP(C143,DG!A:C,3,0))</f>
        <v>Tiếp địa trụ đo đếm</v>
      </c>
      <c r="F143" s="2949" t="str">
        <f>IF(LEN(C143)&gt;0,VLOOKUP(C143,DG!A:C,3,0),"")</f>
        <v>Tiếp địa trụ đo đếm</v>
      </c>
    </row>
    <row r="144" spans="3:6" ht="25.15" hidden="1" customHeight="1">
      <c r="C144" s="2948" t="s">
        <v>1634</v>
      </c>
      <c r="D144" s="1946" t="str">
        <f>IF(LEN(E144)&gt;0,E144,VLOOKUP(C144,DG!A:C,3,0))</f>
        <v>Tiếp địa lặp lại (trụ 14m)</v>
      </c>
      <c r="F144" s="2949" t="str">
        <f>IF(LEN(C144)&gt;0,VLOOKUP(C144,DG!A:C,3,0),"")</f>
        <v>Tiếp địa lặp lại (trụ 14m)</v>
      </c>
    </row>
    <row r="145" spans="3:6" ht="25.15" hidden="1" customHeight="1">
      <c r="C145" s="2948" t="s">
        <v>1979</v>
      </c>
      <c r="D145" s="1946" t="str">
        <f>IF(LEN(E145)&gt;0,E145,VLOOKUP(C145,DG!A:C,3,0))</f>
        <v>Tiếp địa lặp lại (trụ 20m)</v>
      </c>
      <c r="F145" s="2949" t="str">
        <f>IF(LEN(C145)&gt;0,VLOOKUP(C145,DG!A:C,3,0),"")</f>
        <v>Tiếp địa lặp lại (trụ 20m)</v>
      </c>
    </row>
    <row r="146" spans="3:6" ht="25.15" hidden="1" customHeight="1">
      <c r="C146" s="2948" t="s">
        <v>2285</v>
      </c>
      <c r="D146" s="1946" t="str">
        <f>IF(LEN(E146)&gt;0,E146,VLOOKUP(C146,DG!A:C,3,0))</f>
        <v>Bộ xà đơn L75x75x8 dài 2m:  X-20Đ</v>
      </c>
      <c r="F146" s="2949" t="str">
        <f>IF(LEN(C146)&gt;0,VLOOKUP(C146,DG!A:C,3,0),"")</f>
        <v>Bộ xà đơn L75x75x8 dài 2m:  X-20Đ</v>
      </c>
    </row>
    <row r="147" spans="3:6" ht="25.15" hidden="1" customHeight="1">
      <c r="C147" s="2948" t="s">
        <v>2288</v>
      </c>
      <c r="D147" s="1946" t="str">
        <f>IF(LEN(E147)&gt;0,E147,VLOOKUP(C147,DG!A:C,3,0))</f>
        <v>Bộ xà đơn L75x75x8 dài 2.2m: X-22Đ - C810</v>
      </c>
      <c r="F147" s="2949" t="str">
        <f>IF(LEN(C147)&gt;0,VLOOKUP(C147,DG!A:C,3,0),"")</f>
        <v>Bộ xà đơn L75x75x8 dài 2.2m: X-22Đ - C810</v>
      </c>
    </row>
    <row r="148" spans="3:6" ht="25.15" hidden="1" customHeight="1">
      <c r="C148" s="2948" t="s">
        <v>4730</v>
      </c>
      <c r="D148" s="1946" t="str">
        <f>IF(LEN(E148)&gt;0,E148,VLOOKUP(C148,DG!A:C,3,0))</f>
        <v>Bộ xà kép L75x75x8 dài 2.2m: X-22K-Đ-C920 lắp trụ đơn</v>
      </c>
      <c r="F148" s="2949" t="str">
        <f>IF(LEN(C148)&gt;0,VLOOKUP(C148,DG!A:C,3,0),"")</f>
        <v>Bộ xà kép L75x75x8 dài 2.2m: X-22K-Đ-C920 lắp trụ đơn</v>
      </c>
    </row>
    <row r="149" spans="3:6" ht="25.15" hidden="1" customHeight="1">
      <c r="C149" s="2948" t="s">
        <v>4731</v>
      </c>
      <c r="D149" s="1946" t="str">
        <f>IF(LEN(E149)&gt;0,E149,VLOOKUP(C149,DG!A:C,3,0))</f>
        <v>Bộ xà kép L75x75x8 dài 2.2m: X-22K-Đ-C920 lắp trụ ghép</v>
      </c>
      <c r="F149" s="2949" t="str">
        <f>IF(LEN(C149)&gt;0,VLOOKUP(C149,DG!A:C,3,0),"")</f>
        <v>Bộ xà kép L75x75x8 dài 2.2m: X-22K-Đ-C920 lắp trụ ghép</v>
      </c>
    </row>
    <row r="150" spans="3:6" ht="25.15" hidden="1" customHeight="1">
      <c r="C150" s="2948" t="s">
        <v>1287</v>
      </c>
      <c r="D150" s="1946" t="str">
        <f>IF(LEN(E150)&gt;0,E150,VLOOKUP(C150,DG!A:C,3,0))</f>
        <v>Bộ xà kép L75x75x8 dài 1,66m:  X-1,66K</v>
      </c>
      <c r="F150" s="2949" t="str">
        <f>IF(LEN(C150)&gt;0,VLOOKUP(C150,DG!A:C,3,0),"")</f>
        <v>Bộ xà kép L75x75x8 dài 1,66m:  X-1,66K</v>
      </c>
    </row>
    <row r="151" spans="3:6" ht="25.15" hidden="1" customHeight="1">
      <c r="C151" s="2948" t="s">
        <v>2303</v>
      </c>
      <c r="D151" s="1946" t="str">
        <f>IF(LEN(E151)&gt;0,E151,VLOOKUP(C151,DG!A:C,3,0))</f>
        <v>Bộ xà đơn L75x75x8 dài 1,66m:  X-1,66Đ</v>
      </c>
      <c r="F151" s="2949" t="str">
        <f>IF(LEN(C151)&gt;0,VLOOKUP(C151,DG!A:C,3,0),"")</f>
        <v>Bộ xà đơn L75x75x8 dài 1,66m:  X-1,66Đ</v>
      </c>
    </row>
    <row r="152" spans="3:6" ht="25.15" hidden="1" customHeight="1">
      <c r="C152" s="2948" t="s">
        <v>4328</v>
      </c>
      <c r="D152" s="1946" t="str">
        <f>IF(LEN(C152)&gt;0,VLOOKUP(C152,DG!A:C,3,0),"")</f>
        <v/>
      </c>
      <c r="F152" s="2949" t="str">
        <f>IF(LEN(C152)&gt;0,VLOOKUP(C152,DG!A:C,3,0),"")</f>
        <v/>
      </c>
    </row>
    <row r="153" spans="3:6" ht="25.15" hidden="1" customHeight="1">
      <c r="C153" s="2948" t="s">
        <v>4328</v>
      </c>
      <c r="D153" s="1946" t="str">
        <f>IF(LEN(C153)&gt;0,VLOOKUP(C153,DG!A:C,3,0),"")</f>
        <v/>
      </c>
      <c r="F153" s="2949" t="str">
        <f>IF(LEN(C153)&gt;0,VLOOKUP(C153,DG!A:C,3,0),"")</f>
        <v/>
      </c>
    </row>
    <row r="154" spans="3:6" ht="25.15" hidden="1" customHeight="1">
      <c r="C154" s="2948" t="s">
        <v>4328</v>
      </c>
      <c r="D154" s="1946" t="str">
        <f>IF(LEN(C154)&gt;0,VLOOKUP(C154,DG!A:C,3,0),"")</f>
        <v/>
      </c>
      <c r="F154" s="2949" t="str">
        <f>IF(LEN(C154)&gt;0,VLOOKUP(C154,DG!A:C,3,0),"")</f>
        <v/>
      </c>
    </row>
    <row r="155" spans="3:6" ht="25.15" hidden="1" customHeight="1">
      <c r="C155" s="2948" t="s">
        <v>4328</v>
      </c>
      <c r="D155" s="1946" t="str">
        <f>IF(LEN(C155)&gt;0,VLOOKUP(C155,DG!A:C,3,0),"")</f>
        <v/>
      </c>
      <c r="F155" s="2949" t="str">
        <f>IF(LEN(C155)&gt;0,VLOOKUP(C155,DG!A:C,3,0),"")</f>
        <v/>
      </c>
    </row>
    <row r="156" spans="3:6" ht="25.15" hidden="1" customHeight="1">
      <c r="C156" s="2948" t="s">
        <v>4328</v>
      </c>
      <c r="D156" s="1946" t="str">
        <f>IF(LEN(C156)&gt;0,VLOOKUP(C156,DG!A:C,3,0),"")</f>
        <v/>
      </c>
      <c r="F156" s="2949" t="str">
        <f>IF(LEN(C156)&gt;0,VLOOKUP(C156,DG!A:C,3,0),"")</f>
        <v/>
      </c>
    </row>
    <row r="157" spans="3:6" ht="25.15" hidden="1" customHeight="1">
      <c r="C157" s="2948" t="s">
        <v>4328</v>
      </c>
      <c r="D157" s="1946" t="str">
        <f>IF(LEN(C157)&gt;0,VLOOKUP(C157,DG!A:C,3,0),"")</f>
        <v/>
      </c>
      <c r="F157" s="2949" t="str">
        <f>IF(LEN(C157)&gt;0,VLOOKUP(C157,DG!A:C,3,0),"")</f>
        <v/>
      </c>
    </row>
    <row r="158" spans="3:6" ht="25.1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1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15" hidden="1" customHeight="1">
      <c r="C160" s="2948" t="s">
        <v>4328</v>
      </c>
      <c r="D160" s="1946" t="str">
        <f>IF(LEN(C160)&gt;0,VLOOKUP(C160,DG!A:C,3,0),"")</f>
        <v/>
      </c>
      <c r="F160" s="2949" t="str">
        <f>IF(LEN(C160)&gt;0,VLOOKUP(C160,DG!A:C,3,0),"")</f>
        <v/>
      </c>
    </row>
    <row r="161" spans="3:6" ht="25.15" hidden="1" customHeight="1">
      <c r="C161" s="2948" t="s">
        <v>4632</v>
      </c>
      <c r="D161" s="1946" t="str">
        <f>IF(LEN(E161)&gt;0,E161,VLOOKUP(C161,DG!A:C,3,0))</f>
        <v>Bộ đà composite 0,8m</v>
      </c>
      <c r="F161" s="2949" t="str">
        <f>IF(LEN(C161)&gt;0,VLOOKUP(C161,DG!A:C,3,0),"")</f>
        <v>Bộ đà composite 0,8m</v>
      </c>
    </row>
    <row r="162" spans="3:6" ht="25.15" hidden="1" customHeight="1">
      <c r="C162" s="2948" t="s">
        <v>1617</v>
      </c>
      <c r="D162" s="1946" t="str">
        <f>IF(LEN(E162)&gt;0,E162,VLOOKUP(C162,DG!A:C,3,0))</f>
        <v>Bộ Uclevis néo dây trung hòa vào trụ</v>
      </c>
      <c r="F162" s="2949" t="str">
        <f>IF(LEN(C162)&gt;0,VLOOKUP(C162,DG!A:C,3,0),"")</f>
        <v>Bộ Uclevis néo dây trung hòa vào trụ</v>
      </c>
    </row>
    <row r="163" spans="3:6" ht="25.15" hidden="1" customHeight="1">
      <c r="C163" s="2948" t="s">
        <v>2155</v>
      </c>
      <c r="D163" s="1946" t="str">
        <f>IF(LEN(E163)&gt;0,E163,VLOOKUP(C163,DG!A:C,3,0))</f>
        <v>Bộ khóa néo dây trung hòa vào xà</v>
      </c>
      <c r="F163" s="2949" t="str">
        <f>IF(LEN(C163)&gt;0,VLOOKUP(C163,DG!A:C,3,0),"")</f>
        <v>Bộ khóa néo dây trung hòa vào xà</v>
      </c>
    </row>
    <row r="164" spans="3:6" ht="25.15" hidden="1" customHeight="1">
      <c r="C164" s="2948" t="s">
        <v>6391</v>
      </c>
      <c r="D164" s="1946" t="str">
        <f>IF(LEN(E164)&gt;0,E164,VLOOKUP(C164,DG!A:C,3,0))</f>
        <v>Dây buộc đầu sứ cỡ dây 70mm2</v>
      </c>
      <c r="F164" s="2949" t="str">
        <f>IF(LEN(C164)&gt;0,VLOOKUP(C164,DG!A:C,3,0),"")</f>
        <v>Dây buộc đầu sứ cỡ dây 70mm2</v>
      </c>
    </row>
    <row r="165" spans="3:6" ht="25.15" hidden="1" customHeight="1">
      <c r="C165" s="2948" t="s">
        <v>6393</v>
      </c>
      <c r="D165" s="1946" t="str">
        <f>IF(LEN(E165)&gt;0,E165,VLOOKUP(C165,DG!A:C,3,0))</f>
        <v>Dây buộc đầu sứ cỡ dây 120mm2</v>
      </c>
      <c r="F165" s="2949" t="str">
        <f>IF(LEN(C165)&gt;0,VLOOKUP(C165,DG!A:C,3,0),"")</f>
        <v>Dây buộc đầu sứ cỡ dây 120mm2</v>
      </c>
    </row>
    <row r="166" spans="3:6" ht="25.15" hidden="1" customHeight="1">
      <c r="C166" s="2948" t="s">
        <v>6394</v>
      </c>
      <c r="D166" s="1946" t="str">
        <f>IF(LEN(E166)&gt;0,E166,VLOOKUP(C166,DG!A:C,3,0))</f>
        <v>Dây buộc đầu sứ cỡ dây 150mm2</v>
      </c>
      <c r="F166" s="2949" t="str">
        <f>IF(LEN(C166)&gt;0,VLOOKUP(C166,DG!A:C,3,0),"")</f>
        <v>Dây buộc đầu sứ cỡ dây 150mm2</v>
      </c>
    </row>
    <row r="167" spans="3:6" ht="25.15" hidden="1" customHeight="1">
      <c r="C167" s="2948" t="s">
        <v>6396</v>
      </c>
      <c r="D167" s="1946" t="str">
        <f>IF(LEN(E167)&gt;0,E167,VLOOKUP(C167,DG!A:C,3,0))</f>
        <v>Dây buộc đầu sứ cỡ dây 240mm2</v>
      </c>
      <c r="F167" s="2949" t="str">
        <f>IF(LEN(C167)&gt;0,VLOOKUP(C167,DG!A:C,3,0),"")</f>
        <v>Dây buộc đầu sứ cỡ dây 240mm2</v>
      </c>
    </row>
    <row r="168" spans="3:6" ht="25.15" hidden="1" customHeight="1">
      <c r="C168" s="2948" t="s">
        <v>6384</v>
      </c>
      <c r="D168" s="1946" t="str">
        <f>IF(LEN(E168)&gt;0,E168,VLOOKUP(C168,DG!A:C,3,0))</f>
        <v>Dây buộc cổ sứ cỡ dây 70mm2</v>
      </c>
      <c r="F168" s="2949" t="str">
        <f>IF(LEN(C168)&gt;0,VLOOKUP(C168,DG!A:C,3,0),"")</f>
        <v>Dây buộc cổ sứ cỡ dây 70mm2</v>
      </c>
    </row>
    <row r="169" spans="3:6" ht="25.15" hidden="1" customHeight="1">
      <c r="C169" s="2948" t="s">
        <v>6386</v>
      </c>
      <c r="D169" s="1946" t="str">
        <f>IF(LEN(E169)&gt;0,E169,VLOOKUP(C169,DG!A:C,3,0))</f>
        <v>Dây buộc cổ sứ cỡ dây 120mm2</v>
      </c>
      <c r="F169" s="2949" t="str">
        <f>IF(LEN(C169)&gt;0,VLOOKUP(C169,DG!A:C,3,0),"")</f>
        <v>Dây buộc cổ sứ cỡ dây 120mm2</v>
      </c>
    </row>
    <row r="170" spans="3:6" ht="25.15" hidden="1" customHeight="1">
      <c r="C170" s="2948" t="s">
        <v>6387</v>
      </c>
      <c r="D170" s="1946" t="str">
        <f>IF(LEN(E170)&gt;0,E170,VLOOKUP(C170,DG!A:C,3,0))</f>
        <v>Dây buộc cổ sứ cỡ dây 150mm2</v>
      </c>
      <c r="F170" s="2949" t="str">
        <f>IF(LEN(C170)&gt;0,VLOOKUP(C170,DG!A:C,3,0),"")</f>
        <v>Dây buộc cổ sứ cỡ dây 150mm2</v>
      </c>
    </row>
    <row r="171" spans="3:6" ht="25.15" hidden="1" customHeight="1">
      <c r="C171" s="2948" t="s">
        <v>6389</v>
      </c>
      <c r="D171" s="1946" t="str">
        <f>IF(LEN(E171)&gt;0,E171,VLOOKUP(C171,DG!A:C,3,0))</f>
        <v>Dây buộc cổ sứ cỡ dây 240mm2</v>
      </c>
      <c r="F171" s="2949" t="str">
        <f>IF(LEN(C171)&gt;0,VLOOKUP(C171,DG!A:C,3,0),"")</f>
        <v>Dây buộc cổ sứ cỡ dây 240mm2</v>
      </c>
    </row>
    <row r="172" spans="3:6" ht="25.15" hidden="1" customHeight="1">
      <c r="C172" s="2948" t="s">
        <v>4328</v>
      </c>
      <c r="D172" s="1946" t="str">
        <f>IF(LEN(C172)&gt;0,VLOOKUP(C172,DG!A:C,3,0),"")</f>
        <v/>
      </c>
      <c r="F172" s="2949" t="str">
        <f>IF(LEN(C172)&gt;0,VLOOKUP(C172,DG!A:C,3,0),"")</f>
        <v/>
      </c>
    </row>
    <row r="173" spans="3:6" ht="25.15" hidden="1" customHeight="1">
      <c r="C173" s="2948" t="s">
        <v>4328</v>
      </c>
      <c r="D173" s="1946" t="str">
        <f>IF(LEN(C173)&gt;0,VLOOKUP(C173,DG!A:C,3,0),"")</f>
        <v/>
      </c>
      <c r="F173" s="2949" t="str">
        <f>IF(LEN(C173)&gt;0,VLOOKUP(C173,DG!A:C,3,0),"")</f>
        <v/>
      </c>
    </row>
    <row r="174" spans="3:6" ht="25.15" hidden="1" customHeight="1">
      <c r="C174" s="2948" t="s">
        <v>4328</v>
      </c>
      <c r="D174" s="1946" t="str">
        <f>IF(LEN(C174)&gt;0,VLOOKUP(C174,DG!A:C,3,0),"")</f>
        <v/>
      </c>
      <c r="F174" s="2949" t="str">
        <f>IF(LEN(C174)&gt;0,VLOOKUP(C174,DG!A:C,3,0),"")</f>
        <v/>
      </c>
    </row>
    <row r="175" spans="3:6" ht="25.15" hidden="1" customHeight="1">
      <c r="C175" s="2948" t="s">
        <v>4328</v>
      </c>
      <c r="D175" s="1946" t="str">
        <f>IF(LEN(C175)&gt;0,VLOOKUP(C175,DG!A:C,3,0),"")</f>
        <v/>
      </c>
      <c r="F175" s="2949" t="str">
        <f>IF(LEN(C175)&gt;0,VLOOKUP(C175,DG!A:C,3,0),"")</f>
        <v/>
      </c>
    </row>
    <row r="176" spans="3:6" ht="25.15" hidden="1" customHeight="1">
      <c r="C176" s="2948" t="s">
        <v>4328</v>
      </c>
      <c r="D176" s="1946" t="str">
        <f>IF(LEN(C176)&gt;0,VLOOKUP(C176,DG!A:C,3,0),"")</f>
        <v/>
      </c>
      <c r="F176" s="2949" t="str">
        <f>IF(LEN(C176)&gt;0,VLOOKUP(C176,DG!A:C,3,0),"")</f>
        <v/>
      </c>
    </row>
    <row r="177" spans="3:6" ht="25.15" hidden="1" customHeight="1">
      <c r="C177" s="2948" t="s">
        <v>1173</v>
      </c>
      <c r="D177" s="1946" t="str">
        <f>IF(LEN(E177)&gt;0,E177,VLOOKUP(C177,DG!A:C,3,0))</f>
        <v>Kẹp 2 rãnh cỡ dây 150mm2</v>
      </c>
      <c r="F177" s="2949" t="str">
        <f>IF(LEN(C177)&gt;0,VLOOKUP(C177,DG!A:C,3,0),"")</f>
        <v>Kẹp 2 rãnh cỡ dây 150mm2</v>
      </c>
    </row>
    <row r="178" spans="3:6" ht="25.15" hidden="1" customHeight="1">
      <c r="C178" s="2948" t="s">
        <v>4328</v>
      </c>
      <c r="D178" s="1946" t="str">
        <f>IF(LEN(C178)&gt;0,VLOOKUP(C178,DG!A:C,3,0),"")</f>
        <v/>
      </c>
      <c r="F178" s="2949" t="str">
        <f>IF(LEN(C178)&gt;0,VLOOKUP(C178,DG!A:C,3,0),"")</f>
        <v/>
      </c>
    </row>
    <row r="179" spans="3:6" ht="25.15" hidden="1" customHeight="1">
      <c r="C179" s="2948" t="s">
        <v>4328</v>
      </c>
      <c r="D179" s="1946" t="str">
        <f>IF(LEN(C179)&gt;0,VLOOKUP(C179,DG!A:C,3,0),"")</f>
        <v/>
      </c>
      <c r="F179" s="2949" t="str">
        <f>IF(LEN(C179)&gt;0,VLOOKUP(C179,DG!A:C,3,0),"")</f>
        <v/>
      </c>
    </row>
    <row r="180" spans="3:6" ht="25.15" hidden="1" customHeight="1">
      <c r="C180" s="2948" t="s">
        <v>4328</v>
      </c>
      <c r="D180" s="1946" t="str">
        <f>IF(LEN(C180)&gt;0,VLOOKUP(C180,DG!A:C,3,0),"")</f>
        <v/>
      </c>
      <c r="F180" s="2949" t="str">
        <f>IF(LEN(C180)&gt;0,VLOOKUP(C180,DG!A:C,3,0),"")</f>
        <v/>
      </c>
    </row>
    <row r="181" spans="3:6" ht="25.15" hidden="1" customHeight="1">
      <c r="C181" s="2948" t="s">
        <v>4328</v>
      </c>
      <c r="D181" s="1946" t="str">
        <f>IF(LEN(C181)&gt;0,VLOOKUP(C181,DG!A:C,3,0),"")</f>
        <v/>
      </c>
      <c r="F181" s="2949" t="str">
        <f>IF(LEN(C181)&gt;0,VLOOKUP(C181,DG!A:C,3,0),"")</f>
        <v/>
      </c>
    </row>
    <row r="182" spans="3:6" ht="25.15" hidden="1" customHeight="1">
      <c r="C182" s="2948" t="s">
        <v>4328</v>
      </c>
      <c r="D182" s="1946" t="str">
        <f>IF(LEN(C182)&gt;0,VLOOKUP(C182,DG!A:C,3,0),"")</f>
        <v/>
      </c>
      <c r="F182" s="2949" t="str">
        <f>IF(LEN(C182)&gt;0,VLOOKUP(C182,DG!A:C,3,0),"")</f>
        <v/>
      </c>
    </row>
    <row r="183" spans="3:6" ht="25.15" hidden="1" customHeight="1">
      <c r="C183" s="2948" t="s">
        <v>4328</v>
      </c>
      <c r="D183" s="1946" t="str">
        <f>IF(LEN(C183)&gt;0,VLOOKUP(C183,DG!A:C,3,0),"")</f>
        <v/>
      </c>
      <c r="F183" s="2949" t="str">
        <f>IF(LEN(C183)&gt;0,VLOOKUP(C183,DG!A:C,3,0),"")</f>
        <v/>
      </c>
    </row>
    <row r="184" spans="3:6" ht="25.15" hidden="1" customHeight="1">
      <c r="C184" s="2948" t="s">
        <v>4328</v>
      </c>
      <c r="D184" s="1946" t="str">
        <f>IF(LEN(C184)&gt;0,VLOOKUP(C184,DG!A:C,3,0),"")</f>
        <v/>
      </c>
      <c r="F184" s="2949" t="str">
        <f>IF(LEN(C184)&gt;0,VLOOKUP(C184,DG!A:C,3,0),"")</f>
        <v/>
      </c>
    </row>
    <row r="185" spans="3:6" ht="25.15" hidden="1" customHeight="1">
      <c r="C185" s="2948" t="s">
        <v>4328</v>
      </c>
      <c r="D185" s="1946" t="str">
        <f>IF(LEN(C185)&gt;0,VLOOKUP(C185,DG!A:C,3,0),"")</f>
        <v/>
      </c>
      <c r="F185" s="2949" t="str">
        <f>IF(LEN(C185)&gt;0,VLOOKUP(C185,DG!A:C,3,0),"")</f>
        <v/>
      </c>
    </row>
    <row r="186" spans="3:6" ht="25.15" hidden="1" customHeight="1">
      <c r="C186" s="2948" t="s">
        <v>4328</v>
      </c>
      <c r="D186" s="1946" t="str">
        <f>IF(LEN(C186)&gt;0,VLOOKUP(C186,DG!A:C,3,0),"")</f>
        <v/>
      </c>
      <c r="F186" s="2949" t="str">
        <f>IF(LEN(C186)&gt;0,VLOOKUP(C186,DG!A:C,3,0),"")</f>
        <v/>
      </c>
    </row>
    <row r="187" spans="3:6" ht="25.15" hidden="1" customHeight="1">
      <c r="C187" s="2948" t="s">
        <v>4328</v>
      </c>
      <c r="D187" s="1946" t="str">
        <f>IF(LEN(C187)&gt;0,VLOOKUP(C187,DG!A:C,3,0),"")</f>
        <v/>
      </c>
      <c r="F187" s="2949" t="str">
        <f>IF(LEN(C187)&gt;0,VLOOKUP(C187,DG!A:C,3,0),"")</f>
        <v/>
      </c>
    </row>
    <row r="188" spans="3:6" ht="25.15" hidden="1" customHeight="1">
      <c r="C188" s="2948" t="s">
        <v>4328</v>
      </c>
      <c r="D188" s="1946" t="str">
        <f>IF(LEN(C188)&gt;0,VLOOKUP(C188,DG!A:C,3,0),"")</f>
        <v/>
      </c>
      <c r="F188" s="2949" t="str">
        <f>IF(LEN(C188)&gt;0,VLOOKUP(C188,DG!A:C,3,0),"")</f>
        <v/>
      </c>
    </row>
    <row r="189" spans="3:6" ht="25.15" hidden="1" customHeight="1">
      <c r="C189" s="2948" t="s">
        <v>4328</v>
      </c>
      <c r="D189" s="1946" t="str">
        <f>IF(LEN(C189)&gt;0,VLOOKUP(C189,DG!A:C,3,0),"")</f>
        <v/>
      </c>
      <c r="F189" s="2949" t="str">
        <f>IF(LEN(C189)&gt;0,VLOOKUP(C189,DG!A:C,3,0),"")</f>
        <v/>
      </c>
    </row>
    <row r="190" spans="3:6" ht="25.15" hidden="1" customHeight="1">
      <c r="C190" s="2948" t="s">
        <v>4328</v>
      </c>
      <c r="D190" s="1946" t="str">
        <f>IF(LEN(C190)&gt;0,VLOOKUP(C190,DG!A:C,3,0),"")</f>
        <v/>
      </c>
      <c r="F190" s="2949" t="str">
        <f>IF(LEN(C190)&gt;0,VLOOKUP(C190,DG!A:C,3,0),"")</f>
        <v/>
      </c>
    </row>
    <row r="191" spans="3:6" ht="25.15" hidden="1" customHeight="1">
      <c r="C191" s="2948" t="s">
        <v>4328</v>
      </c>
      <c r="D191" s="1946" t="str">
        <f>IF(LEN(C191)&gt;0,VLOOKUP(C191,DG!A:C,3,0),"")</f>
        <v/>
      </c>
      <c r="F191" s="2949" t="str">
        <f>IF(LEN(C191)&gt;0,VLOOKUP(C191,DG!A:C,3,0),"")</f>
        <v/>
      </c>
    </row>
    <row r="192" spans="3:6" ht="25.15" hidden="1" customHeight="1">
      <c r="C192" s="2948" t="s">
        <v>4328</v>
      </c>
      <c r="D192" s="1946" t="str">
        <f>IF(LEN(C192)&gt;0,VLOOKUP(C192,DG!A:C,3,0),"")</f>
        <v/>
      </c>
      <c r="F192" s="2949" t="str">
        <f>IF(LEN(C192)&gt;0,VLOOKUP(C192,DG!A:C,3,0),"")</f>
        <v/>
      </c>
    </row>
    <row r="193" spans="3:6" ht="25.15" hidden="1" customHeight="1">
      <c r="C193" s="2948" t="s">
        <v>4328</v>
      </c>
      <c r="D193" s="1946" t="str">
        <f>IF(LEN(C193)&gt;0,VLOOKUP(C193,DG!A:C,3,0),"")</f>
        <v/>
      </c>
      <c r="F193" s="2949" t="str">
        <f>IF(LEN(C193)&gt;0,VLOOKUP(C193,DG!A:C,3,0),"")</f>
        <v/>
      </c>
    </row>
    <row r="194" spans="3:6" ht="25.15" hidden="1" customHeight="1">
      <c r="C194" s="2948" t="s">
        <v>4328</v>
      </c>
      <c r="D194" s="1946" t="str">
        <f>IF(LEN(C194)&gt;0,VLOOKUP(C194,DG!A:C,3,0),"")</f>
        <v/>
      </c>
      <c r="F194" s="2949" t="str">
        <f>IF(LEN(C194)&gt;0,VLOOKUP(C194,DG!A:C,3,0),"")</f>
        <v/>
      </c>
    </row>
    <row r="195" spans="3:6" ht="25.15" hidden="1" customHeight="1">
      <c r="D195" s="1946" t="str">
        <f>IF(LEN(C195)&gt;0,VLOOKUP(C195,DG!A:C,3,0),"")</f>
        <v/>
      </c>
      <c r="F195" s="2949" t="str">
        <f>IF(LEN(C195)&gt;0,VLOOKUP(C195,DG!A:C,3,0),"")</f>
        <v/>
      </c>
    </row>
    <row r="196" spans="3:6" ht="25.15" hidden="1" customHeight="1">
      <c r="D196" s="1946" t="str">
        <f>IF(LEN(C196)&gt;0,VLOOKUP(C196,DG!A:C,3,0),"")</f>
        <v/>
      </c>
      <c r="F196" s="2949" t="str">
        <f>IF(LEN(C196)&gt;0,VLOOKUP(C196,DG!A:C,3,0),"")</f>
        <v/>
      </c>
    </row>
    <row r="197" spans="3:6" ht="25.15" hidden="1" customHeight="1">
      <c r="D197" s="1946" t="str">
        <f>IF(LEN(C197)&gt;0,VLOOKUP(C197,DG!A:C,3,0),"")</f>
        <v/>
      </c>
      <c r="F197" s="2949" t="str">
        <f>IF(LEN(C197)&gt;0,VLOOKUP(C197,DG!A:C,3,0),"")</f>
        <v/>
      </c>
    </row>
    <row r="198" spans="3:6" ht="25.15" hidden="1" customHeight="1">
      <c r="C198" s="2948" t="s">
        <v>4328</v>
      </c>
      <c r="D198" s="1946" t="str">
        <f>IF(LEN(C198)&gt;0,VLOOKUP(C198,DG!A:C,3,0),"")</f>
        <v/>
      </c>
      <c r="F198" s="2949" t="str">
        <f>IF(LEN(C198)&gt;0,VLOOKUP(C198,DG!A:C,3,0),"")</f>
        <v/>
      </c>
    </row>
    <row r="199" spans="3:6" ht="25.15" hidden="1" customHeight="1">
      <c r="C199" s="2948" t="s">
        <v>2067</v>
      </c>
      <c r="D199" s="1946" t="str">
        <f>IF(LEN(E199)&gt;0,E199,VLOOKUP(C199,DG!A:C,3,0))</f>
        <v>Kẹp 2 rãnh cỡ dây 185mm2</v>
      </c>
      <c r="F199" s="2949" t="str">
        <f>IF(LEN(C199)&gt;0,VLOOKUP(C199,DG!A:C,3,0),"")</f>
        <v>Kẹp 2 rãnh cỡ dây 185mm2</v>
      </c>
    </row>
    <row r="200" spans="3:6" ht="25.15" hidden="1" customHeight="1">
      <c r="C200" s="2948" t="s">
        <v>2066</v>
      </c>
      <c r="D200" s="1946" t="str">
        <f>IF(LEN(E200)&gt;0,E200,VLOOKUP(C200,DG!A:C,3,0))</f>
        <v>Kẹp 2 rãnh cỡ dây 240 mm2</v>
      </c>
      <c r="F200" s="2949" t="str">
        <f>IF(LEN(C200)&gt;0,VLOOKUP(C200,DG!A:C,3,0),"")</f>
        <v>Kẹp 2 rãnh cỡ dây 240 mm2</v>
      </c>
    </row>
    <row r="201" spans="3:6" ht="25.15" hidden="1" customHeight="1">
      <c r="C201" s="2948" t="s">
        <v>705</v>
      </c>
      <c r="D201" s="1946" t="str">
        <f>IF(LEN(E201)&gt;0,E201,VLOOKUP(C201,DG!A:C,3,0))</f>
        <v>Kẹp ép WR cỡ dây 185mm2</v>
      </c>
      <c r="F201" s="2949" t="str">
        <f>IF(LEN(C201)&gt;0,VLOOKUP(C201,DG!A:C,3,0),"")</f>
        <v>Kẹp ép WR cỡ dây 185mm2</v>
      </c>
    </row>
    <row r="202" spans="3:6" ht="25.15" hidden="1" customHeight="1">
      <c r="C202" s="2948" t="s">
        <v>4328</v>
      </c>
      <c r="D202" s="1946" t="str">
        <f>IF(LEN(C202)&gt;0,VLOOKUP(C202,DG!A:C,3,0),"")</f>
        <v/>
      </c>
      <c r="F202" s="2949" t="str">
        <f>IF(LEN(C202)&gt;0,VLOOKUP(C202,DG!A:C,3,0),"")</f>
        <v/>
      </c>
    </row>
    <row r="203" spans="3:6" ht="25.15" hidden="1" customHeight="1">
      <c r="C203" s="2948" t="s">
        <v>4328</v>
      </c>
      <c r="D203" s="1946" t="str">
        <f>IF(LEN(C203)&gt;0,VLOOKUP(C203,DG!A:C,3,0),"")</f>
        <v/>
      </c>
      <c r="F203" s="2949" t="str">
        <f>IF(LEN(C203)&gt;0,VLOOKUP(C203,DG!A:C,3,0),"")</f>
        <v/>
      </c>
    </row>
    <row r="204" spans="3:6" ht="25.15" hidden="1" customHeight="1">
      <c r="C204" s="2948" t="s">
        <v>4328</v>
      </c>
      <c r="D204" s="1946" t="str">
        <f>IF(LEN(C204)&gt;0,VLOOKUP(C204,DG!A:C,3,0),"")</f>
        <v/>
      </c>
      <c r="F204" s="2949" t="str">
        <f>IF(LEN(C204)&gt;0,VLOOKUP(C204,DG!A:C,3,0),"")</f>
        <v/>
      </c>
    </row>
    <row r="205" spans="3:6" ht="25.15" hidden="1" customHeight="1">
      <c r="C205" s="2948" t="s">
        <v>4328</v>
      </c>
      <c r="D205" s="1946" t="str">
        <f>IF(LEN(C205)&gt;0,VLOOKUP(C205,DG!A:C,3,0),"")</f>
        <v/>
      </c>
      <c r="F205" s="2949" t="str">
        <f>IF(LEN(C205)&gt;0,VLOOKUP(C205,DG!A:C,3,0),"")</f>
        <v/>
      </c>
    </row>
    <row r="206" spans="3:6" ht="25.15" hidden="1" customHeight="1">
      <c r="C206" s="2948" t="s">
        <v>4328</v>
      </c>
      <c r="D206" s="1946" t="str">
        <f>IF(LEN(C206)&gt;0,VLOOKUP(C206,DG!A:C,3,0),"")</f>
        <v/>
      </c>
      <c r="F206" s="2949" t="str">
        <f>IF(LEN(C206)&gt;0,VLOOKUP(C206,DG!A:C,3,0),"")</f>
        <v/>
      </c>
    </row>
    <row r="207" spans="3:6" ht="25.15" hidden="1" customHeight="1">
      <c r="C207" s="2948" t="s">
        <v>4328</v>
      </c>
      <c r="D207" s="1946" t="str">
        <f>IF(LEN(C207)&gt;0,VLOOKUP(C207,DG!A:C,3,0),"")</f>
        <v/>
      </c>
      <c r="F207" s="2949" t="str">
        <f>IF(LEN(C207)&gt;0,VLOOKUP(C207,DG!A:C,3,0),"")</f>
        <v/>
      </c>
    </row>
    <row r="208" spans="3:6" ht="25.15" hidden="1" customHeight="1">
      <c r="C208" s="2948" t="s">
        <v>4328</v>
      </c>
      <c r="D208" s="1946" t="str">
        <f>IF(LEN(C208)&gt;0,VLOOKUP(C208,DG!A:C,3,0),"")</f>
        <v/>
      </c>
      <c r="F208" s="2949" t="str">
        <f>IF(LEN(C208)&gt;0,VLOOKUP(C208,DG!A:C,3,0),"")</f>
        <v/>
      </c>
    </row>
    <row r="209" spans="3:6" ht="25.15" hidden="1" customHeight="1">
      <c r="C209" s="2948" t="s">
        <v>4328</v>
      </c>
      <c r="D209" s="1946" t="str">
        <f>IF(LEN(C209)&gt;0,VLOOKUP(C209,DG!A:C,3,0),"")</f>
        <v/>
      </c>
      <c r="F209" s="2949" t="str">
        <f>IF(LEN(C209)&gt;0,VLOOKUP(C209,DG!A:C,3,0),"")</f>
        <v/>
      </c>
    </row>
    <row r="210" spans="3:6" ht="25.15" hidden="1" customHeight="1">
      <c r="C210" s="2948" t="s">
        <v>4328</v>
      </c>
      <c r="D210" s="1946" t="str">
        <f>IF(LEN(C210)&gt;0,VLOOKUP(C210,DG!A:C,3,0),"")</f>
        <v/>
      </c>
      <c r="F210" s="2949" t="str">
        <f>IF(LEN(C210)&gt;0,VLOOKUP(C210,DG!A:C,3,0),"")</f>
        <v/>
      </c>
    </row>
    <row r="211" spans="3:6" ht="25.15" hidden="1" customHeight="1">
      <c r="C211" s="2948" t="s">
        <v>4328</v>
      </c>
      <c r="D211" s="1946" t="str">
        <f>IF(LEN(C211)&gt;0,VLOOKUP(C211,DG!A:C,3,0),"")</f>
        <v/>
      </c>
      <c r="F211" s="2949" t="str">
        <f>IF(LEN(C211)&gt;0,VLOOKUP(C211,DG!A:C,3,0),"")</f>
        <v/>
      </c>
    </row>
    <row r="212" spans="3:6" ht="25.15" hidden="1" customHeight="1">
      <c r="C212" s="2948" t="s">
        <v>4328</v>
      </c>
      <c r="D212" s="1946" t="str">
        <f>IF(LEN(C212)&gt;0,VLOOKUP(C212,DG!A:C,3,0),"")</f>
        <v/>
      </c>
      <c r="F212" s="2949" t="str">
        <f>IF(LEN(C212)&gt;0,VLOOKUP(C212,DG!A:C,3,0),"")</f>
        <v/>
      </c>
    </row>
    <row r="213" spans="3:6" ht="25.15" hidden="1" customHeight="1">
      <c r="C213" s="2948" t="s">
        <v>4328</v>
      </c>
      <c r="D213" s="1946" t="str">
        <f>IF(LEN(C213)&gt;0,VLOOKUP(C213,DG!A:C,3,0),"")</f>
        <v/>
      </c>
      <c r="F213" s="2949" t="str">
        <f>IF(LEN(C213)&gt;0,VLOOKUP(C213,DG!A:C,3,0),"")</f>
        <v/>
      </c>
    </row>
    <row r="214" spans="3:6" ht="25.15" hidden="1" customHeight="1">
      <c r="C214" s="2948" t="s">
        <v>508</v>
      </c>
      <c r="D214" s="1946" t="str">
        <f>IF(LEN(E214)&gt;0,E214,VLOOKUP(C214,DG!A:C,3,0))</f>
        <v>Nhổ và trồng trụ 8,4m</v>
      </c>
      <c r="F214" s="2949" t="str">
        <f>IF(LEN(C214)&gt;0,VLOOKUP(C214,DG!A:C,3,0),"")</f>
        <v>Nhổ và trồng trụ 8,4m</v>
      </c>
    </row>
    <row r="215" spans="3:6" ht="25.15" hidden="1" customHeight="1">
      <c r="C215" s="2948" t="s">
        <v>1626</v>
      </c>
      <c r="D215" s="1946" t="str">
        <f>IF(LEN(E215)&gt;0,E215,VLOOKUP(C215,DG!A:C,3,0))</f>
        <v>Nhổ trụ 8,4m</v>
      </c>
      <c r="F215" s="2949" t="str">
        <f>IF(LEN(C215)&gt;0,VLOOKUP(C215,DG!A:C,3,0),"")</f>
        <v>Nhổ trụ 8,4m</v>
      </c>
    </row>
    <row r="216" spans="3:6" ht="25.15" hidden="1" customHeight="1">
      <c r="C216" s="2948" t="s">
        <v>4328</v>
      </c>
      <c r="D216" s="1946" t="str">
        <f>IF(LEN(C216)&gt;0,VLOOKUP(C216,DG!A:C,3,0),"")</f>
        <v/>
      </c>
      <c r="F216" s="2949" t="str">
        <f>IF(LEN(C216)&gt;0,VLOOKUP(C216,DG!A:C,3,0),"")</f>
        <v/>
      </c>
    </row>
    <row r="217" spans="3:6" ht="25.15" hidden="1" customHeight="1">
      <c r="C217" s="2948" t="s">
        <v>4328</v>
      </c>
      <c r="D217" s="1946" t="str">
        <f>IF(LEN(C217)&gt;0,VLOOKUP(C217,DG!A:C,3,0),"")</f>
        <v/>
      </c>
      <c r="F217" s="2949" t="str">
        <f>IF(LEN(C217)&gt;0,VLOOKUP(C217,DG!A:C,3,0),"")</f>
        <v/>
      </c>
    </row>
    <row r="218" spans="3:6" ht="25.15" hidden="1" customHeight="1">
      <c r="C218" s="2948" t="s">
        <v>4328</v>
      </c>
      <c r="D218" s="1946" t="str">
        <f>IF(LEN(C218)&gt;0,VLOOKUP(C218,DG!A:C,3,0),"")</f>
        <v/>
      </c>
      <c r="F218" s="2949" t="str">
        <f>IF(LEN(C218)&gt;0,VLOOKUP(C218,DG!A:C,3,0),"")</f>
        <v/>
      </c>
    </row>
    <row r="219" spans="3:6" ht="25.15" hidden="1" customHeight="1">
      <c r="C219" s="2948" t="s">
        <v>4328</v>
      </c>
      <c r="D219" s="1946" t="str">
        <f>IF(LEN(C219)&gt;0,VLOOKUP(C219,DG!A:C,3,0),"")</f>
        <v/>
      </c>
      <c r="F219" s="2949" t="str">
        <f>IF(LEN(C219)&gt;0,VLOOKUP(C219,DG!A:C,3,0),"")</f>
        <v/>
      </c>
    </row>
    <row r="220" spans="3:6" ht="25.15" hidden="1" customHeight="1">
      <c r="C220" s="2948" t="s">
        <v>4328</v>
      </c>
      <c r="D220" s="1946" t="str">
        <f>IF(LEN(C220)&gt;0,VLOOKUP(C220,DG!A:C,3,0),"")</f>
        <v/>
      </c>
      <c r="F220" s="2949" t="str">
        <f>IF(LEN(C220)&gt;0,VLOOKUP(C220,DG!A:C,3,0),"")</f>
        <v/>
      </c>
    </row>
    <row r="221" spans="3:6" ht="25.15" hidden="1" customHeight="1">
      <c r="C221" s="2948" t="s">
        <v>4328</v>
      </c>
      <c r="D221" s="1946" t="str">
        <f>IF(LEN(C221)&gt;0,VLOOKUP(C221,DG!A:C,3,0),"")</f>
        <v/>
      </c>
      <c r="F221" s="2949" t="str">
        <f>IF(LEN(C221)&gt;0,VLOOKUP(C221,DG!A:C,3,0),"")</f>
        <v/>
      </c>
    </row>
    <row r="222" spans="3:6" ht="25.15" hidden="1" customHeight="1">
      <c r="C222" s="2948" t="s">
        <v>4328</v>
      </c>
      <c r="D222" s="1946" t="str">
        <f>IF(LEN(C222)&gt;0,VLOOKUP(C222,DG!A:C,3,0),"")</f>
        <v/>
      </c>
      <c r="F222" s="2949" t="str">
        <f>IF(LEN(C222)&gt;0,VLOOKUP(C222,DG!A:C,3,0),"")</f>
        <v/>
      </c>
    </row>
    <row r="223" spans="3:6" ht="25.15" hidden="1" customHeight="1">
      <c r="C223" s="2948" t="s">
        <v>4328</v>
      </c>
      <c r="D223" s="1946" t="str">
        <f>IF(LEN(C223)&gt;0,VLOOKUP(C223,DG!A:C,3,0),"")</f>
        <v/>
      </c>
      <c r="F223" s="2949" t="str">
        <f>IF(LEN(C223)&gt;0,VLOOKUP(C223,DG!A:C,3,0),"")</f>
        <v/>
      </c>
    </row>
    <row r="224" spans="3:6" ht="25.15" hidden="1" customHeight="1">
      <c r="C224" s="2948" t="s">
        <v>4328</v>
      </c>
      <c r="D224" s="1946" t="str">
        <f>IF(LEN(C224)&gt;0,VLOOKUP(C224,DG!A:C,3,0),"")</f>
        <v/>
      </c>
      <c r="F224" s="2949" t="str">
        <f>IF(LEN(C224)&gt;0,VLOOKUP(C224,DG!A:C,3,0),"")</f>
        <v/>
      </c>
    </row>
    <row r="225" spans="3:6" ht="25.15" hidden="1" customHeight="1">
      <c r="C225" s="2948" t="s">
        <v>4328</v>
      </c>
      <c r="D225" s="1946" t="str">
        <f>IF(LEN(C225)&gt;0,VLOOKUP(C225,DG!A:C,3,0),"")</f>
        <v/>
      </c>
      <c r="F225" s="2949" t="str">
        <f>IF(LEN(C225)&gt;0,VLOOKUP(C225,DG!A:C,3,0),"")</f>
        <v/>
      </c>
    </row>
    <row r="226" spans="3:6" customFormat="1" ht="16.5" hidden="1">
      <c r="C226" s="947"/>
      <c r="F226" s="1321"/>
    </row>
  </sheetData>
  <autoFilter ref="B1:G226">
    <filterColumn colId="2">
      <colorFilter dxfId="269"/>
    </filterColumn>
    <sortState ref="B226:G226">
      <sortCondition ref="B1:B226"/>
    </sortState>
  </autoFilter>
  <phoneticPr fontId="38" type="noConversion"/>
  <conditionalFormatting sqref="C1:C41 C43:C60 C62:C1048576">
    <cfRule type="duplicateValues" dxfId="268" priority="5"/>
  </conditionalFormatting>
  <conditionalFormatting sqref="C42">
    <cfRule type="duplicateValues" dxfId="267" priority="3"/>
  </conditionalFormatting>
  <conditionalFormatting sqref="C61">
    <cfRule type="duplicateValues" dxfId="266"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81" customWidth="1"/>
    <col min="2" max="2" width="5.109375" style="1481" customWidth="1"/>
    <col min="3" max="3" width="6.88671875" style="1481" customWidth="1"/>
    <col min="4" max="4" width="6" style="1481" customWidth="1"/>
    <col min="5" max="6" width="3.88671875" style="1481" customWidth="1"/>
    <col min="7" max="7" width="4.6640625" style="1482" customWidth="1"/>
    <col min="8" max="8" width="5.6640625" style="1481" customWidth="1"/>
    <col min="9" max="18" width="4.77734375" style="1481" customWidth="1"/>
    <col min="19" max="19" width="5.5546875" style="1481" customWidth="1"/>
    <col min="20" max="20" width="5.21875" style="1481" customWidth="1"/>
    <col min="21" max="21" width="4.77734375" style="1481" customWidth="1"/>
    <col min="22" max="22" width="6.6640625" style="1481" customWidth="1"/>
    <col min="23" max="41" width="4.77734375" style="1481" customWidth="1"/>
    <col min="42" max="42" width="5.44140625" style="1481" customWidth="1"/>
    <col min="43" max="43" width="8.77734375" style="1481" customWidth="1"/>
    <col min="44" max="44" width="5.21875" style="1481" customWidth="1"/>
    <col min="45" max="47" width="8.77734375" style="1481" customWidth="1"/>
    <col min="48" max="54" width="4.77734375" style="1481" customWidth="1"/>
    <col min="55" max="57" width="4.77734375" style="1483" customWidth="1"/>
    <col min="58" max="65" width="4.77734375" style="1481" customWidth="1"/>
    <col min="66" max="66" width="6.77734375" style="1481" customWidth="1"/>
    <col min="67" max="71" width="4.77734375" style="1481" customWidth="1"/>
    <col min="72" max="72" width="3.88671875" style="1481" customWidth="1"/>
    <col min="73" max="81" width="4.77734375" style="1481" customWidth="1"/>
    <col min="82" max="101" width="4.33203125" style="1481" customWidth="1"/>
    <col min="102" max="102" width="7.77734375" style="1484" customWidth="1"/>
    <col min="103" max="16384" width="8.88671875" style="1481"/>
  </cols>
  <sheetData>
    <row r="1" spans="1:262" s="1915" customFormat="1" ht="81" customHeight="1" outlineLevel="1">
      <c r="B1" s="1915" t="s">
        <v>4641</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4632</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95"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95"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5"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15" customHeight="1">
      <c r="A6" s="3147" t="str">
        <f>chitiet!E7</f>
        <v>Công trình: Xây dựng mới TBA 3 pha 1000 kVA - 22/0,4kV Công ty Cổ phần ADE Garnet</v>
      </c>
      <c r="B6" s="3147"/>
      <c r="C6" s="3147"/>
      <c r="D6" s="3147"/>
      <c r="E6" s="3147"/>
      <c r="F6" s="3147"/>
      <c r="G6" s="3147"/>
      <c r="H6" s="3147"/>
      <c r="I6" s="3147"/>
      <c r="J6" s="3147"/>
      <c r="K6" s="3147"/>
      <c r="L6" s="3147"/>
      <c r="M6" s="3147"/>
      <c r="N6" s="3147"/>
      <c r="O6" s="3147"/>
      <c r="P6" s="3147"/>
      <c r="Q6" s="3147"/>
      <c r="R6" s="3147"/>
      <c r="S6" s="3147"/>
      <c r="T6" s="3147"/>
      <c r="U6" s="3147"/>
      <c r="V6" s="3147"/>
      <c r="W6" s="3147"/>
      <c r="X6" s="3147"/>
      <c r="Y6" s="3147"/>
      <c r="Z6" s="3147"/>
      <c r="AA6" s="3147"/>
      <c r="AB6" s="3147"/>
      <c r="AC6" s="3147"/>
      <c r="AD6" s="3147"/>
      <c r="AE6" s="3147"/>
      <c r="AF6" s="3147"/>
      <c r="AG6" s="3147"/>
      <c r="AH6" s="3147"/>
      <c r="AI6" s="3147"/>
      <c r="AJ6" s="3147"/>
      <c r="AK6" s="3147"/>
      <c r="AL6" s="3147"/>
      <c r="AM6" s="3147"/>
      <c r="AN6" s="3147"/>
      <c r="AO6" s="3147"/>
      <c r="AP6" s="3147"/>
      <c r="AQ6" s="3147"/>
      <c r="AR6" s="3147"/>
      <c r="AS6" s="3147"/>
      <c r="AT6" s="3147"/>
      <c r="AU6" s="3147"/>
      <c r="AV6" s="3147"/>
      <c r="AW6" s="3147"/>
      <c r="AX6" s="3147"/>
      <c r="AY6" s="3147"/>
      <c r="AZ6" s="3147"/>
      <c r="BA6" s="3147"/>
      <c r="BB6" s="3147"/>
      <c r="BC6" s="3147"/>
      <c r="BD6" s="3147"/>
      <c r="BE6" s="3147"/>
      <c r="BF6" s="3147"/>
      <c r="BG6" s="3147"/>
      <c r="BH6" s="3147"/>
      <c r="BI6" s="3147"/>
      <c r="BJ6" s="3147"/>
      <c r="BK6" s="3147"/>
      <c r="BL6" s="3147"/>
      <c r="BM6" s="3147"/>
      <c r="BN6" s="3147"/>
      <c r="BO6" s="3147"/>
      <c r="BP6" s="3147"/>
      <c r="BQ6" s="3147"/>
      <c r="BR6" s="3147"/>
      <c r="BS6" s="3147"/>
      <c r="BT6" s="3147"/>
      <c r="BU6" s="3147"/>
      <c r="BV6" s="3147"/>
      <c r="BW6" s="3147"/>
      <c r="BX6" s="3147"/>
      <c r="BY6" s="3147"/>
      <c r="BZ6" s="3147"/>
      <c r="CA6" s="3147"/>
      <c r="CB6" s="3147"/>
      <c r="CC6" s="3147"/>
      <c r="CD6" s="3147"/>
      <c r="CE6" s="3147"/>
      <c r="CF6" s="3147"/>
      <c r="CG6" s="3147"/>
      <c r="CH6" s="3147"/>
      <c r="CI6" s="3147"/>
      <c r="CJ6" s="3147"/>
      <c r="CK6" s="3147"/>
      <c r="CL6" s="3147"/>
      <c r="CM6" s="3147"/>
      <c r="CN6" s="3147"/>
      <c r="CO6" s="3147"/>
      <c r="CP6" s="3147"/>
      <c r="CQ6" s="3147"/>
      <c r="CR6" s="3147"/>
      <c r="CS6" s="3147"/>
      <c r="CT6" s="3147"/>
      <c r="CU6" s="3147"/>
      <c r="CV6" s="3147"/>
      <c r="CW6" s="3147"/>
      <c r="CX6" s="3147"/>
    </row>
    <row r="7" spans="1:262" s="1486" customFormat="1" ht="31.15" customHeight="1" thickBot="1">
      <c r="A7" s="3147" t="str">
        <f>chitiet!E8</f>
        <v>Địa điểm: Xã Xuân Thành - Huyện Xuân Lộc - Tỉnh Đồng Nai</v>
      </c>
      <c r="B7" s="3147"/>
      <c r="C7" s="3099"/>
      <c r="D7" s="3147"/>
      <c r="E7" s="3099"/>
      <c r="F7" s="3099"/>
      <c r="G7" s="3099"/>
      <c r="H7" s="3147"/>
      <c r="I7" s="3099"/>
      <c r="J7" s="3147"/>
      <c r="K7" s="3099"/>
      <c r="L7" s="3147"/>
      <c r="M7" s="3147"/>
      <c r="N7" s="3099"/>
      <c r="O7" s="3099"/>
      <c r="P7" s="3099"/>
      <c r="Q7" s="3099"/>
      <c r="R7" s="3099"/>
      <c r="S7" s="3147"/>
      <c r="T7" s="3099"/>
      <c r="U7" s="3099"/>
      <c r="V7" s="3099"/>
      <c r="W7" s="3147"/>
      <c r="X7" s="3099"/>
      <c r="Y7" s="3099"/>
      <c r="Z7" s="3099"/>
      <c r="AA7" s="3099"/>
      <c r="AB7" s="3099"/>
      <c r="AC7" s="3099"/>
      <c r="AD7" s="3099"/>
      <c r="AE7" s="3099"/>
      <c r="AF7" s="3099"/>
      <c r="AG7" s="3099"/>
      <c r="AH7" s="3099"/>
      <c r="AI7" s="3099"/>
      <c r="AJ7" s="3099"/>
      <c r="AK7" s="3099"/>
      <c r="AL7" s="3099"/>
      <c r="AM7" s="3099"/>
      <c r="AN7" s="3147"/>
      <c r="AO7" s="3147"/>
      <c r="AP7" s="3099"/>
      <c r="AQ7" s="3099"/>
      <c r="AR7" s="3099"/>
      <c r="AS7" s="3099"/>
      <c r="AT7" s="3099"/>
      <c r="AU7" s="3099"/>
      <c r="AV7" s="3099"/>
      <c r="AW7" s="3147"/>
      <c r="AX7" s="3147"/>
      <c r="AY7" s="3099"/>
      <c r="AZ7" s="3099"/>
      <c r="BA7" s="3099"/>
      <c r="BB7" s="3099"/>
      <c r="BC7" s="3099"/>
      <c r="BD7" s="3147"/>
      <c r="BE7" s="3099"/>
      <c r="BF7" s="3099"/>
      <c r="BG7" s="3099"/>
      <c r="BH7" s="3099"/>
      <c r="BI7" s="3099"/>
      <c r="BJ7" s="3099"/>
      <c r="BK7" s="3099"/>
      <c r="BL7" s="3099"/>
      <c r="BM7" s="3147"/>
      <c r="BN7" s="3099"/>
      <c r="BO7" s="3147"/>
      <c r="BP7" s="3147"/>
      <c r="BQ7" s="3099"/>
      <c r="BR7" s="3099"/>
      <c r="BS7" s="3099"/>
      <c r="BT7" s="3147"/>
      <c r="BU7" s="3147"/>
      <c r="BV7" s="3147"/>
      <c r="BW7" s="3147"/>
      <c r="BX7" s="3147"/>
      <c r="BY7" s="3099"/>
      <c r="BZ7" s="3147"/>
      <c r="CA7" s="3147"/>
      <c r="CB7" s="3147"/>
      <c r="CC7" s="3147"/>
      <c r="CD7" s="3099"/>
      <c r="CE7" s="3099"/>
      <c r="CF7" s="3099"/>
      <c r="CG7" s="3099"/>
      <c r="CH7" s="3099"/>
      <c r="CI7" s="3099"/>
      <c r="CJ7" s="3099"/>
      <c r="CK7" s="3099"/>
      <c r="CL7" s="3099"/>
      <c r="CM7" s="3099"/>
      <c r="CN7" s="3099"/>
      <c r="CO7" s="3099"/>
      <c r="CP7" s="3099"/>
      <c r="CQ7" s="3099"/>
      <c r="CR7" s="3147"/>
      <c r="CS7" s="3147"/>
      <c r="CT7" s="3147"/>
      <c r="CU7" s="3147"/>
      <c r="CV7" s="3147"/>
      <c r="CW7" s="3147"/>
      <c r="CX7" s="3147"/>
    </row>
    <row r="8" spans="1:262" s="523" customFormat="1" ht="29.45" customHeight="1" thickTop="1">
      <c r="A8" s="3113" t="s">
        <v>3749</v>
      </c>
      <c r="B8" s="3113" t="s">
        <v>3750</v>
      </c>
      <c r="C8" s="3118" t="s">
        <v>3888</v>
      </c>
      <c r="D8" s="3113" t="s">
        <v>3889</v>
      </c>
      <c r="E8" s="3120" t="s">
        <v>3757</v>
      </c>
      <c r="F8" s="3116" t="s">
        <v>3758</v>
      </c>
      <c r="G8" s="3122" t="s">
        <v>3890</v>
      </c>
      <c r="H8" s="3113" t="s">
        <v>3760</v>
      </c>
      <c r="I8" s="3126" t="s">
        <v>2271</v>
      </c>
      <c r="J8" s="3127"/>
      <c r="K8" s="3126"/>
      <c r="L8" s="3127"/>
      <c r="M8" s="3128"/>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14" t="s">
        <v>2384</v>
      </c>
      <c r="BD8" s="3113" t="s">
        <v>2386</v>
      </c>
      <c r="BE8" s="3141" t="s">
        <v>2388</v>
      </c>
      <c r="BF8" s="505"/>
      <c r="BG8" s="522"/>
      <c r="BH8" s="522"/>
      <c r="BI8" s="522"/>
      <c r="BJ8" s="505" t="s">
        <v>3764</v>
      </c>
      <c r="BK8" s="522"/>
      <c r="BL8" s="556"/>
      <c r="BM8" s="3136" t="s">
        <v>4468</v>
      </c>
      <c r="BN8" s="1896"/>
      <c r="BO8" s="3124" t="s">
        <v>3765</v>
      </c>
      <c r="BP8" s="3124" t="s">
        <v>3766</v>
      </c>
      <c r="BQ8" s="3131" t="s">
        <v>3892</v>
      </c>
      <c r="BR8" s="3145" t="s">
        <v>3893</v>
      </c>
      <c r="BS8" s="3129" t="s">
        <v>3868</v>
      </c>
      <c r="BT8" s="3133" t="s">
        <v>3894</v>
      </c>
      <c r="BU8" s="3113" t="s">
        <v>3895</v>
      </c>
      <c r="BV8" s="3121" t="s">
        <v>3896</v>
      </c>
      <c r="BW8" s="3133" t="s">
        <v>3897</v>
      </c>
      <c r="BX8" s="3113" t="s">
        <v>3770</v>
      </c>
      <c r="BY8" s="3139" t="s">
        <v>3772</v>
      </c>
      <c r="BZ8" s="3113" t="s">
        <v>3898</v>
      </c>
      <c r="CA8" s="3113" t="s">
        <v>4697</v>
      </c>
      <c r="CB8" s="3113" t="s">
        <v>3775</v>
      </c>
      <c r="CC8" s="3113" t="s">
        <v>2865</v>
      </c>
      <c r="CD8" s="3141" t="s">
        <v>2866</v>
      </c>
      <c r="CE8" s="3116" t="s">
        <v>2867</v>
      </c>
      <c r="CF8" s="3116" t="s">
        <v>2868</v>
      </c>
      <c r="CG8" s="3116" t="s">
        <v>2869</v>
      </c>
      <c r="CH8" s="3116" t="s">
        <v>2870</v>
      </c>
      <c r="CI8" s="3116" t="s">
        <v>2871</v>
      </c>
      <c r="CJ8" s="3116" t="s">
        <v>3781</v>
      </c>
      <c r="CK8" s="3116" t="s">
        <v>3782</v>
      </c>
      <c r="CL8" s="3116" t="s">
        <v>3783</v>
      </c>
      <c r="CM8" s="3116" t="s">
        <v>3784</v>
      </c>
      <c r="CN8" s="3116" t="s">
        <v>3785</v>
      </c>
      <c r="CO8" s="3116" t="s">
        <v>3786</v>
      </c>
      <c r="CP8" s="3116" t="s">
        <v>4649</v>
      </c>
      <c r="CQ8" s="3114" t="s">
        <v>3899</v>
      </c>
      <c r="CR8" s="3113" t="s">
        <v>419</v>
      </c>
      <c r="CS8" s="3121" t="s">
        <v>4654</v>
      </c>
      <c r="CT8" s="3113" t="s">
        <v>367</v>
      </c>
      <c r="CU8" s="3113" t="s">
        <v>368</v>
      </c>
      <c r="CV8" s="3133" t="s">
        <v>4652</v>
      </c>
      <c r="CW8" s="3133" t="s">
        <v>3900</v>
      </c>
      <c r="CX8" s="3148" t="s">
        <v>2591</v>
      </c>
    </row>
    <row r="9" spans="1:262" s="523" customFormat="1" ht="117" customHeight="1">
      <c r="A9" s="3113"/>
      <c r="B9" s="3113"/>
      <c r="C9" s="3119"/>
      <c r="D9" s="3113"/>
      <c r="E9" s="3121"/>
      <c r="F9" s="3117"/>
      <c r="G9" s="3123"/>
      <c r="H9" s="3113"/>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15"/>
      <c r="BD9" s="3113"/>
      <c r="BE9" s="3142"/>
      <c r="BF9" s="1480" t="s">
        <v>2285</v>
      </c>
      <c r="BG9" s="1480" t="s">
        <v>905</v>
      </c>
      <c r="BH9" s="1480" t="s">
        <v>2290</v>
      </c>
      <c r="BI9" s="1480" t="s">
        <v>906</v>
      </c>
      <c r="BJ9" s="1480" t="s">
        <v>2287</v>
      </c>
      <c r="BK9" s="1480" t="s">
        <v>2114</v>
      </c>
      <c r="BL9" s="1761" t="s">
        <v>2291</v>
      </c>
      <c r="BM9" s="3137"/>
      <c r="BN9" s="1888" t="s">
        <v>343</v>
      </c>
      <c r="BO9" s="3125"/>
      <c r="BP9" s="3125"/>
      <c r="BQ9" s="3132"/>
      <c r="BR9" s="3146"/>
      <c r="BS9" s="3130"/>
      <c r="BT9" s="3134"/>
      <c r="BU9" s="3125"/>
      <c r="BV9" s="3144"/>
      <c r="BW9" s="3134"/>
      <c r="BX9" s="3125"/>
      <c r="BY9" s="3140"/>
      <c r="BZ9" s="3125"/>
      <c r="CA9" s="3125"/>
      <c r="CB9" s="3125"/>
      <c r="CC9" s="3125"/>
      <c r="CD9" s="3143"/>
      <c r="CE9" s="3135"/>
      <c r="CF9" s="3135"/>
      <c r="CG9" s="3135"/>
      <c r="CH9" s="3135"/>
      <c r="CI9" s="3135"/>
      <c r="CJ9" s="3135"/>
      <c r="CK9" s="3135"/>
      <c r="CL9" s="3135"/>
      <c r="CM9" s="3135"/>
      <c r="CN9" s="3135"/>
      <c r="CO9" s="3135"/>
      <c r="CP9" s="3135"/>
      <c r="CQ9" s="3130"/>
      <c r="CR9" s="3125"/>
      <c r="CS9" s="3144"/>
      <c r="CT9" s="3125"/>
      <c r="CU9" s="3125"/>
      <c r="CV9" s="3134"/>
      <c r="CW9" s="3134"/>
      <c r="CX9" s="3149"/>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15" customHeight="1">
      <c r="A11" s="1806" t="s">
        <v>4696</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806" t="s">
        <v>4670</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806" t="s">
        <v>4671</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806" t="s">
        <v>4672</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806" t="s">
        <v>4673</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15" hidden="1" customHeight="1">
      <c r="A23" s="1806" t="s">
        <v>4674</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806" t="s">
        <v>4675</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806" t="s">
        <v>4676</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806" t="s">
        <v>4677</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38">
        <f>D94</f>
        <v>0</v>
      </c>
      <c r="M98" s="3138"/>
      <c r="N98" s="3138"/>
      <c r="O98" s="3138"/>
      <c r="P98" s="3138"/>
      <c r="Q98" s="3138"/>
      <c r="R98" s="3138"/>
      <c r="S98" s="3138"/>
      <c r="T98" s="3138"/>
      <c r="U98" s="3138"/>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9" t="s">
        <v>359</v>
      </c>
      <c r="B101" s="1490"/>
      <c r="C101" s="1500">
        <f>D94</f>
        <v>0</v>
      </c>
      <c r="D101" s="1500">
        <f>D94</f>
        <v>0</v>
      </c>
      <c r="E101" s="1492" t="s">
        <v>1818</v>
      </c>
      <c r="F101" s="1490"/>
      <c r="G101" s="1501"/>
      <c r="H101" s="1494"/>
      <c r="I101" s="1490"/>
      <c r="J101" s="1495">
        <f>B101*1.03</f>
        <v>0</v>
      </c>
      <c r="K101" s="1495"/>
      <c r="L101" s="3138">
        <f>D94</f>
        <v>0</v>
      </c>
      <c r="M101" s="3138"/>
      <c r="N101" s="3138"/>
      <c r="O101" s="3138"/>
      <c r="P101" s="3138"/>
      <c r="Q101" s="3138"/>
      <c r="R101" s="3138"/>
      <c r="S101" s="3138"/>
      <c r="T101" s="3138"/>
      <c r="U101" s="3138"/>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71" t="s">
        <v>3903</v>
      </c>
      <c r="B4" s="3165" t="s">
        <v>3904</v>
      </c>
      <c r="C4" s="3165" t="s">
        <v>3750</v>
      </c>
      <c r="D4" s="3116" t="s">
        <v>2016</v>
      </c>
      <c r="E4" s="3116" t="s">
        <v>505</v>
      </c>
      <c r="F4" s="3116" t="s">
        <v>503</v>
      </c>
      <c r="G4" s="3116" t="s">
        <v>827</v>
      </c>
      <c r="H4" s="3116" t="s">
        <v>504</v>
      </c>
      <c r="I4" s="3116" t="s">
        <v>1145</v>
      </c>
      <c r="J4" s="3116" t="s">
        <v>3758</v>
      </c>
      <c r="K4" s="3116" t="s">
        <v>3890</v>
      </c>
      <c r="L4" s="3152" t="s">
        <v>3905</v>
      </c>
      <c r="M4" s="3154" t="s">
        <v>2271</v>
      </c>
      <c r="N4" s="3126"/>
      <c r="O4" s="3126"/>
      <c r="P4" s="3126"/>
      <c r="Q4" s="3126"/>
      <c r="R4" s="3155" t="s">
        <v>3861</v>
      </c>
      <c r="S4" s="3156"/>
      <c r="T4" s="3156"/>
      <c r="U4" s="3156"/>
      <c r="V4" s="3156"/>
      <c r="W4" s="3156"/>
      <c r="X4" s="3156"/>
      <c r="Y4" s="3156"/>
      <c r="Z4" s="543" t="s">
        <v>2587</v>
      </c>
      <c r="AA4" s="554"/>
      <c r="AB4" s="554"/>
      <c r="AC4" s="555"/>
      <c r="AD4" s="3116" t="s">
        <v>3906</v>
      </c>
      <c r="AE4" s="3116" t="s">
        <v>2378</v>
      </c>
      <c r="AF4" s="3116" t="s">
        <v>2381</v>
      </c>
      <c r="AG4" s="3116" t="s">
        <v>2384</v>
      </c>
      <c r="AH4" s="3116" t="s">
        <v>2385</v>
      </c>
      <c r="AI4" s="3157" t="s">
        <v>3907</v>
      </c>
      <c r="AJ4" s="556" t="s">
        <v>2170</v>
      </c>
      <c r="AK4" s="557"/>
      <c r="AL4" s="3150" t="s">
        <v>3908</v>
      </c>
      <c r="AM4" s="3150" t="s">
        <v>3909</v>
      </c>
      <c r="AN4" s="3150" t="s">
        <v>3910</v>
      </c>
      <c r="AO4" s="3150" t="s">
        <v>3911</v>
      </c>
      <c r="AP4" s="3150" t="s">
        <v>3912</v>
      </c>
      <c r="AQ4" s="3150" t="s">
        <v>3913</v>
      </c>
      <c r="AR4" s="3159" t="s">
        <v>3914</v>
      </c>
      <c r="AS4" s="3160"/>
      <c r="AT4" s="3160"/>
      <c r="AU4" s="3160"/>
      <c r="AV4" s="3160"/>
      <c r="AW4" s="3161"/>
      <c r="AX4" s="3162" t="s">
        <v>3915</v>
      </c>
      <c r="AY4" s="3162"/>
      <c r="AZ4" s="3162"/>
      <c r="BA4" s="3162"/>
      <c r="BB4" s="544" t="s">
        <v>3916</v>
      </c>
      <c r="BC4" s="558"/>
      <c r="BD4" s="544"/>
      <c r="BE4" s="545" t="s">
        <v>2586</v>
      </c>
      <c r="BF4" s="558"/>
      <c r="BG4" s="544"/>
      <c r="BH4" s="3150" t="s">
        <v>3917</v>
      </c>
      <c r="BI4" s="3150" t="s">
        <v>3918</v>
      </c>
      <c r="BJ4" s="3150" t="s">
        <v>3919</v>
      </c>
      <c r="BK4" s="3150" t="s">
        <v>2835</v>
      </c>
      <c r="BL4" s="3165" t="s">
        <v>3920</v>
      </c>
      <c r="BM4" s="3165" t="s">
        <v>3921</v>
      </c>
      <c r="BN4" s="3163" t="s">
        <v>2591</v>
      </c>
    </row>
    <row r="5" spans="1:209" s="523" customFormat="1" ht="142.5" customHeight="1">
      <c r="A5" s="3172"/>
      <c r="B5" s="3113"/>
      <c r="C5" s="3113"/>
      <c r="D5" s="3117"/>
      <c r="E5" s="3117"/>
      <c r="F5" s="3117"/>
      <c r="G5" s="3117"/>
      <c r="H5" s="3117"/>
      <c r="I5" s="3117"/>
      <c r="J5" s="3117"/>
      <c r="K5" s="3117"/>
      <c r="L5" s="3153"/>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17"/>
      <c r="AE5" s="3117"/>
      <c r="AF5" s="3117"/>
      <c r="AG5" s="3117"/>
      <c r="AH5" s="3117"/>
      <c r="AI5" s="3158"/>
      <c r="AJ5" s="547" t="s">
        <v>3926</v>
      </c>
      <c r="AK5" s="547" t="s">
        <v>3927</v>
      </c>
      <c r="AL5" s="3137"/>
      <c r="AM5" s="3137"/>
      <c r="AN5" s="3137"/>
      <c r="AO5" s="3137"/>
      <c r="AP5" s="3137"/>
      <c r="AQ5" s="3137"/>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7"/>
      <c r="BI5" s="3137"/>
      <c r="BJ5" s="3137"/>
      <c r="BK5" s="3137"/>
      <c r="BL5" s="3166"/>
      <c r="BM5" s="3166"/>
      <c r="BN5" s="3164"/>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67" t="s">
        <v>3944</v>
      </c>
      <c r="B35" s="3168"/>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67" t="s">
        <v>3944</v>
      </c>
      <c r="B67" s="3168"/>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69" t="s">
        <v>3886</v>
      </c>
      <c r="B69" s="3170"/>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51" t="s">
        <v>3945</v>
      </c>
      <c r="B71" s="3151"/>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51" t="s">
        <v>3946</v>
      </c>
      <c r="B72" s="3151"/>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51" t="s">
        <v>3947</v>
      </c>
      <c r="B73" s="3151"/>
      <c r="C73" s="622">
        <f>E69</f>
        <v>0</v>
      </c>
      <c r="D73" s="623"/>
      <c r="E73" s="623"/>
      <c r="F73" s="623"/>
      <c r="G73" s="623"/>
      <c r="H73" s="623"/>
      <c r="R73" s="624"/>
      <c r="U73" s="618"/>
      <c r="W73" s="618"/>
      <c r="AE73" s="511"/>
      <c r="AF73" s="511"/>
      <c r="AG73" s="511"/>
      <c r="AH73" s="511"/>
    </row>
    <row r="74" spans="1:209" ht="18.95" customHeight="1">
      <c r="A74" s="3151" t="s">
        <v>3948</v>
      </c>
      <c r="B74" s="3151"/>
      <c r="C74" s="622">
        <f>F69</f>
        <v>0</v>
      </c>
      <c r="D74" s="623"/>
      <c r="E74" s="623"/>
      <c r="F74" s="623"/>
      <c r="G74" s="623"/>
      <c r="H74" s="623"/>
      <c r="R74" s="624"/>
      <c r="U74" s="618"/>
      <c r="W74" s="618"/>
      <c r="AE74" s="511"/>
      <c r="AF74" s="511"/>
      <c r="AG74" s="511"/>
      <c r="AH74" s="511"/>
    </row>
    <row r="75" spans="1:209" ht="18.95" customHeight="1">
      <c r="A75" s="3151" t="s">
        <v>3949</v>
      </c>
      <c r="B75" s="3151"/>
      <c r="C75" s="622">
        <f>G69</f>
        <v>0</v>
      </c>
      <c r="D75" s="623"/>
      <c r="E75" s="623"/>
      <c r="F75" s="623"/>
      <c r="G75" s="623"/>
      <c r="H75" s="623"/>
      <c r="R75" s="624"/>
      <c r="U75" s="618"/>
      <c r="W75" s="618"/>
      <c r="AE75" s="511"/>
      <c r="AF75" s="511"/>
      <c r="AG75" s="511"/>
      <c r="AH75" s="511"/>
    </row>
    <row r="76" spans="1:209" ht="18.95" customHeight="1">
      <c r="A76" s="3151" t="s">
        <v>3950</v>
      </c>
      <c r="B76" s="3151"/>
      <c r="C76" s="620">
        <f>H69</f>
        <v>0</v>
      </c>
      <c r="D76" s="617"/>
      <c r="E76" s="617"/>
      <c r="F76" s="617"/>
      <c r="G76" s="617"/>
      <c r="H76" s="617"/>
      <c r="K76" s="625"/>
      <c r="M76" s="531"/>
      <c r="N76" s="531"/>
      <c r="O76" s="531"/>
      <c r="R76" s="626"/>
      <c r="U76" s="618"/>
      <c r="W76" s="618"/>
      <c r="AE76" s="511"/>
      <c r="AF76" s="511"/>
      <c r="AG76" s="511"/>
      <c r="AH76" s="511"/>
    </row>
    <row r="77" spans="1:209" ht="18.95" customHeight="1">
      <c r="A77" s="3151" t="s">
        <v>3951</v>
      </c>
      <c r="B77" s="3151"/>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3952</v>
      </c>
      <c r="C3" s="70"/>
      <c r="D3" s="70"/>
      <c r="E3" s="70"/>
    </row>
    <row r="4" spans="1:13">
      <c r="F4" s="84"/>
      <c r="G4" s="83"/>
      <c r="H4" s="84"/>
      <c r="I4" s="84"/>
    </row>
    <row r="5" spans="1:13" ht="15">
      <c r="A5" s="85"/>
      <c r="B5" s="72" t="s">
        <v>1704</v>
      </c>
      <c r="C5" s="72" t="s">
        <v>2275</v>
      </c>
      <c r="D5" s="72" t="s">
        <v>2276</v>
      </c>
      <c r="E5" s="72" t="s">
        <v>2277</v>
      </c>
      <c r="F5" s="86">
        <f>pp_NC!GV5</f>
        <v>0</v>
      </c>
      <c r="G5" s="86" t="str">
        <f>'pp3p2m '!ED6</f>
        <v>B</v>
      </c>
      <c r="H5" s="86" t="s">
        <v>1034</v>
      </c>
      <c r="I5" s="86" t="s">
        <v>1034</v>
      </c>
      <c r="J5" s="87"/>
      <c r="K5" s="83"/>
      <c r="L5" s="83"/>
      <c r="M5" s="83"/>
    </row>
    <row r="6" spans="1:13" ht="15">
      <c r="A6" s="73" t="s">
        <v>2278</v>
      </c>
      <c r="B6" s="74"/>
      <c r="C6" s="117"/>
      <c r="D6" s="74" t="s">
        <v>2279</v>
      </c>
      <c r="E6" s="74" t="s">
        <v>2280</v>
      </c>
      <c r="F6" s="75" t="s">
        <v>2281</v>
      </c>
      <c r="G6" s="88"/>
      <c r="H6" s="85"/>
      <c r="I6" s="85"/>
      <c r="J6" s="85"/>
    </row>
    <row r="7" spans="1:13" ht="15">
      <c r="A7" s="89"/>
      <c r="B7" s="118">
        <v>1</v>
      </c>
      <c r="C7" s="118">
        <v>2</v>
      </c>
      <c r="D7" s="118">
        <v>3</v>
      </c>
      <c r="E7" s="118">
        <v>4</v>
      </c>
      <c r="F7" s="85"/>
      <c r="G7" s="88"/>
      <c r="H7" s="85"/>
      <c r="I7" s="85"/>
      <c r="J7" s="85"/>
    </row>
    <row r="8" spans="1:13" ht="15">
      <c r="A8" s="89"/>
      <c r="B8" s="119" t="s">
        <v>499</v>
      </c>
      <c r="C8" s="116" t="s">
        <v>2282</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935</v>
      </c>
      <c r="C44" s="77" t="s">
        <v>2308</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1351</v>
      </c>
      <c r="B67" s="98" t="s">
        <v>1611</v>
      </c>
      <c r="C67" s="77" t="s">
        <v>2294</v>
      </c>
      <c r="D67" s="78" t="s">
        <v>2295</v>
      </c>
      <c r="E67" s="99"/>
      <c r="F67" s="85"/>
      <c r="G67" s="93">
        <v>1</v>
      </c>
      <c r="H67" s="85"/>
      <c r="I67" s="85"/>
      <c r="J67" s="85"/>
    </row>
    <row r="68" spans="1:10" s="1" customFormat="1" ht="18.75" hidden="1">
      <c r="A68" s="9" t="str">
        <f>chitiet!B2115</f>
        <v>AV95</v>
      </c>
      <c r="B68" s="25"/>
      <c r="C68" s="16" t="s">
        <v>2762</v>
      </c>
      <c r="D68" s="19" t="s">
        <v>2526</v>
      </c>
      <c r="E68" s="24">
        <v>0</v>
      </c>
      <c r="F68" s="10">
        <f>chitiet!E2115</f>
        <v>0</v>
      </c>
      <c r="G68" s="7">
        <f>IF(E68&lt;&gt;0,1,0)</f>
        <v>0</v>
      </c>
      <c r="H68" s="4"/>
      <c r="I68" s="4"/>
      <c r="J68" s="4"/>
    </row>
    <row r="69" spans="1:10" s="1" customFormat="1" ht="17.25" hidden="1">
      <c r="A69" s="9" t="str">
        <f>chitiet!B2116</f>
        <v>AV50</v>
      </c>
      <c r="B69" s="28" t="str">
        <f>IF(E69=0,"",COUNTIF($E$68:$E69,"&gt;0"))</f>
        <v/>
      </c>
      <c r="C69" s="16" t="s">
        <v>4931</v>
      </c>
      <c r="D69" s="19" t="s">
        <v>2526</v>
      </c>
      <c r="E69" s="24">
        <v>0</v>
      </c>
      <c r="F69" s="10">
        <f>chitiet!E2117</f>
        <v>0</v>
      </c>
      <c r="G69" s="7">
        <f t="shared" ref="G69:G137" si="3">IF(E69&lt;&gt;0,1,0)</f>
        <v>0</v>
      </c>
      <c r="H69" s="4"/>
      <c r="I69" s="4"/>
      <c r="J69" s="4"/>
    </row>
    <row r="70" spans="1:10" s="1" customFormat="1" ht="17.25" hidden="1">
      <c r="A70" s="9" t="str">
        <f>chitiet!B2117</f>
        <v>AC50</v>
      </c>
      <c r="B70" s="28" t="str">
        <f>IF(E70=0,"",COUNTIF($E$68:$E70,"&gt;0"))</f>
        <v/>
      </c>
      <c r="C70" s="16" t="s">
        <v>2752</v>
      </c>
      <c r="D70" s="19" t="s">
        <v>2243</v>
      </c>
      <c r="E70" s="24">
        <v>0</v>
      </c>
      <c r="F70" s="4"/>
      <c r="G70" s="7">
        <f t="shared" si="3"/>
        <v>0</v>
      </c>
      <c r="H70" s="4"/>
      <c r="I70" s="4"/>
      <c r="J70" s="4"/>
    </row>
    <row r="71" spans="1:10" s="1" customFormat="1" ht="17.25" hidden="1">
      <c r="A71" s="9" t="str">
        <f>chitiet!B2118</f>
        <v>ABC3x50</v>
      </c>
      <c r="B71" s="28" t="e">
        <f>IF(E71=0,"",COUNTIF($E$68:$E71,"&gt;0"))</f>
        <v>#N/A</v>
      </c>
      <c r="C71" s="16" t="e">
        <v>#N/A</v>
      </c>
      <c r="D71" s="19" t="e">
        <v>#N/A</v>
      </c>
      <c r="E71" s="24" t="e">
        <v>#N/A</v>
      </c>
      <c r="F71" s="4"/>
      <c r="G71" s="7" t="e">
        <f>IF(E71&lt;&gt;0,1,0)</f>
        <v>#N/A</v>
      </c>
      <c r="H71" s="4"/>
      <c r="I71" s="4"/>
      <c r="J71" s="4"/>
    </row>
    <row r="72" spans="1:10" ht="15"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chitiet!B2120</f>
        <v>ABC4x50</v>
      </c>
      <c r="B73" s="28" t="str">
        <f>IF(E73=0,"",COUNTIF($E$68:$E73,"&gt;0"))</f>
        <v/>
      </c>
      <c r="C73" s="16" t="s">
        <v>2770</v>
      </c>
      <c r="D73" s="19" t="s">
        <v>2526</v>
      </c>
      <c r="E73" s="24">
        <v>0</v>
      </c>
      <c r="F73" s="4"/>
      <c r="G73" s="7">
        <f t="shared" si="3"/>
        <v>0</v>
      </c>
      <c r="H73" s="4"/>
      <c r="I73" s="4"/>
      <c r="J73" s="4"/>
    </row>
    <row r="74" spans="1:10" ht="15">
      <c r="A74" s="100" t="str">
        <f>chitiet!B2121</f>
        <v>ABC4x70</v>
      </c>
      <c r="B74" s="122" t="str">
        <f>IF(E74=0,"",COUNTIF($E$68:$E74,"&gt;0"))</f>
        <v/>
      </c>
      <c r="C74" s="95" t="s">
        <v>2771</v>
      </c>
      <c r="D74" s="78" t="s">
        <v>2526</v>
      </c>
      <c r="E74" s="126">
        <v>0</v>
      </c>
      <c r="F74" s="85"/>
      <c r="G74" s="93">
        <f t="shared" si="3"/>
        <v>0</v>
      </c>
      <c r="H74" s="85"/>
      <c r="I74" s="85"/>
      <c r="J74" s="85"/>
    </row>
    <row r="75" spans="1:10" s="1" customFormat="1" ht="17.25" hidden="1">
      <c r="A75" s="9" t="str">
        <f>chitiet!B2122</f>
        <v>ABC4x95</v>
      </c>
      <c r="B75" s="28" t="str">
        <f>IF(E75=0,"",COUNTIF($E$68:$E75,"&gt;0"))</f>
        <v/>
      </c>
      <c r="C75" s="16" t="s">
        <v>4416</v>
      </c>
      <c r="D75" s="19" t="s">
        <v>2526</v>
      </c>
      <c r="E75" s="24">
        <v>0</v>
      </c>
      <c r="F75" s="4"/>
      <c r="G75" s="7">
        <f t="shared" si="3"/>
        <v>0</v>
      </c>
      <c r="H75" s="4"/>
      <c r="I75" s="4"/>
      <c r="J75" s="4"/>
    </row>
    <row r="76" spans="1:10" s="1" customFormat="1" ht="17.25" hidden="1">
      <c r="A76" s="9" t="str">
        <f>chitiet!B2123</f>
        <v>ABC4x150</v>
      </c>
      <c r="B76" s="28" t="str">
        <f>IF(E76=0,"",COUNTIF($E$68:$E76,"&gt;0"))</f>
        <v/>
      </c>
      <c r="C76" s="16" t="s">
        <v>2773</v>
      </c>
      <c r="D76" s="19" t="s">
        <v>2526</v>
      </c>
      <c r="E76" s="24">
        <v>0</v>
      </c>
      <c r="F76" s="4"/>
      <c r="G76" s="7">
        <f t="shared" si="3"/>
        <v>0</v>
      </c>
      <c r="H76" s="4"/>
      <c r="I76" s="4"/>
      <c r="J76" s="4"/>
    </row>
    <row r="77" spans="1:10" s="1" customFormat="1" ht="17.25"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chitiet!B2126</f>
        <v>ON95</v>
      </c>
      <c r="B78" s="28" t="str">
        <f>IF(E78=0,"",COUNTIF($E$68:$E78,"&gt;0"))</f>
        <v/>
      </c>
      <c r="C78" s="16" t="s">
        <v>2918</v>
      </c>
      <c r="D78" s="19" t="s">
        <v>2547</v>
      </c>
      <c r="E78" s="24">
        <v>0</v>
      </c>
      <c r="F78" s="4"/>
      <c r="G78" s="7">
        <f t="shared" si="4"/>
        <v>0</v>
      </c>
      <c r="H78" s="4"/>
      <c r="I78" s="4"/>
      <c r="J78" s="4"/>
    </row>
    <row r="79" spans="1:10" s="1" customFormat="1" ht="17.25" hidden="1">
      <c r="A79" s="9" t="str">
        <f>chitiet!B2127</f>
        <v>COSE50</v>
      </c>
      <c r="B79" s="28" t="e">
        <f>IF(E79=0,"",COUNTIF($E$68:$E79,"&gt;0"))</f>
        <v>#N/A</v>
      </c>
      <c r="C79" s="16" t="e">
        <v>#N/A</v>
      </c>
      <c r="D79" s="19" t="e">
        <v>#N/A</v>
      </c>
      <c r="E79" s="24" t="e">
        <v>#N/A</v>
      </c>
      <c r="F79" s="4"/>
      <c r="G79" s="7" t="e">
        <f t="shared" si="4"/>
        <v>#N/A</v>
      </c>
      <c r="H79" s="4"/>
      <c r="I79" s="4"/>
      <c r="J79" s="4"/>
    </row>
    <row r="80" spans="1:10" s="1" customFormat="1" ht="17.25" hidden="1">
      <c r="A80" s="9" t="str">
        <f>chitiet!B2128</f>
        <v>COSE70</v>
      </c>
      <c r="B80" s="28" t="str">
        <f>IF(E80=0,"",COUNTIF($E$68:$E80,"&gt;0"))</f>
        <v/>
      </c>
      <c r="C80" s="16" t="s">
        <v>4932</v>
      </c>
      <c r="D80" s="19" t="s">
        <v>2547</v>
      </c>
      <c r="E80" s="24">
        <v>0</v>
      </c>
      <c r="F80" s="4"/>
      <c r="G80" s="7">
        <f t="shared" si="4"/>
        <v>0</v>
      </c>
      <c r="H80" s="4"/>
      <c r="I80" s="4"/>
      <c r="J80" s="4"/>
    </row>
    <row r="81" spans="1:10" s="1" customFormat="1" ht="17.25" hidden="1">
      <c r="A81" s="9" t="str">
        <f>chitiet!B2129</f>
        <v>B1250TH</v>
      </c>
      <c r="B81" s="28" t="e">
        <f>IF(E81=0,"",COUNTIF($E$68:$E81,"&gt;0"))</f>
        <v>#N/A</v>
      </c>
      <c r="C81" s="16" t="e">
        <v>#N/A</v>
      </c>
      <c r="D81" s="19" t="e">
        <v>#N/A</v>
      </c>
      <c r="E81" s="24" t="e">
        <v>#N/A</v>
      </c>
      <c r="F81" s="4"/>
      <c r="G81" s="7" t="e">
        <f t="shared" si="4"/>
        <v>#N/A</v>
      </c>
      <c r="H81" s="4"/>
      <c r="I81" s="4"/>
      <c r="J81" s="4"/>
    </row>
    <row r="82" spans="1:10" s="1" customFormat="1" ht="17.25" hidden="1">
      <c r="A82" s="9" t="str">
        <f>chitiet!B2130</f>
        <v>CTD+K</v>
      </c>
      <c r="B82" s="28" t="e">
        <f>IF(E82=0,"",COUNTIF($E$68:$E82,"&gt;0"))</f>
        <v>#N/A</v>
      </c>
      <c r="C82" s="16" t="e">
        <v>#N/A</v>
      </c>
      <c r="D82" s="19" t="e">
        <v>#N/A</v>
      </c>
      <c r="E82" s="24" t="e">
        <v>#N/A</v>
      </c>
      <c r="F82" s="4"/>
      <c r="G82" s="7" t="e">
        <f t="shared" si="4"/>
        <v>#N/A</v>
      </c>
      <c r="H82" s="4"/>
      <c r="I82" s="4"/>
      <c r="J82" s="4"/>
    </row>
    <row r="83" spans="1:10" s="1" customFormat="1" ht="17.25" hidden="1">
      <c r="A83" s="9" t="str">
        <f>chitiet!B2131</f>
        <v>M25</v>
      </c>
      <c r="B83" s="28" t="e">
        <f>IF(E83=0,"",COUNTIF($E$68:$E83,"&gt;0"))</f>
        <v>#N/A</v>
      </c>
      <c r="C83" s="16" t="e">
        <v>#N/A</v>
      </c>
      <c r="D83" s="19" t="e">
        <v>#N/A</v>
      </c>
      <c r="E83" s="24" t="e">
        <v>#N/A</v>
      </c>
      <c r="F83" s="4"/>
      <c r="G83" s="7" t="e">
        <f t="shared" si="4"/>
        <v>#N/A</v>
      </c>
      <c r="H83" s="4"/>
      <c r="I83" s="4"/>
      <c r="J83" s="4"/>
    </row>
    <row r="84" spans="1:10" ht="15">
      <c r="A84" s="100" t="str">
        <f>chitiet!B2134</f>
        <v>GIP70-35</v>
      </c>
      <c r="B84" s="122" t="str">
        <f>IF(E84=0,"",COUNTIF($E$68:$E84,"&gt;0"))</f>
        <v/>
      </c>
      <c r="C84" s="95" t="s">
        <v>4933</v>
      </c>
      <c r="D84" s="78" t="s">
        <v>2547</v>
      </c>
      <c r="E84" s="126">
        <v>0</v>
      </c>
      <c r="F84" s="85"/>
      <c r="G84" s="93">
        <f t="shared" si="3"/>
        <v>0</v>
      </c>
      <c r="H84" s="85"/>
      <c r="I84" s="85"/>
      <c r="J84" s="85"/>
    </row>
    <row r="85" spans="1:10" ht="15">
      <c r="A85" s="100" t="str">
        <f>chitiet!B2135</f>
        <v>GIP70-70</v>
      </c>
      <c r="B85" s="122" t="str">
        <f>IF(E85=0,"",COUNTIF($E$68:$E85,"&gt;0"))</f>
        <v/>
      </c>
      <c r="C85" s="95" t="s">
        <v>4934</v>
      </c>
      <c r="D85" s="78" t="s">
        <v>2547</v>
      </c>
      <c r="E85" s="126">
        <v>0</v>
      </c>
      <c r="F85" s="85"/>
      <c r="G85" s="93">
        <f>IF(E85&lt;&gt;0,1,0)</f>
        <v>0</v>
      </c>
      <c r="H85" s="85"/>
      <c r="I85" s="85"/>
      <c r="J85" s="85"/>
    </row>
    <row r="86" spans="1:10" s="1" customFormat="1" ht="17.25" hidden="1">
      <c r="A86" s="9" t="str">
        <f>chitiet!B2136</f>
        <v>GIP95-70</v>
      </c>
      <c r="B86" s="28" t="str">
        <f>IF(E86=0,"",COUNTIF($E$68:$E86,"&gt;0"))</f>
        <v/>
      </c>
      <c r="C86" s="16" t="s">
        <v>4935</v>
      </c>
      <c r="D86" s="19" t="s">
        <v>2547</v>
      </c>
      <c r="E86" s="24">
        <v>0</v>
      </c>
      <c r="F86" s="4"/>
      <c r="G86" s="7">
        <f t="shared" si="3"/>
        <v>0</v>
      </c>
      <c r="H86" s="4"/>
      <c r="I86" s="4"/>
      <c r="J86" s="4"/>
    </row>
    <row r="87" spans="1:10" s="1" customFormat="1" ht="17.25" hidden="1">
      <c r="A87" s="9" t="str">
        <f>chitiet!B2137</f>
        <v>GIP150-70</v>
      </c>
      <c r="B87" s="28" t="str">
        <f>IF(E87=0,"",COUNTIF($E$68:$E87,"&gt;0"))</f>
        <v/>
      </c>
      <c r="C87" s="16" t="s">
        <v>4936</v>
      </c>
      <c r="D87" s="19" t="s">
        <v>2547</v>
      </c>
      <c r="E87" s="24">
        <v>0</v>
      </c>
      <c r="F87" s="4"/>
      <c r="G87" s="7">
        <f>IF(E87&lt;&gt;0,1,0)</f>
        <v>0</v>
      </c>
      <c r="H87" s="4"/>
      <c r="I87" s="4"/>
      <c r="J87" s="4"/>
    </row>
    <row r="88" spans="1:10" s="1" customFormat="1" ht="17.25" hidden="1">
      <c r="A88" s="9" t="str">
        <f>chitiet!B2138</f>
        <v>GIP95-150</v>
      </c>
      <c r="B88" s="28" t="str">
        <f>IF(E88=0,"",COUNTIF($E$68:$E88,"&gt;0"))</f>
        <v/>
      </c>
      <c r="C88" s="16" t="s">
        <v>4937</v>
      </c>
      <c r="D88" s="19" t="s">
        <v>2547</v>
      </c>
      <c r="E88" s="24">
        <v>0</v>
      </c>
      <c r="F88" s="4"/>
      <c r="G88" s="7">
        <f t="shared" si="3"/>
        <v>0</v>
      </c>
      <c r="H88" s="4"/>
      <c r="I88" s="4"/>
      <c r="J88" s="4"/>
    </row>
    <row r="89" spans="1:10" s="1" customFormat="1" ht="17.25" hidden="1">
      <c r="A89" s="9" t="str">
        <f>chitiet!B2141</f>
        <v>GIP95-50</v>
      </c>
      <c r="B89" s="28" t="str">
        <f>IF(E89=0,"",COUNTIF($E$68:$E89,"&gt;0"))</f>
        <v/>
      </c>
      <c r="C89" s="16" t="s">
        <v>4938</v>
      </c>
      <c r="D89" s="19" t="s">
        <v>2547</v>
      </c>
      <c r="E89" s="24">
        <v>0</v>
      </c>
      <c r="F89" s="4"/>
      <c r="G89" s="7">
        <f t="shared" si="3"/>
        <v>0</v>
      </c>
      <c r="H89" s="4"/>
      <c r="I89" s="4"/>
      <c r="J89" s="4"/>
    </row>
    <row r="90" spans="1:10" ht="15">
      <c r="A90" s="100" t="str">
        <f>chitiet!B2142</f>
        <v>ke95</v>
      </c>
      <c r="B90" s="122" t="str">
        <f>IF(E90=0,"",COUNTIF($E$68:$E90,"&gt;0"))</f>
        <v/>
      </c>
      <c r="C90" s="95" t="s">
        <v>2867</v>
      </c>
      <c r="D90" s="78" t="s">
        <v>2547</v>
      </c>
      <c r="E90" s="126">
        <v>0</v>
      </c>
      <c r="F90" s="85"/>
      <c r="G90" s="93">
        <f t="shared" si="3"/>
        <v>0</v>
      </c>
      <c r="H90" s="85"/>
      <c r="I90" s="85"/>
      <c r="J90" s="85"/>
    </row>
    <row r="91" spans="1:10" s="1" customFormat="1" ht="17.25" hidden="1">
      <c r="A91" s="9" t="str">
        <f>chitiet!B2139</f>
        <v>GIP95-25</v>
      </c>
      <c r="B91" s="28" t="e">
        <f>IF(E91=0,"",COUNTIF($E$68:$E91,"&gt;0"))</f>
        <v>#N/A</v>
      </c>
      <c r="C91" s="16" t="e">
        <v>#N/A</v>
      </c>
      <c r="D91" s="19" t="e">
        <v>#N/A</v>
      </c>
      <c r="E91" s="24" t="e">
        <v>#N/A</v>
      </c>
      <c r="F91" s="4"/>
      <c r="G91" s="7" t="e">
        <f t="shared" si="3"/>
        <v>#N/A</v>
      </c>
      <c r="H91" s="4"/>
      <c r="I91" s="4"/>
      <c r="J91" s="4"/>
    </row>
    <row r="92" spans="1:10" s="1" customFormat="1" ht="17.25" hidden="1">
      <c r="A92" s="9" t="str">
        <f>chitiet!B2143</f>
        <v>GIP50-35</v>
      </c>
      <c r="B92" s="28" t="str">
        <f>IF(E92=0,"",COUNTIF($E$68:$E92,"&gt;0"))</f>
        <v/>
      </c>
      <c r="C92" s="16" t="s">
        <v>4939</v>
      </c>
      <c r="D92" s="19" t="s">
        <v>2547</v>
      </c>
      <c r="E92" s="24">
        <v>0</v>
      </c>
      <c r="F92" s="4"/>
      <c r="G92" s="7">
        <f t="shared" si="3"/>
        <v>0</v>
      </c>
      <c r="H92" s="4"/>
      <c r="I92" s="4"/>
      <c r="J92" s="4"/>
    </row>
    <row r="93" spans="1:10" ht="15">
      <c r="A93" s="100" t="str">
        <f>chitiet!B2148</f>
        <v>HOP9C</v>
      </c>
      <c r="B93" s="122" t="str">
        <f>IF(E93=0,"",COUNTIF($E$68:$E93,"&gt;0"))</f>
        <v/>
      </c>
      <c r="C93" s="95" t="s">
        <v>4940</v>
      </c>
      <c r="D93" s="78" t="s">
        <v>2547</v>
      </c>
      <c r="E93" s="126">
        <v>0</v>
      </c>
      <c r="F93" s="85"/>
      <c r="G93" s="93">
        <f t="shared" si="3"/>
        <v>0</v>
      </c>
      <c r="H93" s="85"/>
      <c r="I93" s="85"/>
      <c r="J93" s="85"/>
    </row>
    <row r="94" spans="1:10" s="1" customFormat="1" ht="17.25" hidden="1">
      <c r="A94" s="9" t="str">
        <f>chitiet!B2146</f>
        <v>HOP6C</v>
      </c>
      <c r="B94" s="28" t="str">
        <f>IF(E94=0,"",COUNTIF($E$68:$E94,"&gt;0"))</f>
        <v/>
      </c>
      <c r="C94" s="16" t="s">
        <v>4941</v>
      </c>
      <c r="D94" s="19" t="s">
        <v>2547</v>
      </c>
      <c r="E94" s="24">
        <v>0</v>
      </c>
      <c r="F94" s="4"/>
      <c r="G94" s="7">
        <f t="shared" si="3"/>
        <v>0</v>
      </c>
      <c r="H94" s="4"/>
      <c r="I94" s="4"/>
      <c r="J94" s="4"/>
    </row>
    <row r="95" spans="1:10" ht="15">
      <c r="A95" s="100" t="str">
        <f>chitiet!B2147</f>
        <v>CV25</v>
      </c>
      <c r="B95" s="122" t="str">
        <f>IF(E95=0,"",COUNTIF($E$68:$E95,"&gt;0"))</f>
        <v/>
      </c>
      <c r="C95" s="95" t="s">
        <v>2782</v>
      </c>
      <c r="D95" s="78" t="s">
        <v>2526</v>
      </c>
      <c r="E95" s="126">
        <v>0</v>
      </c>
      <c r="F95" s="85"/>
      <c r="G95" s="93">
        <f t="shared" si="3"/>
        <v>0</v>
      </c>
      <c r="H95" s="85"/>
      <c r="I95" s="85"/>
      <c r="J95" s="85"/>
    </row>
    <row r="96" spans="1:10" s="1" customFormat="1" ht="17.25" hidden="1">
      <c r="A96" s="9" t="str">
        <f>chitiet!B2149</f>
        <v>KTREO120</v>
      </c>
      <c r="B96" s="28" t="str">
        <f>IF(E96=0,"",COUNTIF($E$68:$E96,"&gt;0"))</f>
        <v/>
      </c>
      <c r="C96" s="16" t="s">
        <v>2833</v>
      </c>
      <c r="D96" s="19" t="s">
        <v>2547</v>
      </c>
      <c r="E96" s="24">
        <v>0</v>
      </c>
      <c r="F96" s="4"/>
      <c r="G96" s="7">
        <f t="shared" si="3"/>
        <v>0</v>
      </c>
      <c r="H96" s="4"/>
      <c r="I96" s="4"/>
      <c r="J96" s="4"/>
    </row>
    <row r="97" spans="1:10" s="1" customFormat="1" ht="17.25" hidden="1">
      <c r="A97" s="9" t="str">
        <f>chitiet!B2150</f>
        <v>KTREO95</v>
      </c>
      <c r="B97" s="28" t="str">
        <f>IF(E97=0,"",COUNTIF($E$68:$E97,"&gt;0"))</f>
        <v/>
      </c>
      <c r="C97" s="16" t="s">
        <v>4794</v>
      </c>
      <c r="D97" s="19" t="s">
        <v>2547</v>
      </c>
      <c r="E97" s="24">
        <v>0</v>
      </c>
      <c r="F97" s="4"/>
      <c r="G97" s="7">
        <f t="shared" si="3"/>
        <v>0</v>
      </c>
      <c r="H97" s="4"/>
      <c r="I97" s="4"/>
      <c r="J97" s="4"/>
    </row>
    <row r="98" spans="1:10" ht="15">
      <c r="A98" s="100" t="str">
        <f>chitiet!B2151</f>
        <v>KTREO70</v>
      </c>
      <c r="B98" s="122" t="str">
        <f>IF(E98=0,"",COUNTIF($E$68:$E98,"&gt;0"))</f>
        <v/>
      </c>
      <c r="C98" s="95" t="s">
        <v>2832</v>
      </c>
      <c r="D98" s="78" t="s">
        <v>2547</v>
      </c>
      <c r="E98" s="126">
        <v>0</v>
      </c>
      <c r="F98" s="85"/>
      <c r="G98" s="93">
        <f t="shared" si="3"/>
        <v>0</v>
      </c>
      <c r="H98" s="85"/>
      <c r="I98" s="85"/>
      <c r="J98" s="85"/>
    </row>
    <row r="99" spans="1:10" s="1" customFormat="1" ht="17.25" hidden="1">
      <c r="A99" s="9" t="str">
        <f>chitiet!B2152</f>
        <v>KTREO50</v>
      </c>
      <c r="B99" s="28" t="str">
        <f>IF(E99=0,"",COUNTIF($E$68:$E99,"&gt;0"))</f>
        <v/>
      </c>
      <c r="C99" s="16" t="s">
        <v>2831</v>
      </c>
      <c r="D99" s="19" t="s">
        <v>2547</v>
      </c>
      <c r="E99" s="24">
        <v>0</v>
      </c>
      <c r="F99" s="4"/>
      <c r="G99" s="7">
        <f t="shared" si="3"/>
        <v>0</v>
      </c>
      <c r="H99" s="4"/>
      <c r="I99" s="4"/>
      <c r="J99" s="4"/>
    </row>
    <row r="100" spans="1:10" ht="15"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7.25"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7.25" hidden="1">
      <c r="A102" s="9" t="str">
        <f>chitiet!B2155</f>
        <v>KNGUNG95</v>
      </c>
      <c r="B102" s="28" t="str">
        <f>IF(E102=0,"",COUNTIF($E$68:$E102,"&gt;0"))</f>
        <v/>
      </c>
      <c r="C102" s="16" t="s">
        <v>4681</v>
      </c>
      <c r="D102" s="19" t="s">
        <v>2547</v>
      </c>
      <c r="E102" s="24">
        <v>0</v>
      </c>
      <c r="F102" s="4"/>
      <c r="G102" s="7">
        <f t="shared" si="3"/>
        <v>0</v>
      </c>
      <c r="H102" s="4"/>
      <c r="I102" s="4"/>
      <c r="J102" s="4"/>
    </row>
    <row r="103" spans="1:10" ht="15">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7.25"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7.25"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7.25" hidden="1">
      <c r="A106" s="9" t="str">
        <f>chitiet!B2159</f>
        <v>BIT95</v>
      </c>
      <c r="B106" s="28" t="str">
        <f>IF(E106=0,"",COUNTIF($E$68:$E106,"&gt;0"))</f>
        <v/>
      </c>
      <c r="C106" s="16" t="s">
        <v>2860</v>
      </c>
      <c r="D106" s="19" t="s">
        <v>2547</v>
      </c>
      <c r="E106" s="24">
        <v>0</v>
      </c>
      <c r="F106" s="4"/>
      <c r="G106" s="7">
        <f t="shared" si="3"/>
        <v>0</v>
      </c>
      <c r="H106" s="4"/>
      <c r="I106" s="4"/>
      <c r="J106" s="4"/>
    </row>
    <row r="107" spans="1:10" ht="15" hidden="1">
      <c r="A107" s="100" t="str">
        <f>chitiet!B2160</f>
        <v>BIT70</v>
      </c>
      <c r="B107" s="122" t="str">
        <f>IF(E107=0,"",COUNTIF($E$68:$E107,"&gt;0"))</f>
        <v/>
      </c>
      <c r="C107" s="95" t="s">
        <v>2861</v>
      </c>
      <c r="D107" s="78" t="s">
        <v>2547</v>
      </c>
      <c r="E107" s="126">
        <v>0</v>
      </c>
      <c r="F107" s="85"/>
      <c r="G107" s="93">
        <f t="shared" si="3"/>
        <v>0</v>
      </c>
      <c r="H107" s="85"/>
      <c r="I107" s="85"/>
      <c r="J107" s="85"/>
    </row>
    <row r="108" spans="1:10" ht="15">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chitiet!B2170</f>
        <v>r2</v>
      </c>
      <c r="B109" s="28" t="str">
        <f>IF(E109=0,"",COUNTIF($E$68:$E109,"&gt;0"))</f>
        <v/>
      </c>
      <c r="C109" s="16" t="s">
        <v>3970</v>
      </c>
      <c r="D109" s="19" t="s">
        <v>2433</v>
      </c>
      <c r="E109" s="24">
        <v>0</v>
      </c>
      <c r="F109" s="4"/>
      <c r="G109" s="7">
        <f t="shared" si="3"/>
        <v>0</v>
      </c>
      <c r="H109" s="4"/>
      <c r="I109" s="4"/>
      <c r="J109" s="4"/>
    </row>
    <row r="110" spans="1:10" s="1" customFormat="1" ht="17.25" hidden="1">
      <c r="A110" s="9" t="str">
        <f>chitiet!B2171</f>
        <v>r3</v>
      </c>
      <c r="B110" s="28" t="str">
        <f>IF(E110=0,"",COUNTIF($E$68:$E110,"&gt;0"))</f>
        <v/>
      </c>
      <c r="C110" s="16" t="s">
        <v>3926</v>
      </c>
      <c r="D110" s="19" t="s">
        <v>2433</v>
      </c>
      <c r="E110" s="24">
        <v>0</v>
      </c>
      <c r="F110" s="4"/>
      <c r="G110" s="7">
        <f t="shared" si="3"/>
        <v>0</v>
      </c>
      <c r="H110" s="4"/>
      <c r="I110" s="4"/>
      <c r="J110" s="4"/>
    </row>
    <row r="111" spans="1:10" s="1" customFormat="1" ht="17.25"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7.25"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7.25" hidden="1">
      <c r="A118" s="9" t="str">
        <f>chitiet!B2179</f>
        <v>pvc114</v>
      </c>
      <c r="B118" s="28" t="str">
        <f>IF(E118=0,"",COUNTIF($E$68:$E118,"&gt;0"))</f>
        <v/>
      </c>
      <c r="C118" s="16" t="s">
        <v>4922</v>
      </c>
      <c r="D118" s="19" t="s">
        <v>1818</v>
      </c>
      <c r="E118" s="24">
        <v>0</v>
      </c>
      <c r="F118" s="4"/>
      <c r="G118" s="7">
        <f t="shared" si="5"/>
        <v>0</v>
      </c>
      <c r="H118" s="4"/>
      <c r="I118" s="4"/>
      <c r="J118" s="4"/>
    </row>
    <row r="119" spans="1:10" s="1" customFormat="1" ht="17.25" hidden="1">
      <c r="A119" s="9" t="str">
        <f>chitiet!B2180</f>
        <v>cut114t</v>
      </c>
      <c r="B119" s="28" t="str">
        <f>IF(E119=0,"",COUNTIF($E$68:$E119,"&gt;0"))</f>
        <v/>
      </c>
      <c r="C119" s="16" t="s">
        <v>4923</v>
      </c>
      <c r="D119" s="19" t="s">
        <v>2547</v>
      </c>
      <c r="E119" s="24">
        <v>0</v>
      </c>
      <c r="F119" s="4"/>
      <c r="G119" s="7">
        <f t="shared" si="5"/>
        <v>0</v>
      </c>
      <c r="H119" s="4"/>
      <c r="I119" s="4"/>
      <c r="J119" s="4"/>
    </row>
    <row r="120" spans="1:10" s="1" customFormat="1" ht="17.25" hidden="1">
      <c r="A120" s="9" t="str">
        <f>chitiet!B2181</f>
        <v>CD114</v>
      </c>
      <c r="B120" s="28" t="str">
        <f>IF(E120=0,"",COUNTIF($E$68:$E120,"&gt;0"))</f>
        <v/>
      </c>
      <c r="C120" s="16" t="s">
        <v>4942</v>
      </c>
      <c r="D120" s="19" t="s">
        <v>2433</v>
      </c>
      <c r="E120" s="24">
        <v>0</v>
      </c>
      <c r="F120" s="4"/>
      <c r="G120" s="7">
        <f t="shared" si="5"/>
        <v>0</v>
      </c>
      <c r="H120" s="4"/>
      <c r="I120" s="4"/>
      <c r="J120" s="4"/>
    </row>
    <row r="121" spans="1:10" s="1" customFormat="1" ht="17.25" hidden="1">
      <c r="A121" s="9" t="str">
        <f>chitiet!B2182</f>
        <v>B1650</v>
      </c>
      <c r="B121" s="28" t="e">
        <f>IF(E121=0,"",COUNTIF($E$68:$E121,"&gt;0"))</f>
        <v>#N/A</v>
      </c>
      <c r="C121" s="16" t="e">
        <v>#N/A</v>
      </c>
      <c r="D121" s="19" t="e">
        <v>#N/A</v>
      </c>
      <c r="E121" s="24" t="e">
        <v>#N/A</v>
      </c>
      <c r="F121" s="4"/>
      <c r="G121" s="7" t="e">
        <f t="shared" si="3"/>
        <v>#N/A</v>
      </c>
      <c r="H121" s="4"/>
      <c r="I121" s="4"/>
      <c r="J121" s="4"/>
    </row>
    <row r="122" spans="1:10" ht="15">
      <c r="A122" s="100" t="str">
        <f>chitiet!B2183</f>
        <v>B16250</v>
      </c>
      <c r="B122" s="122" t="str">
        <f>IF(E122=0,"",COUNTIF($E$68:$E122,"&gt;0"))</f>
        <v/>
      </c>
      <c r="C122" s="95" t="s">
        <v>2637</v>
      </c>
      <c r="D122" s="78" t="s">
        <v>2433</v>
      </c>
      <c r="E122" s="126">
        <v>0</v>
      </c>
      <c r="F122" s="85"/>
      <c r="G122" s="93">
        <f>IF(E122&lt;&gt;0,1,0)</f>
        <v>0</v>
      </c>
      <c r="H122" s="85"/>
      <c r="I122" s="85"/>
      <c r="J122" s="85"/>
    </row>
    <row r="123" spans="1:10" ht="15"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7.25" hidden="1">
      <c r="A124" s="9" t="str">
        <f>chitiet!B2185</f>
        <v>B16350</v>
      </c>
      <c r="B124" s="28" t="str">
        <f>IF(E124=0,"",COUNTIF($E$68:$E124,"&gt;0"))</f>
        <v/>
      </c>
      <c r="C124" s="16" t="s">
        <v>2643</v>
      </c>
      <c r="D124" s="19" t="s">
        <v>2433</v>
      </c>
      <c r="E124" s="24">
        <v>0</v>
      </c>
      <c r="F124" s="4"/>
      <c r="G124" s="7">
        <f t="shared" si="3"/>
        <v>0</v>
      </c>
      <c r="H124" s="4"/>
      <c r="I124" s="4"/>
      <c r="J124" s="4"/>
    </row>
    <row r="125" spans="1:10" ht="15">
      <c r="A125" s="100" t="str">
        <f>chitiet!B2188</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chitiet!B2187</f>
        <v>BMoc16300</v>
      </c>
      <c r="B126" s="122" t="str">
        <f>IF(E126=0,"",COUNTIF($E$68:$E126,"&gt;0"))</f>
        <v/>
      </c>
      <c r="C126" s="95" t="s">
        <v>4899</v>
      </c>
      <c r="D126" s="78" t="s">
        <v>2433</v>
      </c>
      <c r="E126" s="126">
        <v>0</v>
      </c>
      <c r="F126" s="85"/>
      <c r="G126" s="93">
        <f t="shared" si="3"/>
        <v>0</v>
      </c>
      <c r="H126" s="85"/>
      <c r="I126" s="85"/>
      <c r="J126" s="85"/>
    </row>
    <row r="127" spans="1:10" ht="15">
      <c r="A127" s="100" t="str">
        <f>chitiet!B2186</f>
        <v>BMoc16250</v>
      </c>
      <c r="B127" s="122" t="str">
        <f>IF(E127=0,"",COUNTIF($E$68:$E127,"&gt;0"))</f>
        <v/>
      </c>
      <c r="C127" s="95" t="s">
        <v>4898</v>
      </c>
      <c r="D127" s="78" t="s">
        <v>2433</v>
      </c>
      <c r="E127" s="126">
        <v>0</v>
      </c>
      <c r="F127" s="85"/>
      <c r="G127" s="93">
        <f t="shared" si="3"/>
        <v>0</v>
      </c>
      <c r="H127" s="85"/>
      <c r="I127" s="85"/>
      <c r="J127" s="85"/>
    </row>
    <row r="128" spans="1:10" ht="15" hidden="1">
      <c r="A128" s="100" t="str">
        <f>chitiet!B2187</f>
        <v>BMoc16300</v>
      </c>
      <c r="B128" s="122" t="str">
        <f>IF(E128=0,"",COUNTIF($E$68:$E128,"&gt;0"))</f>
        <v/>
      </c>
      <c r="C128" s="95" t="s">
        <v>4899</v>
      </c>
      <c r="D128" s="78" t="s">
        <v>2433</v>
      </c>
      <c r="E128" s="126">
        <v>0</v>
      </c>
      <c r="F128" s="85"/>
      <c r="G128" s="93">
        <f>IF(E128&lt;&gt;0,1,0)</f>
        <v>0</v>
      </c>
      <c r="H128" s="85"/>
      <c r="I128" s="85"/>
      <c r="J128" s="85"/>
    </row>
    <row r="129" spans="1:10" s="1" customFormat="1" ht="17.25" hidden="1">
      <c r="A129" s="9" t="str">
        <f>chitiet!B2189</f>
        <v>cdtrudoiHT</v>
      </c>
      <c r="B129" s="28" t="str">
        <f>IF(E129=0,"",COUNTIF($E$68:$E129,"&gt;0"))</f>
        <v/>
      </c>
      <c r="C129" s="16" t="s">
        <v>4954</v>
      </c>
      <c r="D129" s="19" t="s">
        <v>2433</v>
      </c>
      <c r="E129" s="24">
        <v>0</v>
      </c>
      <c r="F129" s="4"/>
      <c r="G129" s="7">
        <f>IF(E129&lt;&gt;0,1,0)</f>
        <v>0</v>
      </c>
      <c r="H129" s="4"/>
      <c r="I129" s="4"/>
      <c r="J129" s="4"/>
    </row>
    <row r="130" spans="1:10" s="1" customFormat="1" ht="17.25"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7.25"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chitiet!B2190</f>
        <v>c3/8</v>
      </c>
      <c r="B132" s="28" t="str">
        <f>IF(E132=0,"",COUNTIF($E$68:$E132,"&gt;0"))</f>
        <v/>
      </c>
      <c r="C132" s="16" t="s">
        <v>2811</v>
      </c>
      <c r="D132" s="19" t="s">
        <v>2526</v>
      </c>
      <c r="E132" s="24">
        <v>0</v>
      </c>
      <c r="F132" s="4"/>
      <c r="G132" s="7">
        <f t="shared" si="3"/>
        <v>0</v>
      </c>
      <c r="H132" s="4"/>
      <c r="I132" s="4"/>
      <c r="J132" s="4"/>
    </row>
    <row r="133" spans="1:10" s="1" customFormat="1" ht="17.25"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7.25"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7.25"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chitiet!B2194</f>
        <v>DAYA</v>
      </c>
      <c r="B136" s="28" t="str">
        <f>IF(E136=0,"",COUNTIF($E$68:$E136,"&gt;0"))</f>
        <v/>
      </c>
      <c r="C136" s="16" t="s">
        <v>4921</v>
      </c>
      <c r="D136" s="19" t="s">
        <v>2243</v>
      </c>
      <c r="E136" s="24">
        <v>0</v>
      </c>
      <c r="F136" s="4"/>
      <c r="G136" s="7">
        <f t="shared" si="3"/>
        <v>0</v>
      </c>
      <c r="H136" s="4"/>
      <c r="I136" s="4"/>
      <c r="J136" s="4"/>
    </row>
    <row r="137" spans="1:10" s="1" customFormat="1" ht="17.25" hidden="1">
      <c r="A137" s="9" t="str">
        <f>chitiet!B2196</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71" t="s">
        <v>3903</v>
      </c>
      <c r="B4" s="3165" t="s">
        <v>3954</v>
      </c>
      <c r="C4" s="3165" t="s">
        <v>3750</v>
      </c>
      <c r="D4" s="3116" t="s">
        <v>3955</v>
      </c>
      <c r="E4" s="3116" t="s">
        <v>3956</v>
      </c>
      <c r="F4" s="3116" t="s">
        <v>2016</v>
      </c>
      <c r="G4" s="3116" t="s">
        <v>2197</v>
      </c>
      <c r="H4" s="3116" t="s">
        <v>116</v>
      </c>
      <c r="I4" s="3116" t="s">
        <v>1147</v>
      </c>
      <c r="J4" s="3116" t="s">
        <v>1146</v>
      </c>
      <c r="K4" s="3116" t="s">
        <v>1145</v>
      </c>
      <c r="L4" s="3116" t="s">
        <v>2256</v>
      </c>
      <c r="M4" s="3116" t="s">
        <v>2255</v>
      </c>
      <c r="N4" s="3116" t="s">
        <v>2254</v>
      </c>
      <c r="O4" s="3116" t="s">
        <v>3758</v>
      </c>
      <c r="P4" s="3116" t="s">
        <v>3890</v>
      </c>
      <c r="Q4" s="3152" t="s">
        <v>3760</v>
      </c>
      <c r="R4" s="3154" t="s">
        <v>3957</v>
      </c>
      <c r="S4" s="3126"/>
      <c r="T4" s="3126"/>
      <c r="U4" s="3178"/>
      <c r="V4" s="3155" t="s">
        <v>3861</v>
      </c>
      <c r="W4" s="3156"/>
      <c r="X4" s="3156"/>
      <c r="Y4" s="3156"/>
      <c r="Z4" s="3156"/>
      <c r="AA4" s="3156"/>
      <c r="AB4" s="3156"/>
      <c r="AC4" s="3156"/>
      <c r="AD4" s="3156"/>
      <c r="AE4" s="3156"/>
      <c r="AF4" s="3156"/>
      <c r="AG4" s="3156"/>
      <c r="AH4" s="3156"/>
      <c r="AI4" s="3156"/>
      <c r="AJ4" s="3156"/>
      <c r="AK4" s="3156"/>
      <c r="AL4" s="3156"/>
      <c r="AM4" s="3156"/>
      <c r="AN4" s="3156"/>
      <c r="AO4" s="3156"/>
      <c r="AP4" s="3156"/>
      <c r="AQ4" s="3156"/>
      <c r="AR4" s="3156"/>
      <c r="AS4" s="3156"/>
      <c r="AT4" s="3156"/>
      <c r="AU4" s="3179"/>
      <c r="AV4" s="642"/>
      <c r="AW4" s="505" t="s">
        <v>3958</v>
      </c>
      <c r="AX4" s="642"/>
      <c r="AY4" s="642"/>
      <c r="AZ4" s="642"/>
      <c r="BA4" s="522"/>
      <c r="BB4" s="642"/>
      <c r="BC4" s="522"/>
      <c r="BD4" s="642"/>
      <c r="BE4" s="642"/>
      <c r="BF4" s="630" t="s">
        <v>3864</v>
      </c>
      <c r="BG4" s="642"/>
      <c r="BH4" s="642"/>
      <c r="BI4" s="642"/>
      <c r="BJ4" s="642"/>
      <c r="BK4" s="642"/>
      <c r="BL4" s="642"/>
      <c r="BM4" s="642"/>
      <c r="BN4" s="642"/>
      <c r="BO4" s="642"/>
      <c r="BP4" s="3116" t="s">
        <v>2378</v>
      </c>
      <c r="BQ4" s="3116" t="s">
        <v>2383</v>
      </c>
      <c r="BR4" s="3116" t="s">
        <v>2382</v>
      </c>
      <c r="BS4" s="3116" t="s">
        <v>2381</v>
      </c>
      <c r="BT4" s="3116" t="s">
        <v>3959</v>
      </c>
      <c r="BU4" s="3116" t="s">
        <v>3960</v>
      </c>
      <c r="BV4" s="3157" t="s">
        <v>3907</v>
      </c>
      <c r="BW4" s="556" t="s">
        <v>3961</v>
      </c>
      <c r="BX4" s="643"/>
      <c r="BY4" s="643"/>
      <c r="BZ4" s="557"/>
      <c r="CA4" s="3173" t="s">
        <v>3962</v>
      </c>
      <c r="CB4" s="3173" t="s">
        <v>3909</v>
      </c>
      <c r="CC4" s="3176" t="s">
        <v>3914</v>
      </c>
      <c r="CD4" s="3177"/>
      <c r="CE4" s="3177"/>
      <c r="CF4" s="3177"/>
      <c r="CG4" s="3177"/>
      <c r="CH4" s="3177"/>
      <c r="CI4" s="3177"/>
      <c r="CJ4" s="3177"/>
      <c r="CK4" s="3177"/>
      <c r="CL4" s="644" t="s">
        <v>473</v>
      </c>
      <c r="CM4" s="645"/>
      <c r="CN4" s="3150" t="s">
        <v>3963</v>
      </c>
      <c r="CO4" s="3150" t="s">
        <v>3917</v>
      </c>
      <c r="CP4" s="3150" t="s">
        <v>3918</v>
      </c>
      <c r="CQ4" s="3150" t="s">
        <v>3919</v>
      </c>
      <c r="CR4" s="3150" t="s">
        <v>2835</v>
      </c>
      <c r="CS4" s="3165" t="s">
        <v>3920</v>
      </c>
      <c r="CT4" s="3165" t="s">
        <v>3964</v>
      </c>
      <c r="CU4" s="3165" t="s">
        <v>3383</v>
      </c>
      <c r="CV4" s="3165" t="s">
        <v>3965</v>
      </c>
      <c r="CW4" s="3165" t="s">
        <v>3966</v>
      </c>
      <c r="CX4" s="3175" t="s">
        <v>3967</v>
      </c>
      <c r="CY4" s="3163" t="s">
        <v>2591</v>
      </c>
    </row>
    <row r="5" spans="1:234" s="523" customFormat="1" ht="142.5" customHeight="1">
      <c r="A5" s="3172"/>
      <c r="B5" s="3113"/>
      <c r="C5" s="3113"/>
      <c r="D5" s="3117"/>
      <c r="E5" s="3117"/>
      <c r="F5" s="3117"/>
      <c r="G5" s="3117"/>
      <c r="H5" s="3117"/>
      <c r="I5" s="3117"/>
      <c r="J5" s="3117"/>
      <c r="K5" s="3117"/>
      <c r="L5" s="3117"/>
      <c r="M5" s="3117"/>
      <c r="N5" s="3117"/>
      <c r="O5" s="3117"/>
      <c r="P5" s="3117"/>
      <c r="Q5" s="3153"/>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17"/>
      <c r="BQ5" s="3117"/>
      <c r="BR5" s="3117"/>
      <c r="BS5" s="3117"/>
      <c r="BT5" s="3117"/>
      <c r="BU5" s="3117"/>
      <c r="BV5" s="3158"/>
      <c r="BW5" s="547" t="s">
        <v>3969</v>
      </c>
      <c r="BX5" s="547" t="s">
        <v>3970</v>
      </c>
      <c r="BY5" s="547" t="s">
        <v>2029</v>
      </c>
      <c r="BZ5" s="547" t="s">
        <v>1443</v>
      </c>
      <c r="CA5" s="3174"/>
      <c r="CB5" s="3174"/>
      <c r="CC5" s="548" t="s">
        <v>3928</v>
      </c>
      <c r="CD5" s="548" t="s">
        <v>3971</v>
      </c>
      <c r="CE5" s="548" t="s">
        <v>3929</v>
      </c>
      <c r="CF5" s="548" t="s">
        <v>3972</v>
      </c>
      <c r="CG5" s="548" t="s">
        <v>3973</v>
      </c>
      <c r="CH5" s="548" t="s">
        <v>3930</v>
      </c>
      <c r="CI5" s="548" t="s">
        <v>3931</v>
      </c>
      <c r="CJ5" s="548" t="s">
        <v>3974</v>
      </c>
      <c r="CK5" s="548" t="s">
        <v>3975</v>
      </c>
      <c r="CL5" s="548" t="s">
        <v>3976</v>
      </c>
      <c r="CM5" s="548" t="s">
        <v>3977</v>
      </c>
      <c r="CN5" s="3137"/>
      <c r="CO5" s="3137"/>
      <c r="CP5" s="3137"/>
      <c r="CQ5" s="3137"/>
      <c r="CR5" s="3137"/>
      <c r="CS5" s="3166"/>
      <c r="CT5" s="3166"/>
      <c r="CU5" s="3166"/>
      <c r="CV5" s="3166"/>
      <c r="CW5" s="3166"/>
      <c r="CX5" s="3149"/>
      <c r="CY5" s="3164"/>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51" t="s">
        <v>3945</v>
      </c>
      <c r="B316" s="3151"/>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51" t="s">
        <v>4023</v>
      </c>
      <c r="B317" s="3151"/>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51" t="s">
        <v>3947</v>
      </c>
      <c r="B318" s="3151"/>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51" t="s">
        <v>4024</v>
      </c>
      <c r="B319" s="3151"/>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51" t="s">
        <v>4025</v>
      </c>
      <c r="B320" s="3151"/>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51" t="s">
        <v>3951</v>
      </c>
      <c r="B321" s="3151"/>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4027</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83" t="s">
        <v>3903</v>
      </c>
      <c r="B4" s="3185" t="s">
        <v>3954</v>
      </c>
      <c r="C4" s="3185" t="s">
        <v>3750</v>
      </c>
      <c r="D4" s="3181" t="s">
        <v>1030</v>
      </c>
      <c r="E4" s="3181" t="s">
        <v>186</v>
      </c>
      <c r="F4" s="3181" t="s">
        <v>2016</v>
      </c>
      <c r="G4" s="3181" t="s">
        <v>2197</v>
      </c>
      <c r="H4" s="3181" t="s">
        <v>116</v>
      </c>
      <c r="I4" s="3181" t="s">
        <v>1147</v>
      </c>
      <c r="J4" s="3181" t="s">
        <v>1146</v>
      </c>
      <c r="K4" s="3181" t="s">
        <v>1145</v>
      </c>
      <c r="L4" s="3181" t="s">
        <v>2256</v>
      </c>
      <c r="M4" s="3181" t="s">
        <v>2255</v>
      </c>
      <c r="N4" s="3181" t="s">
        <v>2254</v>
      </c>
      <c r="O4" s="3181" t="s">
        <v>3758</v>
      </c>
      <c r="P4" s="3181" t="s">
        <v>3890</v>
      </c>
      <c r="Q4" s="3181" t="s">
        <v>3760</v>
      </c>
      <c r="R4" s="3195" t="s">
        <v>3957</v>
      </c>
      <c r="S4" s="3196"/>
      <c r="T4" s="3196"/>
      <c r="U4" s="3196"/>
      <c r="V4" s="3197"/>
      <c r="W4" s="3195" t="s">
        <v>3861</v>
      </c>
      <c r="X4" s="3196"/>
      <c r="Y4" s="3196"/>
      <c r="Z4" s="3196"/>
      <c r="AA4" s="3196"/>
      <c r="AB4" s="3196"/>
      <c r="AC4" s="3196"/>
      <c r="AD4" s="3196"/>
      <c r="AE4" s="3196"/>
      <c r="AF4" s="3196"/>
      <c r="AG4" s="3196"/>
      <c r="AH4" s="3196"/>
      <c r="AI4" s="3196"/>
      <c r="AJ4" s="3196"/>
      <c r="AK4" s="3196"/>
      <c r="AL4" s="3196"/>
      <c r="AM4" s="3196"/>
      <c r="AN4" s="3196"/>
      <c r="AO4" s="3196"/>
      <c r="AP4" s="3196"/>
      <c r="AQ4" s="3196"/>
      <c r="AR4" s="3196"/>
      <c r="AS4" s="3196"/>
      <c r="AT4" s="3196"/>
      <c r="AU4" s="3196"/>
      <c r="AV4" s="3197"/>
      <c r="AW4" s="903"/>
      <c r="AX4" s="906" t="s">
        <v>3762</v>
      </c>
      <c r="AY4" s="903"/>
      <c r="AZ4" s="903"/>
      <c r="BA4" s="903"/>
      <c r="BB4" s="903"/>
      <c r="BC4" s="903"/>
      <c r="BD4" s="903"/>
      <c r="BE4" s="903"/>
      <c r="BF4" s="903"/>
      <c r="BG4" s="903" t="s">
        <v>3864</v>
      </c>
      <c r="BH4" s="630"/>
      <c r="BI4" s="630"/>
      <c r="BJ4" s="630"/>
      <c r="BK4" s="630"/>
      <c r="BL4" s="630"/>
      <c r="BM4" s="630"/>
      <c r="BN4" s="630"/>
      <c r="BO4" s="630"/>
      <c r="BP4" s="630"/>
      <c r="BQ4" s="3181" t="s">
        <v>2378</v>
      </c>
      <c r="BR4" s="3181" t="s">
        <v>2383</v>
      </c>
      <c r="BS4" s="3181" t="s">
        <v>4483</v>
      </c>
      <c r="BT4" s="3181" t="s">
        <v>2378</v>
      </c>
      <c r="BU4" s="3181" t="s">
        <v>2384</v>
      </c>
      <c r="BV4" s="3181" t="s">
        <v>2385</v>
      </c>
      <c r="BW4" s="3185" t="s">
        <v>3907</v>
      </c>
      <c r="BX4" s="543" t="s">
        <v>2170</v>
      </c>
      <c r="BY4" s="554"/>
      <c r="BZ4" s="554"/>
      <c r="CA4" s="555"/>
      <c r="CB4" s="3187" t="s">
        <v>3962</v>
      </c>
      <c r="CC4" s="3187" t="s">
        <v>3909</v>
      </c>
      <c r="CD4" s="3187" t="s">
        <v>3910</v>
      </c>
      <c r="CE4" s="3187" t="s">
        <v>3911</v>
      </c>
      <c r="CF4" s="3187" t="s">
        <v>3912</v>
      </c>
      <c r="CG4" s="3187" t="s">
        <v>4029</v>
      </c>
      <c r="CH4" s="3190" t="s">
        <v>3914</v>
      </c>
      <c r="CI4" s="3191"/>
      <c r="CJ4" s="3191"/>
      <c r="CK4" s="3191"/>
      <c r="CL4" s="3191"/>
      <c r="CM4" s="3191"/>
      <c r="CN4" s="3191"/>
      <c r="CO4" s="3191"/>
      <c r="CP4" s="3191"/>
      <c r="CQ4" s="3191"/>
      <c r="CR4" s="3191"/>
      <c r="CS4" s="3191"/>
      <c r="CT4" s="3191"/>
      <c r="CU4" s="3192"/>
      <c r="CV4" s="3190" t="s">
        <v>3915</v>
      </c>
      <c r="CW4" s="3191"/>
      <c r="CX4" s="3191"/>
      <c r="CY4" s="3191"/>
      <c r="CZ4" s="3192"/>
      <c r="DA4" s="3190" t="s">
        <v>3916</v>
      </c>
      <c r="DB4" s="3191"/>
      <c r="DC4" s="3191"/>
      <c r="DD4" s="3192"/>
      <c r="DE4" s="3190" t="s">
        <v>2586</v>
      </c>
      <c r="DF4" s="3191"/>
      <c r="DG4" s="3191"/>
      <c r="DH4" s="3192"/>
      <c r="DI4" s="3190" t="s">
        <v>473</v>
      </c>
      <c r="DJ4" s="3192"/>
      <c r="DK4" s="3187" t="s">
        <v>3963</v>
      </c>
      <c r="DL4" s="3187" t="s">
        <v>3917</v>
      </c>
      <c r="DM4" s="3187" t="s">
        <v>3918</v>
      </c>
      <c r="DN4" s="3187" t="s">
        <v>3919</v>
      </c>
      <c r="DO4" s="3187" t="s">
        <v>2835</v>
      </c>
      <c r="DP4" s="3185" t="s">
        <v>4030</v>
      </c>
      <c r="DQ4" s="3185" t="s">
        <v>4479</v>
      </c>
      <c r="DR4" s="3185" t="s">
        <v>4480</v>
      </c>
      <c r="DS4" s="3185" t="s">
        <v>4481</v>
      </c>
      <c r="DT4" s="3185" t="s">
        <v>3966</v>
      </c>
      <c r="DU4" s="3185" t="s">
        <v>4064</v>
      </c>
      <c r="DV4" s="3193" t="s">
        <v>2591</v>
      </c>
    </row>
    <row r="5" spans="1:256" s="523" customFormat="1" ht="96.75">
      <c r="A5" s="3184"/>
      <c r="B5" s="3186"/>
      <c r="C5" s="3186"/>
      <c r="D5" s="3182"/>
      <c r="E5" s="3182"/>
      <c r="F5" s="3182"/>
      <c r="G5" s="3182"/>
      <c r="H5" s="3182"/>
      <c r="I5" s="3182"/>
      <c r="J5" s="3182"/>
      <c r="K5" s="3182"/>
      <c r="L5" s="3182"/>
      <c r="M5" s="3182"/>
      <c r="N5" s="3182"/>
      <c r="O5" s="3182"/>
      <c r="P5" s="3182"/>
      <c r="Q5" s="3182"/>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82"/>
      <c r="BR5" s="3182"/>
      <c r="BS5" s="3182"/>
      <c r="BT5" s="3182"/>
      <c r="BU5" s="3182"/>
      <c r="BV5" s="3182"/>
      <c r="BW5" s="3189"/>
      <c r="BX5" s="786" t="s">
        <v>3969</v>
      </c>
      <c r="BY5" s="786" t="s">
        <v>3970</v>
      </c>
      <c r="BZ5" s="786" t="s">
        <v>3926</v>
      </c>
      <c r="CA5" s="786" t="s">
        <v>4477</v>
      </c>
      <c r="CB5" s="3188"/>
      <c r="CC5" s="3188"/>
      <c r="CD5" s="3188"/>
      <c r="CE5" s="3188"/>
      <c r="CF5" s="3188"/>
      <c r="CG5" s="3188"/>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88"/>
      <c r="DL5" s="3188"/>
      <c r="DM5" s="3188"/>
      <c r="DN5" s="3188"/>
      <c r="DO5" s="3188"/>
      <c r="DP5" s="3189"/>
      <c r="DQ5" s="3189"/>
      <c r="DR5" s="3189"/>
      <c r="DS5" s="3189"/>
      <c r="DT5" s="3189"/>
      <c r="DU5" s="3189"/>
      <c r="DV5" s="3194"/>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4673</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5">
      <c r="A9" s="1534" t="s">
        <v>4803</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5">
      <c r="A10" s="1534" t="s">
        <v>4804</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5">
      <c r="A11" s="1534" t="s">
        <v>4805</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5">
      <c r="A12" s="1534" t="s">
        <v>4806</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5">
      <c r="A13" s="1534" t="s">
        <v>4807</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5">
      <c r="A14" s="1534" t="s">
        <v>4808</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5">
      <c r="A15" s="1534" t="s">
        <v>4809</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5">
      <c r="A16" s="1534" t="s">
        <v>4810</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5">
      <c r="A17" s="1534" t="s">
        <v>4811</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5">
      <c r="A18" s="1534" t="s">
        <v>4812</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5">
      <c r="A19" s="1534" t="s">
        <v>4813</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5">
      <c r="A20" s="1534" t="s">
        <v>4814</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5">
      <c r="A21" s="1534" t="s">
        <v>4815</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5">
      <c r="A22" s="1534" t="s">
        <v>4816</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4" t="s">
        <v>4817</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4" t="s">
        <v>4818</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5">
      <c r="A25" s="1534" t="s">
        <v>4819</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5"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5"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5"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5"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5"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5"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5"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5"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5"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5"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5"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5"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5"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5"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5"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5"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5"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5"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5"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5"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5"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5"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5"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5"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5"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5"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5"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5"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5"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5"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5"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5"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5"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5"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5"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5"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5"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5"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5"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5"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5"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5"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5"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5"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5"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5"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5"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5"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5"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5"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5"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5"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5"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5"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5"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5"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5"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5"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5"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5"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5"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5"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5"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5"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5"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5"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5"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5"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5"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5"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5"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5"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5"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5"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5"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5"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5"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5"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5"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5"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5"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5"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5"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5"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5"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5"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5"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5"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5"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5"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5"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5"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5"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5"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5"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5"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5"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5"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5"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5"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5"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5"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5"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5"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5"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5"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5"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5"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5"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5"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5"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5"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5"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5"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180" t="s">
        <v>4066</v>
      </c>
      <c r="B343" s="3180"/>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180" t="s">
        <v>4067</v>
      </c>
      <c r="B344" s="3180"/>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180" t="s">
        <v>4068</v>
      </c>
      <c r="B345" s="3180"/>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180" t="s">
        <v>4069</v>
      </c>
      <c r="B346" s="3180"/>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180" t="s">
        <v>4070</v>
      </c>
      <c r="B347" s="3180"/>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180" t="s">
        <v>4071</v>
      </c>
      <c r="B348" s="3180"/>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4073</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L363"/>
  <sheetViews>
    <sheetView showZeros="0" topLeftCell="J4" zoomScale="87" zoomScaleNormal="87" workbookViewId="0">
      <selection activeCell="S7" sqref="S7"/>
    </sheetView>
  </sheetViews>
  <sheetFormatPr defaultColWidth="4.5546875" defaultRowHeight="25.15" customHeight="1" outlineLevelRow="2"/>
  <cols>
    <col min="1" max="1" width="5.88671875" style="747" customWidth="1"/>
    <col min="2" max="7" width="5.5546875" style="747" hidden="1" customWidth="1"/>
    <col min="8" max="8" width="4.88671875" style="747" customWidth="1"/>
    <col min="9" max="10" width="4.88671875" style="749" customWidth="1"/>
    <col min="11" max="14" width="4.88671875" style="2931" customWidth="1"/>
    <col min="15" max="24" width="4.88671875" style="749" customWidth="1"/>
    <col min="25" max="26" width="4.88671875" style="750" customWidth="1"/>
    <col min="27" max="28" width="4.88671875" style="747" customWidth="1"/>
    <col min="29" max="29" width="4.88671875" style="452" customWidth="1"/>
    <col min="30" max="30" width="4.88671875" style="747" hidden="1" customWidth="1"/>
    <col min="31" max="36" width="4.88671875" style="747" customWidth="1"/>
    <col min="37" max="48" width="4.88671875" style="452" customWidth="1"/>
    <col min="50" max="64" width="6.109375" customWidth="1"/>
  </cols>
  <sheetData>
    <row r="1" spans="1:64" s="1606" customFormat="1" ht="72.599999999999994" hidden="1" customHeight="1" outlineLevel="2">
      <c r="B1" s="947" t="s">
        <v>88</v>
      </c>
      <c r="C1" s="947"/>
      <c r="D1" s="947"/>
      <c r="E1" s="947"/>
      <c r="F1" s="947"/>
      <c r="G1" s="947"/>
      <c r="H1" s="947" t="s">
        <v>6434</v>
      </c>
      <c r="I1" s="947" t="s">
        <v>6435</v>
      </c>
      <c r="J1" s="947" t="s">
        <v>6437</v>
      </c>
      <c r="K1" s="947" t="s">
        <v>6438</v>
      </c>
      <c r="L1" s="947" t="s">
        <v>6487</v>
      </c>
      <c r="M1" s="947" t="s">
        <v>4825</v>
      </c>
      <c r="N1" s="947" t="s">
        <v>190</v>
      </c>
      <c r="O1" s="947" t="s">
        <v>6439</v>
      </c>
      <c r="P1" s="947" t="s">
        <v>6440</v>
      </c>
      <c r="Q1" s="947" t="s">
        <v>300</v>
      </c>
      <c r="R1" s="947" t="s">
        <v>6476</v>
      </c>
      <c r="S1" s="947" t="s">
        <v>2300</v>
      </c>
      <c r="T1" s="947" t="s">
        <v>6405</v>
      </c>
      <c r="U1" s="947" t="s">
        <v>2230</v>
      </c>
      <c r="V1" s="947" t="s">
        <v>4632</v>
      </c>
      <c r="W1" s="947" t="s">
        <v>2286</v>
      </c>
      <c r="X1" s="947" t="s">
        <v>890</v>
      </c>
      <c r="Y1" s="947" t="s">
        <v>2289</v>
      </c>
      <c r="Z1" s="947" t="s">
        <v>531</v>
      </c>
      <c r="AA1" s="947" t="s">
        <v>360</v>
      </c>
      <c r="AB1" s="947" t="s">
        <v>2498</v>
      </c>
      <c r="AC1" s="947" t="s">
        <v>2509</v>
      </c>
      <c r="AD1" s="947" t="s">
        <v>6407</v>
      </c>
      <c r="AE1" s="947" t="s">
        <v>2493</v>
      </c>
      <c r="AF1" s="947" t="s">
        <v>532</v>
      </c>
      <c r="AG1" s="947" t="s">
        <v>1618</v>
      </c>
      <c r="AH1" s="947" t="s">
        <v>7322</v>
      </c>
      <c r="AI1" s="947" t="s">
        <v>6441</v>
      </c>
      <c r="AJ1" s="947" t="s">
        <v>1475</v>
      </c>
      <c r="AK1" s="947" t="s">
        <v>1473</v>
      </c>
      <c r="AL1" s="947" t="s">
        <v>1575</v>
      </c>
      <c r="AM1" s="947" t="s">
        <v>1294</v>
      </c>
      <c r="AN1" s="947" t="s">
        <v>1298</v>
      </c>
      <c r="AO1" s="947" t="s">
        <v>104</v>
      </c>
      <c r="AP1" s="947" t="s">
        <v>4602</v>
      </c>
      <c r="AQ1" s="947" t="s">
        <v>5714</v>
      </c>
      <c r="AR1" s="947" t="s">
        <v>1649</v>
      </c>
      <c r="AS1" s="947" t="s">
        <v>1648</v>
      </c>
      <c r="AT1" s="947" t="s">
        <v>7314</v>
      </c>
      <c r="AU1" s="947" t="s">
        <v>1369</v>
      </c>
      <c r="AV1" s="947" t="s">
        <v>6475</v>
      </c>
      <c r="AW1" s="1606" t="s">
        <v>7316</v>
      </c>
      <c r="AX1" s="1606" t="s">
        <v>6477</v>
      </c>
      <c r="AY1" s="1606" t="s">
        <v>1215</v>
      </c>
      <c r="AZ1" s="1606" t="s">
        <v>1265</v>
      </c>
      <c r="BA1" s="1606" t="s">
        <v>6480</v>
      </c>
      <c r="BB1" s="1606" t="s">
        <v>6483</v>
      </c>
    </row>
    <row r="2" spans="1:64" ht="25.15"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15"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15"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15" customHeight="1" outlineLevel="1">
      <c r="A5" s="504" t="str">
        <f>CT_tram!D20</f>
        <v>Công trình: Xây dựng mới TBA 3 pha 1000 kVA - 22/0,4kV Công ty Cổ phần ADE Garnet</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15"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15" customHeight="1">
      <c r="A8" s="2952"/>
      <c r="B8" s="2953"/>
      <c r="C8" s="2953"/>
      <c r="D8" s="2953"/>
      <c r="E8" s="2953"/>
      <c r="F8" s="2953"/>
      <c r="G8" s="2953"/>
      <c r="H8" s="2953" t="s">
        <v>4672</v>
      </c>
      <c r="I8" s="2954"/>
      <c r="J8" s="2954"/>
      <c r="K8" s="2954"/>
      <c r="L8" s="2954"/>
      <c r="M8" s="2954"/>
      <c r="N8" s="2954" t="s">
        <v>655</v>
      </c>
      <c r="O8" s="2954" t="s">
        <v>7321</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15" customHeight="1">
      <c r="A9" s="2951"/>
      <c r="B9" s="2951"/>
      <c r="C9" s="2951"/>
      <c r="D9" s="2951"/>
      <c r="E9" s="2951"/>
      <c r="F9" s="2951"/>
      <c r="G9" s="2951"/>
      <c r="H9" s="2951"/>
      <c r="I9" s="2956" t="s">
        <v>165</v>
      </c>
      <c r="J9" s="2957">
        <v>24</v>
      </c>
      <c r="K9" s="2957">
        <f>K8+J9</f>
        <v>24</v>
      </c>
      <c r="L9" s="2957">
        <v>4.5</v>
      </c>
      <c r="M9" s="2957"/>
      <c r="N9" s="2957"/>
      <c r="O9" s="2957" t="s">
        <v>7291</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15"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7292</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15"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15"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15"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15"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15"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15"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15" customHeight="1">
      <c r="AD17" s="452"/>
      <c r="AE17" s="452"/>
      <c r="AF17" s="452"/>
      <c r="AG17" s="452"/>
      <c r="AH17" s="452"/>
      <c r="AI17" s="452"/>
      <c r="AJ17" s="452"/>
    </row>
    <row r="18" spans="2:36" ht="25.15" customHeight="1">
      <c r="AD18" s="452"/>
      <c r="AE18" s="452"/>
      <c r="AF18" s="452"/>
      <c r="AG18" s="452"/>
      <c r="AH18" s="452"/>
      <c r="AI18" s="452"/>
      <c r="AJ18" s="452"/>
    </row>
    <row r="19" spans="2:36" ht="25.15" customHeight="1">
      <c r="B19" s="749"/>
      <c r="C19" s="749"/>
      <c r="D19" s="749"/>
      <c r="E19" s="749"/>
      <c r="F19" s="749"/>
      <c r="G19" s="749"/>
      <c r="H19" s="749"/>
      <c r="I19" s="751"/>
      <c r="AD19" s="452"/>
      <c r="AE19" s="452"/>
      <c r="AF19" s="452"/>
      <c r="AG19" s="452"/>
      <c r="AH19" s="452"/>
      <c r="AI19" s="452"/>
      <c r="AJ19" s="452"/>
    </row>
    <row r="20" spans="2:36" ht="25.15" customHeight="1">
      <c r="B20" s="749"/>
      <c r="C20" s="749"/>
      <c r="D20" s="749"/>
      <c r="E20" s="749"/>
      <c r="F20" s="749"/>
      <c r="G20" s="749"/>
      <c r="H20" s="749"/>
      <c r="I20" s="751"/>
      <c r="AD20" s="452"/>
      <c r="AE20" s="452"/>
      <c r="AF20" s="452"/>
      <c r="AG20" s="452"/>
      <c r="AH20" s="452"/>
      <c r="AI20" s="452"/>
      <c r="AJ20" s="452"/>
    </row>
    <row r="21" spans="2:36" ht="25.15" customHeight="1">
      <c r="B21" s="749"/>
      <c r="C21" s="749"/>
      <c r="D21" s="749"/>
      <c r="E21" s="749"/>
      <c r="F21" s="749"/>
      <c r="G21" s="749"/>
      <c r="H21" s="749"/>
      <c r="I21" s="751"/>
      <c r="AD21" s="452"/>
      <c r="AE21" s="452"/>
      <c r="AF21" s="452"/>
      <c r="AG21" s="452"/>
      <c r="AH21" s="452"/>
      <c r="AI21" s="452"/>
      <c r="AJ21" s="452"/>
    </row>
    <row r="22" spans="2:36" ht="25.15" customHeight="1">
      <c r="AD22" s="452"/>
      <c r="AE22" s="452"/>
      <c r="AF22" s="452"/>
      <c r="AG22" s="452"/>
      <c r="AH22" s="452"/>
      <c r="AI22" s="452"/>
      <c r="AJ22" s="452"/>
    </row>
    <row r="23" spans="2:36" ht="25.15" customHeight="1">
      <c r="AD23" s="452"/>
      <c r="AE23" s="452"/>
      <c r="AF23" s="452"/>
      <c r="AG23" s="452"/>
      <c r="AH23" s="452"/>
      <c r="AI23" s="452"/>
      <c r="AJ23" s="452"/>
    </row>
    <row r="24" spans="2:36" ht="25.15" customHeight="1">
      <c r="AD24" s="452"/>
      <c r="AE24" s="452"/>
      <c r="AF24" s="452"/>
      <c r="AG24" s="452"/>
      <c r="AH24" s="452"/>
      <c r="AI24" s="452"/>
      <c r="AJ24" s="452"/>
    </row>
    <row r="25" spans="2:36" ht="25.15" customHeight="1">
      <c r="AD25" s="452"/>
      <c r="AE25" s="452"/>
      <c r="AF25" s="452"/>
      <c r="AG25" s="452"/>
      <c r="AH25" s="452"/>
      <c r="AI25" s="452"/>
      <c r="AJ25" s="452"/>
    </row>
    <row r="26" spans="2:36" ht="25.15" customHeight="1">
      <c r="AD26" s="452"/>
      <c r="AE26" s="452"/>
      <c r="AF26" s="452"/>
      <c r="AG26" s="452"/>
      <c r="AH26" s="452"/>
      <c r="AI26" s="452"/>
      <c r="AJ26" s="452"/>
    </row>
    <row r="27" spans="2:36" ht="25.15" customHeight="1">
      <c r="AD27" s="452"/>
      <c r="AE27" s="452"/>
      <c r="AF27" s="452"/>
      <c r="AG27" s="452"/>
      <c r="AH27" s="452"/>
      <c r="AI27" s="452"/>
      <c r="AJ27" s="452"/>
    </row>
    <row r="28" spans="2:36" ht="25.15" customHeight="1">
      <c r="AD28" s="452"/>
      <c r="AE28" s="452"/>
      <c r="AF28" s="452"/>
      <c r="AG28" s="452"/>
      <c r="AH28" s="452"/>
      <c r="AI28" s="452"/>
      <c r="AJ28" s="452"/>
    </row>
    <row r="29" spans="2:36" ht="25.15" customHeight="1">
      <c r="AD29" s="452"/>
      <c r="AE29" s="452"/>
      <c r="AF29" s="452"/>
      <c r="AG29" s="452"/>
      <c r="AH29" s="452"/>
      <c r="AI29" s="452"/>
      <c r="AJ29" s="452"/>
    </row>
    <row r="30" spans="2:36" ht="25.15" customHeight="1">
      <c r="AD30" s="452"/>
      <c r="AE30" s="452"/>
      <c r="AF30" s="452"/>
      <c r="AG30" s="452"/>
      <c r="AH30" s="452"/>
      <c r="AI30" s="452"/>
      <c r="AJ30" s="452"/>
    </row>
    <row r="31" spans="2:36" ht="25.15" customHeight="1">
      <c r="AD31" s="452"/>
      <c r="AE31" s="452"/>
      <c r="AF31" s="452"/>
      <c r="AG31" s="452"/>
      <c r="AH31" s="452"/>
      <c r="AI31" s="452"/>
      <c r="AJ31" s="452"/>
    </row>
    <row r="32" spans="2:36" ht="25.15" customHeight="1">
      <c r="AD32" s="452"/>
      <c r="AE32" s="452"/>
      <c r="AF32" s="452"/>
      <c r="AG32" s="452"/>
      <c r="AH32" s="452"/>
      <c r="AI32" s="452"/>
      <c r="AJ32" s="452"/>
    </row>
    <row r="33" spans="30:36" ht="25.15" customHeight="1">
      <c r="AD33" s="452"/>
      <c r="AE33" s="452"/>
      <c r="AF33" s="452"/>
      <c r="AG33" s="452"/>
      <c r="AH33" s="452"/>
      <c r="AI33" s="452"/>
      <c r="AJ33" s="452"/>
    </row>
    <row r="34" spans="30:36" ht="25.15" customHeight="1">
      <c r="AD34" s="452"/>
      <c r="AE34" s="452"/>
      <c r="AF34" s="452"/>
      <c r="AG34" s="452"/>
      <c r="AH34" s="452"/>
      <c r="AI34" s="452"/>
      <c r="AJ34" s="452"/>
    </row>
    <row r="35" spans="30:36" ht="25.15" customHeight="1">
      <c r="AD35" s="452"/>
      <c r="AE35" s="452"/>
      <c r="AF35" s="452"/>
      <c r="AG35" s="452"/>
      <c r="AH35" s="452"/>
      <c r="AI35" s="452"/>
      <c r="AJ35" s="452"/>
    </row>
    <row r="36" spans="30:36" ht="25.15" customHeight="1">
      <c r="AD36" s="452"/>
      <c r="AE36" s="452"/>
      <c r="AF36" s="452"/>
      <c r="AG36" s="452"/>
      <c r="AH36" s="452"/>
      <c r="AI36" s="452"/>
      <c r="AJ36" s="452"/>
    </row>
    <row r="37" spans="30:36" ht="25.15" customHeight="1">
      <c r="AD37" s="452"/>
      <c r="AE37" s="452"/>
      <c r="AF37" s="452"/>
      <c r="AG37" s="452"/>
      <c r="AH37" s="452"/>
      <c r="AI37" s="452"/>
      <c r="AJ37" s="452"/>
    </row>
    <row r="38" spans="30:36" ht="25.15" customHeight="1">
      <c r="AD38" s="452"/>
      <c r="AE38" s="452"/>
      <c r="AF38" s="452"/>
      <c r="AG38" s="452"/>
      <c r="AH38" s="452"/>
      <c r="AI38" s="452"/>
      <c r="AJ38" s="452"/>
    </row>
    <row r="39" spans="30:36" ht="25.15" customHeight="1">
      <c r="AD39" s="452"/>
      <c r="AE39" s="452"/>
      <c r="AF39" s="452"/>
      <c r="AG39" s="452"/>
      <c r="AH39" s="452"/>
      <c r="AI39" s="452"/>
      <c r="AJ39" s="452"/>
    </row>
    <row r="40" spans="30:36" ht="25.15" customHeight="1">
      <c r="AD40" s="452"/>
      <c r="AE40" s="452"/>
      <c r="AF40" s="452"/>
      <c r="AG40" s="452"/>
      <c r="AH40" s="452"/>
      <c r="AI40" s="452"/>
      <c r="AJ40" s="452"/>
    </row>
    <row r="41" spans="30:36" ht="25.15" customHeight="1">
      <c r="AD41" s="452"/>
      <c r="AE41" s="452"/>
      <c r="AF41" s="452"/>
      <c r="AG41" s="452"/>
      <c r="AH41" s="452"/>
      <c r="AI41" s="452"/>
      <c r="AJ41" s="452"/>
    </row>
    <row r="42" spans="30:36" ht="25.15" customHeight="1">
      <c r="AD42" s="452"/>
      <c r="AE42" s="452"/>
      <c r="AF42" s="452"/>
      <c r="AG42" s="452"/>
      <c r="AH42" s="452"/>
      <c r="AI42" s="452"/>
      <c r="AJ42" s="452"/>
    </row>
    <row r="43" spans="30:36" ht="25.15" customHeight="1">
      <c r="AD43" s="452"/>
      <c r="AE43" s="452"/>
      <c r="AF43" s="452"/>
      <c r="AG43" s="452"/>
      <c r="AH43" s="452"/>
      <c r="AI43" s="452"/>
      <c r="AJ43" s="452"/>
    </row>
    <row r="44" spans="30:36" ht="25.15" customHeight="1">
      <c r="AD44" s="452"/>
      <c r="AE44" s="452"/>
      <c r="AF44" s="452"/>
      <c r="AG44" s="452"/>
      <c r="AH44" s="452"/>
      <c r="AI44" s="452"/>
      <c r="AJ44" s="452"/>
    </row>
    <row r="45" spans="30:36" ht="25.15" customHeight="1">
      <c r="AD45" s="452"/>
      <c r="AE45" s="452"/>
      <c r="AF45" s="452"/>
      <c r="AG45" s="452"/>
      <c r="AH45" s="452"/>
      <c r="AI45" s="452"/>
      <c r="AJ45" s="452"/>
    </row>
    <row r="46" spans="30:36" ht="25.15" customHeight="1">
      <c r="AD46" s="452"/>
      <c r="AE46" s="452"/>
      <c r="AF46" s="452"/>
      <c r="AG46" s="452"/>
      <c r="AH46" s="452"/>
      <c r="AI46" s="452"/>
      <c r="AJ46" s="452"/>
    </row>
    <row r="47" spans="30:36" ht="25.15" customHeight="1">
      <c r="AD47" s="452"/>
      <c r="AE47" s="452"/>
      <c r="AF47" s="452"/>
      <c r="AG47" s="452"/>
      <c r="AH47" s="452"/>
      <c r="AI47" s="452"/>
      <c r="AJ47" s="452"/>
    </row>
    <row r="48" spans="30:36" ht="25.15" customHeight="1">
      <c r="AD48" s="452"/>
      <c r="AE48" s="452"/>
      <c r="AF48" s="452"/>
      <c r="AG48" s="452"/>
      <c r="AH48" s="452"/>
      <c r="AI48" s="452"/>
      <c r="AJ48" s="452"/>
    </row>
    <row r="49" spans="30:36" ht="25.15" customHeight="1">
      <c r="AD49" s="452"/>
      <c r="AE49" s="452"/>
      <c r="AF49" s="452"/>
      <c r="AG49" s="452"/>
      <c r="AH49" s="452"/>
      <c r="AI49" s="452"/>
      <c r="AJ49" s="452"/>
    </row>
    <row r="50" spans="30:36" ht="25.15" customHeight="1">
      <c r="AD50" s="452"/>
      <c r="AE50" s="452"/>
      <c r="AF50" s="452"/>
      <c r="AG50" s="452"/>
      <c r="AH50" s="452"/>
      <c r="AI50" s="452"/>
      <c r="AJ50" s="452"/>
    </row>
    <row r="51" spans="30:36" ht="25.15" customHeight="1">
      <c r="AD51" s="452"/>
      <c r="AE51" s="452"/>
      <c r="AF51" s="452"/>
      <c r="AG51" s="452"/>
      <c r="AH51" s="452"/>
      <c r="AI51" s="452"/>
      <c r="AJ51" s="452"/>
    </row>
    <row r="52" spans="30:36" ht="25.15" customHeight="1">
      <c r="AD52" s="452"/>
      <c r="AE52" s="452"/>
      <c r="AF52" s="452"/>
      <c r="AG52" s="452"/>
      <c r="AH52" s="452"/>
      <c r="AI52" s="452"/>
      <c r="AJ52" s="452"/>
    </row>
    <row r="53" spans="30:36" ht="25.15" customHeight="1">
      <c r="AD53" s="452"/>
      <c r="AE53" s="452"/>
      <c r="AF53" s="452"/>
      <c r="AG53" s="452"/>
      <c r="AH53" s="452"/>
      <c r="AI53" s="452"/>
      <c r="AJ53" s="452"/>
    </row>
    <row r="54" spans="30:36" ht="25.15" customHeight="1">
      <c r="AD54" s="452"/>
      <c r="AE54" s="452"/>
      <c r="AF54" s="452"/>
      <c r="AG54" s="452"/>
      <c r="AH54" s="452"/>
      <c r="AI54" s="452"/>
      <c r="AJ54" s="452"/>
    </row>
    <row r="55" spans="30:36" ht="25.15" customHeight="1">
      <c r="AD55" s="452"/>
      <c r="AE55" s="452"/>
      <c r="AF55" s="452"/>
      <c r="AG55" s="452"/>
      <c r="AH55" s="452"/>
      <c r="AI55" s="452"/>
      <c r="AJ55" s="452"/>
    </row>
    <row r="56" spans="30:36" ht="25.15" customHeight="1">
      <c r="AD56" s="452"/>
      <c r="AE56" s="452"/>
      <c r="AF56" s="452"/>
      <c r="AG56" s="452"/>
      <c r="AH56" s="452"/>
      <c r="AI56" s="452"/>
      <c r="AJ56" s="452"/>
    </row>
    <row r="57" spans="30:36" ht="25.15" customHeight="1">
      <c r="AD57" s="452"/>
      <c r="AE57" s="452"/>
      <c r="AF57" s="452"/>
      <c r="AG57" s="452"/>
      <c r="AH57" s="452"/>
      <c r="AI57" s="452"/>
      <c r="AJ57" s="452"/>
    </row>
    <row r="58" spans="30:36" ht="25.15" customHeight="1">
      <c r="AD58" s="452"/>
      <c r="AE58" s="452"/>
      <c r="AF58" s="452"/>
      <c r="AG58" s="452"/>
      <c r="AH58" s="452"/>
      <c r="AI58" s="452"/>
      <c r="AJ58" s="452"/>
    </row>
    <row r="59" spans="30:36" ht="25.15" customHeight="1">
      <c r="AD59" s="452"/>
      <c r="AE59" s="452"/>
      <c r="AF59" s="452"/>
      <c r="AG59" s="452"/>
      <c r="AH59" s="452"/>
      <c r="AI59" s="452"/>
      <c r="AJ59" s="452"/>
    </row>
    <row r="60" spans="30:36" ht="25.15" customHeight="1">
      <c r="AD60" s="452"/>
      <c r="AE60" s="452"/>
      <c r="AF60" s="452"/>
      <c r="AG60" s="452"/>
      <c r="AH60" s="452"/>
      <c r="AI60" s="452"/>
      <c r="AJ60" s="452"/>
    </row>
    <row r="61" spans="30:36" ht="25.15" customHeight="1">
      <c r="AD61" s="452"/>
      <c r="AE61" s="452"/>
      <c r="AF61" s="452"/>
      <c r="AG61" s="452"/>
      <c r="AH61" s="452"/>
      <c r="AI61" s="452"/>
      <c r="AJ61" s="452"/>
    </row>
    <row r="62" spans="30:36" ht="25.15" customHeight="1">
      <c r="AD62" s="452"/>
      <c r="AE62" s="452"/>
      <c r="AF62" s="452"/>
      <c r="AG62" s="452"/>
      <c r="AH62" s="452"/>
      <c r="AI62" s="452"/>
      <c r="AJ62" s="452"/>
    </row>
    <row r="63" spans="30:36" ht="25.15" customHeight="1">
      <c r="AD63" s="452"/>
      <c r="AE63" s="452"/>
      <c r="AF63" s="452"/>
      <c r="AG63" s="452"/>
      <c r="AH63" s="452"/>
      <c r="AI63" s="452"/>
      <c r="AJ63" s="452"/>
    </row>
    <row r="64" spans="30:36" ht="25.15" customHeight="1">
      <c r="AD64" s="452"/>
      <c r="AE64" s="452"/>
      <c r="AF64" s="452"/>
      <c r="AG64" s="452"/>
      <c r="AH64" s="452"/>
      <c r="AI64" s="452"/>
      <c r="AJ64" s="452"/>
    </row>
    <row r="65" spans="30:36" ht="25.15" customHeight="1">
      <c r="AD65" s="452"/>
      <c r="AE65" s="452"/>
      <c r="AF65" s="452"/>
      <c r="AG65" s="452"/>
      <c r="AH65" s="452"/>
      <c r="AI65" s="452"/>
      <c r="AJ65" s="452"/>
    </row>
    <row r="66" spans="30:36" ht="25.15" customHeight="1">
      <c r="AD66" s="452"/>
      <c r="AE66" s="452"/>
      <c r="AF66" s="452"/>
      <c r="AG66" s="452"/>
      <c r="AH66" s="452"/>
      <c r="AI66" s="452"/>
      <c r="AJ66" s="452"/>
    </row>
    <row r="67" spans="30:36" ht="25.15" customHeight="1">
      <c r="AD67" s="452"/>
      <c r="AE67" s="452"/>
      <c r="AF67" s="452"/>
      <c r="AG67" s="452"/>
      <c r="AH67" s="452"/>
      <c r="AI67" s="452"/>
      <c r="AJ67" s="452"/>
    </row>
    <row r="68" spans="30:36" ht="25.15" customHeight="1">
      <c r="AD68" s="452"/>
      <c r="AE68" s="452"/>
      <c r="AF68" s="452"/>
      <c r="AG68" s="452"/>
      <c r="AH68" s="452"/>
      <c r="AI68" s="452"/>
      <c r="AJ68" s="452"/>
    </row>
    <row r="69" spans="30:36" ht="25.15" customHeight="1">
      <c r="AD69" s="452"/>
      <c r="AE69" s="452"/>
      <c r="AF69" s="452"/>
      <c r="AG69" s="452"/>
      <c r="AH69" s="452"/>
      <c r="AI69" s="452"/>
      <c r="AJ69" s="452"/>
    </row>
    <row r="70" spans="30:36" ht="25.15" customHeight="1">
      <c r="AD70" s="452"/>
      <c r="AE70" s="452"/>
      <c r="AF70" s="452"/>
      <c r="AG70" s="452"/>
      <c r="AH70" s="452"/>
      <c r="AI70" s="452"/>
      <c r="AJ70" s="452"/>
    </row>
    <row r="71" spans="30:36" ht="25.15" customHeight="1">
      <c r="AD71" s="452"/>
      <c r="AE71" s="452"/>
      <c r="AF71" s="452"/>
      <c r="AG71" s="452"/>
      <c r="AH71" s="452"/>
      <c r="AI71" s="452"/>
      <c r="AJ71" s="452"/>
    </row>
    <row r="72" spans="30:36" ht="25.15" customHeight="1">
      <c r="AD72" s="452"/>
      <c r="AE72" s="452"/>
      <c r="AF72" s="452"/>
      <c r="AG72" s="452"/>
      <c r="AH72" s="452"/>
      <c r="AI72" s="452"/>
      <c r="AJ72" s="452"/>
    </row>
    <row r="73" spans="30:36" ht="25.15" customHeight="1">
      <c r="AD73" s="452"/>
      <c r="AE73" s="452"/>
      <c r="AF73" s="452"/>
      <c r="AG73" s="452"/>
      <c r="AH73" s="452"/>
      <c r="AI73" s="452"/>
      <c r="AJ73" s="452"/>
    </row>
    <row r="74" spans="30:36" ht="25.15" customHeight="1">
      <c r="AD74" s="452"/>
      <c r="AE74" s="452"/>
      <c r="AF74" s="452"/>
      <c r="AG74" s="452"/>
      <c r="AH74" s="452"/>
      <c r="AI74" s="452"/>
      <c r="AJ74" s="452"/>
    </row>
    <row r="75" spans="30:36" ht="25.15" customHeight="1">
      <c r="AD75" s="452"/>
      <c r="AE75" s="452"/>
      <c r="AF75" s="452"/>
      <c r="AG75" s="452"/>
      <c r="AH75" s="452"/>
      <c r="AI75" s="452"/>
      <c r="AJ75" s="452"/>
    </row>
    <row r="76" spans="30:36" ht="25.15" customHeight="1">
      <c r="AD76" s="452"/>
      <c r="AE76" s="452"/>
      <c r="AF76" s="452"/>
      <c r="AG76" s="452"/>
      <c r="AH76" s="452"/>
      <c r="AI76" s="452"/>
      <c r="AJ76" s="452"/>
    </row>
    <row r="77" spans="30:36" ht="25.15" customHeight="1">
      <c r="AD77" s="452"/>
      <c r="AE77" s="452"/>
      <c r="AF77" s="452"/>
      <c r="AG77" s="452"/>
      <c r="AH77" s="452"/>
      <c r="AI77" s="452"/>
      <c r="AJ77" s="452"/>
    </row>
    <row r="78" spans="30:36" ht="25.15" customHeight="1">
      <c r="AD78" s="452"/>
      <c r="AE78" s="452"/>
      <c r="AF78" s="452"/>
      <c r="AG78" s="452"/>
      <c r="AH78" s="452"/>
      <c r="AI78" s="452"/>
      <c r="AJ78" s="452"/>
    </row>
    <row r="79" spans="30:36" ht="25.15" customHeight="1">
      <c r="AD79" s="452"/>
      <c r="AE79" s="452"/>
      <c r="AF79" s="452"/>
      <c r="AG79" s="452"/>
      <c r="AH79" s="452"/>
      <c r="AI79" s="452"/>
      <c r="AJ79" s="452"/>
    </row>
    <row r="80" spans="30:36" ht="25.15" customHeight="1">
      <c r="AD80" s="452"/>
      <c r="AE80" s="452"/>
      <c r="AF80" s="452"/>
      <c r="AG80" s="452"/>
      <c r="AH80" s="452"/>
      <c r="AI80" s="452"/>
      <c r="AJ80" s="452"/>
    </row>
    <row r="81" spans="30:36" ht="25.15" customHeight="1">
      <c r="AD81" s="452"/>
      <c r="AE81" s="452"/>
      <c r="AF81" s="452"/>
      <c r="AG81" s="452"/>
      <c r="AH81" s="452"/>
      <c r="AI81" s="452"/>
      <c r="AJ81" s="452"/>
    </row>
    <row r="82" spans="30:36" ht="25.15" customHeight="1">
      <c r="AD82" s="452"/>
      <c r="AE82" s="452"/>
      <c r="AF82" s="452"/>
      <c r="AG82" s="452"/>
      <c r="AH82" s="452"/>
      <c r="AI82" s="452"/>
      <c r="AJ82" s="452"/>
    </row>
    <row r="83" spans="30:36" ht="25.15" customHeight="1">
      <c r="AD83" s="452"/>
      <c r="AE83" s="452"/>
      <c r="AF83" s="452"/>
      <c r="AG83" s="452"/>
      <c r="AH83" s="452"/>
      <c r="AI83" s="452"/>
      <c r="AJ83" s="452"/>
    </row>
    <row r="84" spans="30:36" ht="25.15" customHeight="1">
      <c r="AD84" s="452"/>
      <c r="AE84" s="452"/>
      <c r="AF84" s="452"/>
      <c r="AG84" s="452"/>
      <c r="AH84" s="452"/>
      <c r="AI84" s="452"/>
      <c r="AJ84" s="452"/>
    </row>
    <row r="85" spans="30:36" ht="25.15" customHeight="1">
      <c r="AD85" s="452"/>
      <c r="AE85" s="452"/>
      <c r="AF85" s="452"/>
      <c r="AG85" s="452"/>
      <c r="AH85" s="452"/>
      <c r="AI85" s="452"/>
      <c r="AJ85" s="452"/>
    </row>
    <row r="86" spans="30:36" ht="25.15" customHeight="1">
      <c r="AD86" s="452"/>
      <c r="AE86" s="452"/>
      <c r="AF86" s="452"/>
      <c r="AG86" s="452"/>
      <c r="AH86" s="452"/>
      <c r="AI86" s="452"/>
      <c r="AJ86" s="452"/>
    </row>
    <row r="87" spans="30:36" ht="25.15" customHeight="1">
      <c r="AD87" s="452"/>
      <c r="AE87" s="452"/>
      <c r="AF87" s="452"/>
      <c r="AG87" s="452"/>
      <c r="AH87" s="452"/>
      <c r="AI87" s="452"/>
      <c r="AJ87" s="452"/>
    </row>
    <row r="88" spans="30:36" ht="25.15" customHeight="1">
      <c r="AD88" s="452"/>
      <c r="AE88" s="452"/>
      <c r="AF88" s="452"/>
      <c r="AG88" s="452"/>
      <c r="AH88" s="452"/>
      <c r="AI88" s="452"/>
      <c r="AJ88" s="452"/>
    </row>
    <row r="89" spans="30:36" ht="25.15" customHeight="1">
      <c r="AD89" s="452"/>
      <c r="AE89" s="452"/>
      <c r="AF89" s="452"/>
      <c r="AG89" s="452"/>
      <c r="AH89" s="452"/>
      <c r="AI89" s="452"/>
      <c r="AJ89" s="452"/>
    </row>
    <row r="90" spans="30:36" ht="25.15" customHeight="1">
      <c r="AD90" s="452"/>
      <c r="AE90" s="452"/>
      <c r="AF90" s="452"/>
      <c r="AG90" s="452"/>
      <c r="AH90" s="452"/>
      <c r="AI90" s="452"/>
      <c r="AJ90" s="452"/>
    </row>
    <row r="91" spans="30:36" ht="25.15" customHeight="1">
      <c r="AD91" s="452"/>
      <c r="AE91" s="452"/>
      <c r="AF91" s="452"/>
      <c r="AG91" s="452"/>
      <c r="AH91" s="452"/>
      <c r="AI91" s="452"/>
      <c r="AJ91" s="452"/>
    </row>
    <row r="92" spans="30:36" ht="25.15" customHeight="1">
      <c r="AD92" s="452"/>
      <c r="AE92" s="452"/>
      <c r="AF92" s="452"/>
      <c r="AG92" s="452"/>
      <c r="AH92" s="452"/>
      <c r="AI92" s="452"/>
      <c r="AJ92" s="452"/>
    </row>
    <row r="93" spans="30:36" ht="25.15" customHeight="1">
      <c r="AD93" s="452"/>
      <c r="AE93" s="452"/>
      <c r="AF93" s="452"/>
      <c r="AG93" s="452"/>
      <c r="AH93" s="452"/>
      <c r="AI93" s="452"/>
      <c r="AJ93" s="452"/>
    </row>
    <row r="94" spans="30:36" ht="25.15" customHeight="1">
      <c r="AD94" s="452"/>
      <c r="AE94" s="452"/>
      <c r="AF94" s="452"/>
      <c r="AG94" s="452"/>
      <c r="AH94" s="452"/>
      <c r="AI94" s="452"/>
      <c r="AJ94" s="452"/>
    </row>
    <row r="95" spans="30:36" ht="25.15" customHeight="1">
      <c r="AD95" s="452"/>
      <c r="AE95" s="452"/>
      <c r="AF95" s="452"/>
      <c r="AG95" s="452"/>
      <c r="AH95" s="452"/>
      <c r="AI95" s="452"/>
      <c r="AJ95" s="452"/>
    </row>
    <row r="96" spans="30:36" ht="25.15" customHeight="1">
      <c r="AD96" s="452"/>
      <c r="AE96" s="452"/>
      <c r="AF96" s="452"/>
      <c r="AG96" s="452"/>
      <c r="AH96" s="452"/>
      <c r="AI96" s="452"/>
      <c r="AJ96" s="452"/>
    </row>
    <row r="97" spans="30:36" ht="25.15" customHeight="1">
      <c r="AD97" s="452"/>
      <c r="AE97" s="452"/>
      <c r="AF97" s="452"/>
      <c r="AG97" s="452"/>
      <c r="AH97" s="452"/>
      <c r="AI97" s="452"/>
      <c r="AJ97" s="452"/>
    </row>
    <row r="98" spans="30:36" ht="25.15" customHeight="1">
      <c r="AD98" s="452"/>
      <c r="AE98" s="452"/>
      <c r="AF98" s="452"/>
      <c r="AG98" s="452"/>
      <c r="AH98" s="452"/>
      <c r="AI98" s="452"/>
      <c r="AJ98" s="452"/>
    </row>
    <row r="99" spans="30:36" ht="25.15" customHeight="1">
      <c r="AD99" s="452"/>
      <c r="AE99" s="452"/>
      <c r="AF99" s="452"/>
      <c r="AG99" s="452"/>
      <c r="AH99" s="452"/>
      <c r="AI99" s="452"/>
      <c r="AJ99" s="452"/>
    </row>
    <row r="100" spans="30:36" ht="25.15" customHeight="1">
      <c r="AD100" s="452"/>
      <c r="AE100" s="452"/>
      <c r="AF100" s="452"/>
      <c r="AG100" s="452"/>
      <c r="AH100" s="452"/>
      <c r="AI100" s="452"/>
      <c r="AJ100" s="452"/>
    </row>
    <row r="101" spans="30:36" ht="25.15" customHeight="1">
      <c r="AD101" s="452"/>
      <c r="AE101" s="452"/>
      <c r="AF101" s="452"/>
      <c r="AG101" s="452"/>
      <c r="AH101" s="452"/>
      <c r="AI101" s="452"/>
      <c r="AJ101" s="452"/>
    </row>
    <row r="102" spans="30:36" ht="25.15" customHeight="1">
      <c r="AD102" s="452"/>
      <c r="AE102" s="452"/>
      <c r="AF102" s="452"/>
      <c r="AG102" s="452"/>
      <c r="AH102" s="452"/>
      <c r="AI102" s="452"/>
      <c r="AJ102" s="452"/>
    </row>
    <row r="103" spans="30:36" ht="25.15" customHeight="1">
      <c r="AD103" s="452"/>
      <c r="AE103" s="452"/>
      <c r="AF103" s="452"/>
      <c r="AG103" s="452"/>
      <c r="AH103" s="452"/>
      <c r="AI103" s="452"/>
      <c r="AJ103" s="452"/>
    </row>
    <row r="104" spans="30:36" ht="25.15" customHeight="1">
      <c r="AD104" s="452"/>
      <c r="AE104" s="452"/>
      <c r="AF104" s="452"/>
      <c r="AG104" s="452"/>
      <c r="AH104" s="452"/>
      <c r="AI104" s="452"/>
      <c r="AJ104" s="452"/>
    </row>
    <row r="105" spans="30:36" ht="25.15" customHeight="1">
      <c r="AD105" s="452"/>
      <c r="AE105" s="452"/>
      <c r="AF105" s="452"/>
      <c r="AG105" s="452"/>
      <c r="AH105" s="452"/>
      <c r="AI105" s="452"/>
      <c r="AJ105" s="452"/>
    </row>
    <row r="106" spans="30:36" ht="25.15" customHeight="1">
      <c r="AD106" s="452"/>
      <c r="AE106" s="452"/>
      <c r="AF106" s="452"/>
      <c r="AG106" s="452"/>
      <c r="AH106" s="452"/>
      <c r="AI106" s="452"/>
      <c r="AJ106" s="452"/>
    </row>
    <row r="107" spans="30:36" ht="25.15" customHeight="1">
      <c r="AD107" s="452"/>
      <c r="AE107" s="452"/>
      <c r="AF107" s="452"/>
      <c r="AG107" s="452"/>
      <c r="AH107" s="452"/>
      <c r="AI107" s="452"/>
      <c r="AJ107" s="452"/>
    </row>
    <row r="108" spans="30:36" ht="25.15" customHeight="1">
      <c r="AD108" s="452"/>
      <c r="AE108" s="452"/>
      <c r="AF108" s="452"/>
      <c r="AG108" s="452"/>
      <c r="AH108" s="452"/>
      <c r="AI108" s="452"/>
      <c r="AJ108" s="452"/>
    </row>
    <row r="109" spans="30:36" ht="25.15" customHeight="1">
      <c r="AD109" s="452"/>
      <c r="AE109" s="452"/>
      <c r="AF109" s="452"/>
      <c r="AG109" s="452"/>
      <c r="AH109" s="452"/>
      <c r="AI109" s="452"/>
      <c r="AJ109" s="452"/>
    </row>
    <row r="110" spans="30:36" ht="25.15" customHeight="1">
      <c r="AD110" s="452"/>
      <c r="AE110" s="452"/>
      <c r="AF110" s="452"/>
      <c r="AG110" s="452"/>
      <c r="AH110" s="452"/>
      <c r="AI110" s="452"/>
      <c r="AJ110" s="452"/>
    </row>
    <row r="111" spans="30:36" ht="25.15" customHeight="1">
      <c r="AD111" s="452"/>
      <c r="AE111" s="452"/>
      <c r="AF111" s="452"/>
      <c r="AG111" s="452"/>
      <c r="AH111" s="452"/>
      <c r="AI111" s="452"/>
      <c r="AJ111" s="452"/>
    </row>
    <row r="112" spans="30:36" ht="25.15" customHeight="1">
      <c r="AD112" s="452"/>
      <c r="AE112" s="452"/>
      <c r="AF112" s="452"/>
      <c r="AG112" s="452"/>
      <c r="AH112" s="452"/>
      <c r="AI112" s="452"/>
      <c r="AJ112" s="452"/>
    </row>
    <row r="113" spans="30:36" ht="25.15" customHeight="1">
      <c r="AD113" s="452"/>
      <c r="AE113" s="452"/>
      <c r="AF113" s="452"/>
      <c r="AG113" s="452"/>
      <c r="AH113" s="452"/>
      <c r="AI113" s="452"/>
      <c r="AJ113" s="452"/>
    </row>
    <row r="114" spans="30:36" ht="25.15" customHeight="1">
      <c r="AD114" s="452"/>
      <c r="AE114" s="452"/>
      <c r="AF114" s="452"/>
      <c r="AG114" s="452"/>
      <c r="AH114" s="452"/>
      <c r="AI114" s="452"/>
      <c r="AJ114" s="452"/>
    </row>
    <row r="115" spans="30:36" ht="25.15" customHeight="1">
      <c r="AD115" s="452"/>
      <c r="AE115" s="452"/>
      <c r="AF115" s="452"/>
      <c r="AG115" s="452"/>
      <c r="AH115" s="452"/>
      <c r="AI115" s="452"/>
      <c r="AJ115" s="452"/>
    </row>
    <row r="116" spans="30:36" ht="25.15" customHeight="1">
      <c r="AD116" s="452"/>
      <c r="AE116" s="452"/>
      <c r="AF116" s="452"/>
      <c r="AG116" s="452"/>
      <c r="AH116" s="452"/>
      <c r="AI116" s="452"/>
      <c r="AJ116" s="452"/>
    </row>
    <row r="117" spans="30:36" ht="25.15" customHeight="1">
      <c r="AD117" s="452"/>
      <c r="AE117" s="452"/>
      <c r="AF117" s="452"/>
      <c r="AG117" s="452"/>
      <c r="AH117" s="452"/>
      <c r="AI117" s="452"/>
      <c r="AJ117" s="452"/>
    </row>
    <row r="118" spans="30:36" ht="25.15" customHeight="1">
      <c r="AD118" s="452"/>
      <c r="AE118" s="452"/>
      <c r="AF118" s="452"/>
      <c r="AG118" s="452"/>
      <c r="AH118" s="452"/>
      <c r="AI118" s="452"/>
      <c r="AJ118" s="452"/>
    </row>
    <row r="119" spans="30:36" ht="25.15" customHeight="1">
      <c r="AD119" s="452"/>
      <c r="AE119" s="452"/>
      <c r="AF119" s="452"/>
      <c r="AG119" s="452"/>
      <c r="AH119" s="452"/>
      <c r="AI119" s="452"/>
      <c r="AJ119" s="452"/>
    </row>
    <row r="120" spans="30:36" ht="25.15" customHeight="1">
      <c r="AD120" s="452"/>
      <c r="AE120" s="452"/>
      <c r="AF120" s="452"/>
      <c r="AG120" s="452"/>
      <c r="AH120" s="452"/>
      <c r="AI120" s="452"/>
      <c r="AJ120" s="452"/>
    </row>
    <row r="121" spans="30:36" ht="25.15" customHeight="1">
      <c r="AD121" s="452"/>
      <c r="AE121" s="452"/>
      <c r="AF121" s="452"/>
      <c r="AG121" s="452"/>
      <c r="AH121" s="452"/>
      <c r="AI121" s="452"/>
      <c r="AJ121" s="452"/>
    </row>
    <row r="122" spans="30:36" ht="25.15" customHeight="1">
      <c r="AD122" s="452"/>
      <c r="AE122" s="452"/>
      <c r="AF122" s="452"/>
      <c r="AG122" s="452"/>
      <c r="AH122" s="452"/>
      <c r="AI122" s="452"/>
      <c r="AJ122" s="452"/>
    </row>
    <row r="123" spans="30:36" ht="25.15" customHeight="1">
      <c r="AD123" s="452"/>
      <c r="AE123" s="452"/>
      <c r="AF123" s="452"/>
      <c r="AG123" s="452"/>
      <c r="AH123" s="452"/>
      <c r="AI123" s="452"/>
      <c r="AJ123" s="452"/>
    </row>
    <row r="124" spans="30:36" ht="25.15" customHeight="1">
      <c r="AD124" s="452"/>
      <c r="AE124" s="452"/>
      <c r="AF124" s="452"/>
      <c r="AG124" s="452"/>
      <c r="AH124" s="452"/>
      <c r="AI124" s="452"/>
      <c r="AJ124" s="452"/>
    </row>
    <row r="125" spans="30:36" ht="25.15" customHeight="1">
      <c r="AD125" s="452"/>
      <c r="AE125" s="452"/>
      <c r="AF125" s="452"/>
      <c r="AG125" s="452"/>
      <c r="AH125" s="452"/>
      <c r="AI125" s="452"/>
      <c r="AJ125" s="452"/>
    </row>
    <row r="126" spans="30:36" ht="25.15" customHeight="1">
      <c r="AD126" s="452"/>
      <c r="AE126" s="452"/>
      <c r="AF126" s="452"/>
      <c r="AG126" s="452"/>
      <c r="AH126" s="452"/>
      <c r="AI126" s="452"/>
      <c r="AJ126" s="452"/>
    </row>
    <row r="127" spans="30:36" ht="25.15" customHeight="1">
      <c r="AD127" s="452"/>
      <c r="AE127" s="452"/>
      <c r="AF127" s="452"/>
      <c r="AG127" s="452"/>
      <c r="AH127" s="452"/>
      <c r="AI127" s="452"/>
      <c r="AJ127" s="452"/>
    </row>
    <row r="128" spans="30:36" ht="25.15" customHeight="1">
      <c r="AD128" s="452"/>
      <c r="AE128" s="452"/>
      <c r="AF128" s="452"/>
      <c r="AG128" s="452"/>
      <c r="AH128" s="452"/>
      <c r="AI128" s="452"/>
      <c r="AJ128" s="452"/>
    </row>
    <row r="129" spans="30:36" ht="25.15" customHeight="1">
      <c r="AD129" s="452"/>
      <c r="AE129" s="452"/>
      <c r="AF129" s="452"/>
      <c r="AG129" s="452"/>
      <c r="AH129" s="452"/>
      <c r="AI129" s="452"/>
      <c r="AJ129" s="452"/>
    </row>
    <row r="130" spans="30:36" ht="25.15" customHeight="1">
      <c r="AD130" s="452"/>
      <c r="AE130" s="452"/>
      <c r="AF130" s="452"/>
      <c r="AG130" s="452"/>
      <c r="AH130" s="452"/>
      <c r="AI130" s="452"/>
      <c r="AJ130" s="452"/>
    </row>
    <row r="131" spans="30:36" ht="25.15" customHeight="1">
      <c r="AD131" s="452"/>
      <c r="AE131" s="452"/>
      <c r="AF131" s="452"/>
      <c r="AG131" s="452"/>
      <c r="AH131" s="452"/>
      <c r="AI131" s="452"/>
      <c r="AJ131" s="452"/>
    </row>
    <row r="132" spans="30:36" ht="25.15" customHeight="1">
      <c r="AD132" s="452"/>
      <c r="AE132" s="452"/>
      <c r="AF132" s="452"/>
      <c r="AG132" s="452"/>
      <c r="AH132" s="452"/>
      <c r="AI132" s="452"/>
      <c r="AJ132" s="452"/>
    </row>
    <row r="133" spans="30:36" ht="25.15" customHeight="1">
      <c r="AD133" s="452"/>
      <c r="AE133" s="452"/>
      <c r="AF133" s="452"/>
      <c r="AG133" s="452"/>
      <c r="AH133" s="452"/>
      <c r="AI133" s="452"/>
      <c r="AJ133" s="452"/>
    </row>
    <row r="134" spans="30:36" ht="25.15" customHeight="1">
      <c r="AD134" s="452"/>
      <c r="AE134" s="452"/>
      <c r="AF134" s="452"/>
      <c r="AG134" s="452"/>
      <c r="AH134" s="452"/>
      <c r="AI134" s="452"/>
      <c r="AJ134" s="452"/>
    </row>
    <row r="135" spans="30:36" ht="25.15" customHeight="1">
      <c r="AD135" s="452"/>
      <c r="AE135" s="452"/>
      <c r="AF135" s="452"/>
      <c r="AG135" s="452"/>
      <c r="AH135" s="452"/>
      <c r="AI135" s="452"/>
      <c r="AJ135" s="452"/>
    </row>
    <row r="136" spans="30:36" ht="25.15" customHeight="1">
      <c r="AD136" s="452"/>
      <c r="AE136" s="452"/>
      <c r="AF136" s="452"/>
      <c r="AG136" s="452"/>
      <c r="AH136" s="452"/>
      <c r="AI136" s="452"/>
      <c r="AJ136" s="452"/>
    </row>
    <row r="137" spans="30:36" ht="25.15" customHeight="1">
      <c r="AD137" s="452"/>
      <c r="AE137" s="452"/>
      <c r="AF137" s="452"/>
      <c r="AG137" s="452"/>
      <c r="AH137" s="452"/>
      <c r="AI137" s="452"/>
      <c r="AJ137" s="452"/>
    </row>
    <row r="138" spans="30:36" ht="25.15" customHeight="1">
      <c r="AD138" s="452"/>
      <c r="AE138" s="452"/>
      <c r="AF138" s="452"/>
      <c r="AG138" s="452"/>
      <c r="AH138" s="452"/>
      <c r="AI138" s="452"/>
      <c r="AJ138" s="452"/>
    </row>
    <row r="139" spans="30:36" ht="25.15" customHeight="1">
      <c r="AD139" s="452"/>
      <c r="AE139" s="452"/>
      <c r="AF139" s="452"/>
      <c r="AG139" s="452"/>
      <c r="AH139" s="452"/>
      <c r="AI139" s="452"/>
      <c r="AJ139" s="452"/>
    </row>
    <row r="140" spans="30:36" ht="25.15" customHeight="1">
      <c r="AD140" s="452"/>
      <c r="AE140" s="452"/>
      <c r="AF140" s="452"/>
      <c r="AG140" s="452"/>
      <c r="AH140" s="452"/>
      <c r="AI140" s="452"/>
      <c r="AJ140" s="452"/>
    </row>
    <row r="141" spans="30:36" ht="25.15" customHeight="1">
      <c r="AD141" s="452"/>
      <c r="AE141" s="452"/>
      <c r="AF141" s="452"/>
      <c r="AG141" s="452"/>
      <c r="AH141" s="452"/>
      <c r="AI141" s="452"/>
      <c r="AJ141" s="452"/>
    </row>
    <row r="142" spans="30:36" ht="25.15" customHeight="1">
      <c r="AD142" s="452"/>
      <c r="AE142" s="452"/>
      <c r="AF142" s="452"/>
      <c r="AG142" s="452"/>
      <c r="AH142" s="452"/>
      <c r="AI142" s="452"/>
      <c r="AJ142" s="452"/>
    </row>
    <row r="143" spans="30:36" ht="25.15" customHeight="1">
      <c r="AD143" s="452"/>
      <c r="AE143" s="452"/>
      <c r="AF143" s="452"/>
      <c r="AG143" s="452"/>
      <c r="AH143" s="452"/>
      <c r="AI143" s="452"/>
      <c r="AJ143" s="452"/>
    </row>
    <row r="144" spans="30:36" ht="25.15" customHeight="1">
      <c r="AD144" s="452"/>
      <c r="AE144" s="452"/>
      <c r="AF144" s="452"/>
      <c r="AG144" s="452"/>
      <c r="AH144" s="452"/>
      <c r="AI144" s="452"/>
      <c r="AJ144" s="452"/>
    </row>
    <row r="145" spans="30:36" ht="25.15" customHeight="1">
      <c r="AD145" s="452"/>
      <c r="AE145" s="452"/>
      <c r="AF145" s="452"/>
      <c r="AG145" s="452"/>
      <c r="AH145" s="452"/>
      <c r="AI145" s="452"/>
      <c r="AJ145" s="452"/>
    </row>
    <row r="146" spans="30:36" ht="25.15" customHeight="1">
      <c r="AD146" s="452"/>
      <c r="AE146" s="452"/>
      <c r="AF146" s="452"/>
      <c r="AG146" s="452"/>
      <c r="AH146" s="452"/>
      <c r="AI146" s="452"/>
      <c r="AJ146" s="452"/>
    </row>
    <row r="147" spans="30:36" ht="25.15" customHeight="1">
      <c r="AD147" s="452"/>
      <c r="AE147" s="452"/>
      <c r="AF147" s="452"/>
      <c r="AG147" s="452"/>
      <c r="AH147" s="452"/>
      <c r="AI147" s="452"/>
      <c r="AJ147" s="452"/>
    </row>
    <row r="148" spans="30:36" ht="25.15" customHeight="1">
      <c r="AD148" s="452"/>
      <c r="AE148" s="452"/>
      <c r="AF148" s="452"/>
      <c r="AG148" s="452"/>
      <c r="AH148" s="452"/>
      <c r="AI148" s="452"/>
      <c r="AJ148" s="452"/>
    </row>
    <row r="149" spans="30:36" ht="25.15" customHeight="1">
      <c r="AD149" s="452"/>
      <c r="AE149" s="452"/>
      <c r="AF149" s="452"/>
      <c r="AG149" s="452"/>
      <c r="AH149" s="452"/>
      <c r="AI149" s="452"/>
      <c r="AJ149" s="452"/>
    </row>
    <row r="150" spans="30:36" ht="25.15" customHeight="1">
      <c r="AD150" s="452"/>
      <c r="AE150" s="452"/>
      <c r="AF150" s="452"/>
      <c r="AG150" s="452"/>
      <c r="AH150" s="452"/>
      <c r="AI150" s="452"/>
      <c r="AJ150" s="452"/>
    </row>
    <row r="151" spans="30:36" ht="25.15" customHeight="1">
      <c r="AD151" s="452"/>
      <c r="AE151" s="452"/>
      <c r="AF151" s="452"/>
      <c r="AG151" s="452"/>
      <c r="AH151" s="452"/>
      <c r="AI151" s="452"/>
      <c r="AJ151" s="452"/>
    </row>
    <row r="152" spans="30:36" ht="25.15" customHeight="1">
      <c r="AD152" s="452"/>
      <c r="AE152" s="452"/>
      <c r="AF152" s="452"/>
      <c r="AG152" s="452"/>
      <c r="AH152" s="452"/>
      <c r="AI152" s="452"/>
      <c r="AJ152" s="452"/>
    </row>
    <row r="153" spans="30:36" ht="25.15" customHeight="1">
      <c r="AD153" s="452"/>
      <c r="AE153" s="452"/>
      <c r="AF153" s="452"/>
      <c r="AG153" s="452"/>
      <c r="AH153" s="452"/>
      <c r="AI153" s="452"/>
      <c r="AJ153" s="452"/>
    </row>
    <row r="154" spans="30:36" ht="25.15" customHeight="1">
      <c r="AD154" s="452"/>
      <c r="AE154" s="452"/>
      <c r="AF154" s="452"/>
      <c r="AG154" s="452"/>
      <c r="AH154" s="452"/>
      <c r="AI154" s="452"/>
      <c r="AJ154" s="452"/>
    </row>
    <row r="155" spans="30:36" ht="25.15" customHeight="1">
      <c r="AD155" s="452"/>
      <c r="AE155" s="452"/>
      <c r="AF155" s="452"/>
      <c r="AG155" s="452"/>
      <c r="AH155" s="452"/>
      <c r="AI155" s="452"/>
      <c r="AJ155" s="452"/>
    </row>
    <row r="156" spans="30:36" ht="25.15" customHeight="1">
      <c r="AD156" s="452"/>
      <c r="AE156" s="452"/>
      <c r="AF156" s="452"/>
      <c r="AG156" s="452"/>
      <c r="AH156" s="452"/>
      <c r="AI156" s="452"/>
      <c r="AJ156" s="452"/>
    </row>
    <row r="157" spans="30:36" ht="25.15" customHeight="1">
      <c r="AD157" s="452"/>
      <c r="AE157" s="452"/>
      <c r="AF157" s="452"/>
      <c r="AG157" s="452"/>
      <c r="AH157" s="452"/>
      <c r="AI157" s="452"/>
      <c r="AJ157" s="452"/>
    </row>
    <row r="158" spans="30:36" ht="25.15" customHeight="1">
      <c r="AD158" s="452"/>
      <c r="AE158" s="452"/>
      <c r="AF158" s="452"/>
      <c r="AG158" s="452"/>
      <c r="AH158" s="452"/>
      <c r="AI158" s="452"/>
      <c r="AJ158" s="452"/>
    </row>
    <row r="159" spans="30:36" ht="25.15" customHeight="1">
      <c r="AD159" s="452"/>
      <c r="AE159" s="452"/>
      <c r="AF159" s="452"/>
      <c r="AG159" s="452"/>
      <c r="AH159" s="452"/>
      <c r="AI159" s="452"/>
      <c r="AJ159" s="452"/>
    </row>
    <row r="160" spans="30:36" ht="25.15" customHeight="1">
      <c r="AD160" s="452"/>
      <c r="AE160" s="452"/>
      <c r="AF160" s="452"/>
      <c r="AG160" s="452"/>
      <c r="AH160" s="452"/>
      <c r="AI160" s="452"/>
      <c r="AJ160" s="452"/>
    </row>
    <row r="161" spans="30:36" ht="25.15" customHeight="1">
      <c r="AD161" s="452"/>
      <c r="AE161" s="452"/>
      <c r="AF161" s="452"/>
      <c r="AG161" s="452"/>
      <c r="AH161" s="452"/>
      <c r="AI161" s="452"/>
      <c r="AJ161" s="452"/>
    </row>
    <row r="162" spans="30:36" ht="25.15" customHeight="1">
      <c r="AD162" s="452"/>
      <c r="AE162" s="452"/>
      <c r="AF162" s="452"/>
      <c r="AG162" s="452"/>
      <c r="AH162" s="452"/>
      <c r="AI162" s="452"/>
      <c r="AJ162" s="452"/>
    </row>
    <row r="163" spans="30:36" ht="25.15" customHeight="1">
      <c r="AD163" s="452"/>
      <c r="AE163" s="452"/>
      <c r="AF163" s="452"/>
      <c r="AG163" s="452"/>
      <c r="AH163" s="452"/>
      <c r="AI163" s="452"/>
      <c r="AJ163" s="452"/>
    </row>
    <row r="164" spans="30:36" ht="25.15" customHeight="1">
      <c r="AD164" s="452"/>
      <c r="AE164" s="452"/>
      <c r="AF164" s="452"/>
      <c r="AG164" s="452"/>
      <c r="AH164" s="452"/>
      <c r="AI164" s="452"/>
      <c r="AJ164" s="452"/>
    </row>
    <row r="165" spans="30:36" ht="25.15" customHeight="1">
      <c r="AD165" s="452"/>
      <c r="AE165" s="452"/>
      <c r="AF165" s="452"/>
      <c r="AG165" s="452"/>
      <c r="AH165" s="452"/>
      <c r="AI165" s="452"/>
      <c r="AJ165" s="452"/>
    </row>
    <row r="166" spans="30:36" ht="25.15" customHeight="1">
      <c r="AD166" s="452"/>
      <c r="AE166" s="452"/>
      <c r="AF166" s="452"/>
      <c r="AG166" s="452"/>
      <c r="AH166" s="452"/>
      <c r="AI166" s="452"/>
      <c r="AJ166" s="452"/>
    </row>
    <row r="167" spans="30:36" ht="25.15" customHeight="1">
      <c r="AD167" s="452"/>
      <c r="AE167" s="452"/>
      <c r="AF167" s="452"/>
      <c r="AG167" s="452"/>
      <c r="AH167" s="452"/>
      <c r="AI167" s="452"/>
      <c r="AJ167" s="452"/>
    </row>
    <row r="168" spans="30:36" ht="25.15" customHeight="1">
      <c r="AD168" s="452"/>
      <c r="AE168" s="452"/>
      <c r="AF168" s="452"/>
      <c r="AG168" s="452"/>
      <c r="AH168" s="452"/>
      <c r="AI168" s="452"/>
      <c r="AJ168" s="452"/>
    </row>
    <row r="169" spans="30:36" ht="25.15" customHeight="1">
      <c r="AD169" s="452"/>
      <c r="AE169" s="452"/>
      <c r="AF169" s="452"/>
      <c r="AG169" s="452"/>
      <c r="AH169" s="452"/>
      <c r="AI169" s="452"/>
      <c r="AJ169" s="452"/>
    </row>
    <row r="170" spans="30:36" ht="25.15" customHeight="1">
      <c r="AD170" s="452"/>
      <c r="AE170" s="452"/>
      <c r="AF170" s="452"/>
      <c r="AG170" s="452"/>
      <c r="AH170" s="452"/>
      <c r="AI170" s="452"/>
      <c r="AJ170" s="452"/>
    </row>
    <row r="171" spans="30:36" ht="25.15" customHeight="1">
      <c r="AD171" s="452"/>
      <c r="AE171" s="452"/>
      <c r="AF171" s="452"/>
      <c r="AG171" s="452"/>
      <c r="AH171" s="452"/>
      <c r="AI171" s="452"/>
      <c r="AJ171" s="452"/>
    </row>
    <row r="172" spans="30:36" ht="25.15" customHeight="1">
      <c r="AD172" s="452"/>
      <c r="AE172" s="452"/>
      <c r="AF172" s="452"/>
      <c r="AG172" s="452"/>
      <c r="AH172" s="452"/>
      <c r="AI172" s="452"/>
      <c r="AJ172" s="452"/>
    </row>
    <row r="173" spans="30:36" ht="25.15" customHeight="1">
      <c r="AD173" s="452"/>
      <c r="AE173" s="452"/>
      <c r="AF173" s="452"/>
      <c r="AG173" s="452"/>
      <c r="AH173" s="452"/>
      <c r="AI173" s="452"/>
      <c r="AJ173" s="452"/>
    </row>
    <row r="174" spans="30:36" ht="25.15" customHeight="1">
      <c r="AD174" s="452"/>
      <c r="AE174" s="452"/>
      <c r="AF174" s="452"/>
      <c r="AG174" s="452"/>
      <c r="AH174" s="452"/>
      <c r="AI174" s="452"/>
      <c r="AJ174" s="452"/>
    </row>
    <row r="175" spans="30:36" ht="25.15" customHeight="1">
      <c r="AD175" s="452"/>
      <c r="AE175" s="452"/>
      <c r="AF175" s="452"/>
      <c r="AG175" s="452"/>
      <c r="AH175" s="452"/>
      <c r="AI175" s="452"/>
      <c r="AJ175" s="452"/>
    </row>
    <row r="176" spans="30:36" ht="25.15" customHeight="1">
      <c r="AD176" s="452"/>
      <c r="AE176" s="452"/>
      <c r="AF176" s="452"/>
      <c r="AG176" s="452"/>
      <c r="AH176" s="452"/>
      <c r="AI176" s="452"/>
      <c r="AJ176" s="452"/>
    </row>
    <row r="177" spans="30:36" ht="25.15" customHeight="1">
      <c r="AD177" s="452"/>
      <c r="AE177" s="452"/>
      <c r="AF177" s="452"/>
      <c r="AG177" s="452"/>
      <c r="AH177" s="452"/>
      <c r="AI177" s="452"/>
      <c r="AJ177" s="452"/>
    </row>
    <row r="178" spans="30:36" ht="25.15" customHeight="1">
      <c r="AD178" s="452"/>
      <c r="AE178" s="452"/>
      <c r="AF178" s="452"/>
      <c r="AG178" s="452"/>
      <c r="AH178" s="452"/>
      <c r="AI178" s="452"/>
      <c r="AJ178" s="452"/>
    </row>
    <row r="179" spans="30:36" ht="25.15" customHeight="1">
      <c r="AD179" s="452"/>
      <c r="AE179" s="452"/>
      <c r="AF179" s="452"/>
      <c r="AG179" s="452"/>
      <c r="AH179" s="452"/>
      <c r="AI179" s="452"/>
      <c r="AJ179" s="452"/>
    </row>
    <row r="180" spans="30:36" ht="25.15" customHeight="1">
      <c r="AD180" s="452"/>
      <c r="AE180" s="452"/>
      <c r="AF180" s="452"/>
      <c r="AG180" s="452"/>
      <c r="AH180" s="452"/>
      <c r="AI180" s="452"/>
      <c r="AJ180" s="452"/>
    </row>
    <row r="181" spans="30:36" ht="25.15" customHeight="1">
      <c r="AD181" s="452"/>
      <c r="AE181" s="452"/>
      <c r="AF181" s="452"/>
      <c r="AG181" s="452"/>
      <c r="AH181" s="452"/>
      <c r="AI181" s="452"/>
      <c r="AJ181" s="452"/>
    </row>
    <row r="182" spans="30:36" ht="25.15" customHeight="1">
      <c r="AD182" s="452"/>
      <c r="AE182" s="452"/>
      <c r="AF182" s="452"/>
      <c r="AG182" s="452"/>
      <c r="AH182" s="452"/>
      <c r="AI182" s="452"/>
      <c r="AJ182" s="452"/>
    </row>
    <row r="183" spans="30:36" ht="25.15" customHeight="1">
      <c r="AD183" s="452"/>
      <c r="AE183" s="452"/>
      <c r="AF183" s="452"/>
      <c r="AG183" s="452"/>
      <c r="AH183" s="452"/>
      <c r="AI183" s="452"/>
      <c r="AJ183" s="452"/>
    </row>
    <row r="184" spans="30:36" ht="25.15" customHeight="1">
      <c r="AD184" s="452"/>
      <c r="AE184" s="452"/>
      <c r="AF184" s="452"/>
      <c r="AG184" s="452"/>
      <c r="AH184" s="452"/>
      <c r="AI184" s="452"/>
      <c r="AJ184" s="452"/>
    </row>
    <row r="185" spans="30:36" ht="25.15" customHeight="1">
      <c r="AD185" s="452"/>
      <c r="AE185" s="452"/>
      <c r="AF185" s="452"/>
      <c r="AG185" s="452"/>
      <c r="AH185" s="452"/>
      <c r="AI185" s="452"/>
      <c r="AJ185" s="452"/>
    </row>
    <row r="186" spans="30:36" ht="25.15" customHeight="1">
      <c r="AD186" s="452"/>
      <c r="AE186" s="452"/>
      <c r="AF186" s="452"/>
      <c r="AG186" s="452"/>
      <c r="AH186" s="452"/>
      <c r="AI186" s="452"/>
      <c r="AJ186" s="452"/>
    </row>
    <row r="187" spans="30:36" ht="25.15" customHeight="1">
      <c r="AD187" s="452"/>
      <c r="AE187" s="452"/>
      <c r="AF187" s="452"/>
      <c r="AG187" s="452"/>
      <c r="AH187" s="452"/>
      <c r="AI187" s="452"/>
      <c r="AJ187" s="452"/>
    </row>
    <row r="188" spans="30:36" ht="25.15" customHeight="1">
      <c r="AD188" s="452"/>
      <c r="AE188" s="452"/>
      <c r="AF188" s="452"/>
      <c r="AG188" s="452"/>
      <c r="AH188" s="452"/>
      <c r="AI188" s="452"/>
      <c r="AJ188" s="452"/>
    </row>
    <row r="189" spans="30:36" ht="25.15" customHeight="1">
      <c r="AD189" s="452"/>
      <c r="AE189" s="452"/>
      <c r="AF189" s="452"/>
      <c r="AG189" s="452"/>
      <c r="AH189" s="452"/>
      <c r="AI189" s="452"/>
      <c r="AJ189" s="452"/>
    </row>
    <row r="190" spans="30:36" ht="25.15" customHeight="1">
      <c r="AD190" s="452"/>
      <c r="AE190" s="452"/>
      <c r="AF190" s="452"/>
      <c r="AG190" s="452"/>
      <c r="AH190" s="452"/>
      <c r="AI190" s="452"/>
      <c r="AJ190" s="452"/>
    </row>
    <row r="191" spans="30:36" ht="25.15" customHeight="1">
      <c r="AD191" s="452"/>
      <c r="AE191" s="452"/>
      <c r="AF191" s="452"/>
      <c r="AG191" s="452"/>
      <c r="AH191" s="452"/>
      <c r="AI191" s="452"/>
      <c r="AJ191" s="452"/>
    </row>
    <row r="192" spans="30:36" ht="25.15" customHeight="1">
      <c r="AD192" s="452"/>
      <c r="AE192" s="452"/>
      <c r="AF192" s="452"/>
      <c r="AG192" s="452"/>
      <c r="AH192" s="452"/>
      <c r="AI192" s="452"/>
      <c r="AJ192" s="452"/>
    </row>
    <row r="193" spans="30:36" ht="25.15" customHeight="1">
      <c r="AD193" s="452"/>
      <c r="AE193" s="452"/>
      <c r="AF193" s="452"/>
      <c r="AG193" s="452"/>
      <c r="AH193" s="452"/>
      <c r="AI193" s="452"/>
      <c r="AJ193" s="452"/>
    </row>
    <row r="194" spans="30:36" ht="25.15" customHeight="1">
      <c r="AD194" s="452"/>
      <c r="AE194" s="452"/>
      <c r="AF194" s="452"/>
      <c r="AG194" s="452"/>
      <c r="AH194" s="452"/>
      <c r="AI194" s="452"/>
      <c r="AJ194" s="452"/>
    </row>
    <row r="195" spans="30:36" ht="25.15" customHeight="1">
      <c r="AD195" s="452"/>
      <c r="AE195" s="452"/>
      <c r="AF195" s="452"/>
      <c r="AG195" s="452"/>
      <c r="AH195" s="452"/>
      <c r="AI195" s="452"/>
      <c r="AJ195" s="452"/>
    </row>
    <row r="196" spans="30:36" ht="25.15" customHeight="1">
      <c r="AD196" s="452"/>
      <c r="AE196" s="452"/>
      <c r="AF196" s="452"/>
      <c r="AG196" s="452"/>
      <c r="AH196" s="452"/>
      <c r="AI196" s="452"/>
      <c r="AJ196" s="452"/>
    </row>
    <row r="197" spans="30:36" ht="25.15" customHeight="1">
      <c r="AD197" s="452"/>
      <c r="AE197" s="452"/>
      <c r="AF197" s="452"/>
      <c r="AG197" s="452"/>
      <c r="AH197" s="452"/>
      <c r="AI197" s="452"/>
      <c r="AJ197" s="452"/>
    </row>
    <row r="198" spans="30:36" ht="25.15" customHeight="1">
      <c r="AD198" s="452"/>
      <c r="AE198" s="452"/>
      <c r="AF198" s="452"/>
      <c r="AG198" s="452"/>
      <c r="AH198" s="452"/>
      <c r="AI198" s="452"/>
      <c r="AJ198" s="452"/>
    </row>
    <row r="199" spans="30:36" ht="25.15" customHeight="1">
      <c r="AD199" s="452"/>
      <c r="AE199" s="452"/>
      <c r="AF199" s="452"/>
      <c r="AG199" s="452"/>
      <c r="AH199" s="452"/>
      <c r="AI199" s="452"/>
      <c r="AJ199" s="452"/>
    </row>
    <row r="200" spans="30:36" ht="25.15" customHeight="1">
      <c r="AD200" s="452"/>
      <c r="AE200" s="452"/>
      <c r="AF200" s="452"/>
      <c r="AG200" s="452"/>
      <c r="AH200" s="452"/>
      <c r="AI200" s="452"/>
      <c r="AJ200" s="452"/>
    </row>
    <row r="201" spans="30:36" ht="25.15" customHeight="1">
      <c r="AD201" s="452"/>
      <c r="AE201" s="452"/>
      <c r="AF201" s="452"/>
      <c r="AG201" s="452"/>
      <c r="AH201" s="452"/>
      <c r="AI201" s="452"/>
      <c r="AJ201" s="452"/>
    </row>
    <row r="202" spans="30:36" ht="25.15" customHeight="1">
      <c r="AD202" s="452"/>
      <c r="AE202" s="452"/>
      <c r="AF202" s="452"/>
      <c r="AG202" s="452"/>
      <c r="AH202" s="452"/>
      <c r="AI202" s="452"/>
      <c r="AJ202" s="452"/>
    </row>
    <row r="203" spans="30:36" ht="25.15" customHeight="1">
      <c r="AD203" s="452"/>
      <c r="AE203" s="452"/>
      <c r="AF203" s="452"/>
      <c r="AG203" s="452"/>
      <c r="AH203" s="452"/>
      <c r="AI203" s="452"/>
      <c r="AJ203" s="452"/>
    </row>
    <row r="204" spans="30:36" ht="25.15" customHeight="1">
      <c r="AD204" s="452"/>
      <c r="AE204" s="452"/>
      <c r="AF204" s="452"/>
      <c r="AG204" s="452"/>
      <c r="AH204" s="452"/>
      <c r="AI204" s="452"/>
      <c r="AJ204" s="452"/>
    </row>
    <row r="205" spans="30:36" ht="25.15" customHeight="1">
      <c r="AD205" s="452"/>
      <c r="AE205" s="452"/>
      <c r="AF205" s="452"/>
      <c r="AG205" s="452"/>
      <c r="AH205" s="452"/>
      <c r="AI205" s="452"/>
      <c r="AJ205" s="452"/>
    </row>
    <row r="206" spans="30:36" ht="25.15" customHeight="1">
      <c r="AD206" s="452"/>
      <c r="AE206" s="452"/>
      <c r="AF206" s="452"/>
      <c r="AG206" s="452"/>
      <c r="AH206" s="452"/>
      <c r="AI206" s="452"/>
      <c r="AJ206" s="452"/>
    </row>
    <row r="207" spans="30:36" ht="25.15" customHeight="1">
      <c r="AD207" s="452"/>
      <c r="AE207" s="452"/>
      <c r="AF207" s="452"/>
      <c r="AG207" s="452"/>
      <c r="AH207" s="452"/>
      <c r="AI207" s="452"/>
      <c r="AJ207" s="452"/>
    </row>
    <row r="208" spans="30:36" ht="25.15" customHeight="1">
      <c r="AD208" s="452"/>
      <c r="AE208" s="452"/>
      <c r="AF208" s="452"/>
      <c r="AG208" s="452"/>
      <c r="AH208" s="452"/>
      <c r="AI208" s="452"/>
      <c r="AJ208" s="452"/>
    </row>
    <row r="209" spans="30:36" ht="25.15" customHeight="1">
      <c r="AD209" s="452"/>
      <c r="AE209" s="452"/>
      <c r="AF209" s="452"/>
      <c r="AG209" s="452"/>
      <c r="AH209" s="452"/>
      <c r="AI209" s="452"/>
      <c r="AJ209" s="452"/>
    </row>
    <row r="210" spans="30:36" ht="25.15" customHeight="1">
      <c r="AD210" s="452"/>
      <c r="AE210" s="452"/>
      <c r="AF210" s="452"/>
      <c r="AG210" s="452"/>
      <c r="AH210" s="452"/>
      <c r="AI210" s="452"/>
      <c r="AJ210" s="452"/>
    </row>
    <row r="211" spans="30:36" ht="25.15" customHeight="1">
      <c r="AD211" s="452"/>
      <c r="AE211" s="452"/>
      <c r="AF211" s="452"/>
      <c r="AG211" s="452"/>
      <c r="AH211" s="452"/>
      <c r="AI211" s="452"/>
      <c r="AJ211" s="452"/>
    </row>
    <row r="212" spans="30:36" ht="25.15" customHeight="1">
      <c r="AD212" s="452"/>
      <c r="AE212" s="452"/>
      <c r="AF212" s="452"/>
      <c r="AG212" s="452"/>
      <c r="AH212" s="452"/>
      <c r="AI212" s="452"/>
      <c r="AJ212" s="452"/>
    </row>
    <row r="213" spans="30:36" ht="25.15" customHeight="1">
      <c r="AD213" s="452"/>
      <c r="AE213" s="452"/>
      <c r="AF213" s="452"/>
      <c r="AG213" s="452"/>
      <c r="AH213" s="452"/>
      <c r="AI213" s="452"/>
      <c r="AJ213" s="452"/>
    </row>
    <row r="214" spans="30:36" ht="25.15" customHeight="1">
      <c r="AD214" s="452"/>
      <c r="AE214" s="452"/>
      <c r="AF214" s="452"/>
      <c r="AG214" s="452"/>
      <c r="AH214" s="452"/>
      <c r="AI214" s="452"/>
      <c r="AJ214" s="452"/>
    </row>
    <row r="215" spans="30:36" ht="25.15" customHeight="1">
      <c r="AD215" s="452"/>
      <c r="AE215" s="452"/>
      <c r="AF215" s="452"/>
      <c r="AG215" s="452"/>
      <c r="AH215" s="452"/>
      <c r="AI215" s="452"/>
      <c r="AJ215" s="452"/>
    </row>
    <row r="216" spans="30:36" ht="25.15" customHeight="1">
      <c r="AD216" s="452"/>
      <c r="AE216" s="452"/>
      <c r="AF216" s="452"/>
      <c r="AG216" s="452"/>
      <c r="AH216" s="452"/>
      <c r="AI216" s="452"/>
      <c r="AJ216" s="452"/>
    </row>
    <row r="217" spans="30:36" ht="25.15" customHeight="1">
      <c r="AD217" s="452"/>
      <c r="AE217" s="452"/>
      <c r="AF217" s="452"/>
      <c r="AG217" s="452"/>
      <c r="AH217" s="452"/>
      <c r="AI217" s="452"/>
      <c r="AJ217" s="452"/>
    </row>
    <row r="218" spans="30:36" ht="25.15" customHeight="1">
      <c r="AD218" s="452"/>
      <c r="AE218" s="452"/>
      <c r="AF218" s="452"/>
      <c r="AG218" s="452"/>
      <c r="AH218" s="452"/>
      <c r="AI218" s="452"/>
      <c r="AJ218" s="452"/>
    </row>
    <row r="219" spans="30:36" ht="25.15" customHeight="1">
      <c r="AD219" s="452"/>
      <c r="AE219" s="452"/>
      <c r="AF219" s="452"/>
      <c r="AG219" s="452"/>
      <c r="AH219" s="452"/>
      <c r="AI219" s="452"/>
      <c r="AJ219" s="452"/>
    </row>
    <row r="220" spans="30:36" ht="25.15" customHeight="1">
      <c r="AD220" s="452"/>
      <c r="AE220" s="452"/>
      <c r="AF220" s="452"/>
      <c r="AG220" s="452"/>
      <c r="AH220" s="452"/>
      <c r="AI220" s="452"/>
      <c r="AJ220" s="452"/>
    </row>
    <row r="221" spans="30:36" ht="25.15" customHeight="1">
      <c r="AD221" s="452"/>
      <c r="AE221" s="452"/>
      <c r="AF221" s="452"/>
      <c r="AG221" s="452"/>
      <c r="AH221" s="452"/>
      <c r="AI221" s="452"/>
      <c r="AJ221" s="452"/>
    </row>
    <row r="222" spans="30:36" ht="25.15" customHeight="1">
      <c r="AD222" s="452"/>
      <c r="AE222" s="452"/>
      <c r="AF222" s="452"/>
      <c r="AG222" s="452"/>
      <c r="AH222" s="452"/>
      <c r="AI222" s="452"/>
      <c r="AJ222" s="452"/>
    </row>
    <row r="223" spans="30:36" ht="25.15" customHeight="1">
      <c r="AD223" s="452"/>
      <c r="AE223" s="452"/>
      <c r="AF223" s="452"/>
      <c r="AG223" s="452"/>
      <c r="AH223" s="452"/>
      <c r="AI223" s="452"/>
      <c r="AJ223" s="452"/>
    </row>
    <row r="224" spans="30:36" ht="25.15" customHeight="1">
      <c r="AD224" s="452"/>
      <c r="AE224" s="452"/>
      <c r="AF224" s="452"/>
      <c r="AG224" s="452"/>
      <c r="AH224" s="452"/>
      <c r="AI224" s="452"/>
      <c r="AJ224" s="452"/>
    </row>
    <row r="225" spans="30:36" ht="25.15" customHeight="1">
      <c r="AD225" s="452"/>
      <c r="AE225" s="452"/>
      <c r="AF225" s="452"/>
      <c r="AG225" s="452"/>
      <c r="AH225" s="452"/>
      <c r="AI225" s="452"/>
      <c r="AJ225" s="452"/>
    </row>
    <row r="226" spans="30:36" ht="25.15" customHeight="1">
      <c r="AD226" s="452"/>
      <c r="AE226" s="452"/>
      <c r="AF226" s="452"/>
      <c r="AG226" s="452"/>
      <c r="AH226" s="452"/>
      <c r="AI226" s="452"/>
      <c r="AJ226" s="452"/>
    </row>
    <row r="227" spans="30:36" ht="25.15" customHeight="1">
      <c r="AD227" s="452"/>
      <c r="AE227" s="452"/>
      <c r="AF227" s="452"/>
      <c r="AG227" s="452"/>
      <c r="AH227" s="452"/>
      <c r="AI227" s="452"/>
      <c r="AJ227" s="452"/>
    </row>
    <row r="228" spans="30:36" ht="25.15" customHeight="1">
      <c r="AD228" s="452"/>
      <c r="AE228" s="452"/>
      <c r="AF228" s="452"/>
      <c r="AG228" s="452"/>
      <c r="AH228" s="452"/>
      <c r="AI228" s="452"/>
      <c r="AJ228" s="452"/>
    </row>
    <row r="229" spans="30:36" ht="25.15" customHeight="1">
      <c r="AD229" s="452"/>
      <c r="AE229" s="452"/>
      <c r="AF229" s="452"/>
      <c r="AG229" s="452"/>
      <c r="AH229" s="452"/>
      <c r="AI229" s="452"/>
      <c r="AJ229" s="452"/>
    </row>
    <row r="230" spans="30:36" ht="25.15" customHeight="1">
      <c r="AD230" s="452"/>
      <c r="AE230" s="452"/>
      <c r="AF230" s="452"/>
      <c r="AG230" s="452"/>
      <c r="AH230" s="452"/>
      <c r="AI230" s="452"/>
      <c r="AJ230" s="452"/>
    </row>
    <row r="231" spans="30:36" ht="25.15" customHeight="1">
      <c r="AD231" s="452"/>
      <c r="AE231" s="452"/>
      <c r="AF231" s="452"/>
      <c r="AG231" s="452"/>
      <c r="AH231" s="452"/>
      <c r="AI231" s="452"/>
      <c r="AJ231" s="452"/>
    </row>
    <row r="232" spans="30:36" ht="25.15" customHeight="1">
      <c r="AD232" s="452"/>
      <c r="AE232" s="452"/>
      <c r="AF232" s="452"/>
      <c r="AG232" s="452"/>
      <c r="AH232" s="452"/>
      <c r="AI232" s="452"/>
      <c r="AJ232" s="452"/>
    </row>
    <row r="233" spans="30:36" ht="25.15" customHeight="1">
      <c r="AD233" s="452"/>
      <c r="AE233" s="452"/>
      <c r="AF233" s="452"/>
      <c r="AG233" s="452"/>
      <c r="AH233" s="452"/>
      <c r="AI233" s="452"/>
      <c r="AJ233" s="452"/>
    </row>
    <row r="234" spans="30:36" ht="25.15" customHeight="1">
      <c r="AD234" s="452"/>
      <c r="AE234" s="452"/>
      <c r="AF234" s="452"/>
      <c r="AG234" s="452"/>
      <c r="AH234" s="452"/>
      <c r="AI234" s="452"/>
      <c r="AJ234" s="452"/>
    </row>
    <row r="235" spans="30:36" ht="25.15" customHeight="1">
      <c r="AD235" s="452"/>
      <c r="AE235" s="452"/>
      <c r="AF235" s="452"/>
      <c r="AG235" s="452"/>
      <c r="AH235" s="452"/>
      <c r="AI235" s="452"/>
      <c r="AJ235" s="452"/>
    </row>
    <row r="236" spans="30:36" ht="25.15" customHeight="1">
      <c r="AD236" s="452"/>
      <c r="AE236" s="452"/>
      <c r="AF236" s="452"/>
      <c r="AG236" s="452"/>
      <c r="AH236" s="452"/>
      <c r="AI236" s="452"/>
      <c r="AJ236" s="452"/>
    </row>
    <row r="237" spans="30:36" ht="25.15" customHeight="1">
      <c r="AD237" s="452"/>
      <c r="AE237" s="452"/>
      <c r="AF237" s="452"/>
      <c r="AG237" s="452"/>
      <c r="AH237" s="452"/>
      <c r="AI237" s="452"/>
      <c r="AJ237" s="452"/>
    </row>
    <row r="238" spans="30:36" ht="25.15" customHeight="1">
      <c r="AD238" s="452"/>
      <c r="AE238" s="452"/>
      <c r="AF238" s="452"/>
      <c r="AG238" s="452"/>
      <c r="AH238" s="452"/>
      <c r="AI238" s="452"/>
      <c r="AJ238" s="452"/>
    </row>
    <row r="239" spans="30:36" ht="25.15" customHeight="1">
      <c r="AD239" s="452"/>
      <c r="AE239" s="452"/>
      <c r="AF239" s="452"/>
      <c r="AG239" s="452"/>
      <c r="AH239" s="452"/>
      <c r="AI239" s="452"/>
      <c r="AJ239" s="452"/>
    </row>
    <row r="240" spans="30:36" ht="25.15" customHeight="1">
      <c r="AD240" s="452"/>
      <c r="AE240" s="452"/>
      <c r="AF240" s="452"/>
      <c r="AG240" s="452"/>
      <c r="AH240" s="452"/>
      <c r="AI240" s="452"/>
      <c r="AJ240" s="452"/>
    </row>
    <row r="241" spans="30:36" ht="25.15" customHeight="1">
      <c r="AD241" s="452"/>
      <c r="AE241" s="452"/>
      <c r="AF241" s="452"/>
      <c r="AG241" s="452"/>
      <c r="AH241" s="452"/>
      <c r="AI241" s="452"/>
      <c r="AJ241" s="452"/>
    </row>
    <row r="242" spans="30:36" ht="25.15" customHeight="1">
      <c r="AD242" s="452"/>
      <c r="AE242" s="452"/>
      <c r="AF242" s="452"/>
      <c r="AG242" s="452"/>
      <c r="AH242" s="452"/>
      <c r="AI242" s="452"/>
      <c r="AJ242" s="452"/>
    </row>
    <row r="243" spans="30:36" ht="25.15" customHeight="1">
      <c r="AD243" s="452"/>
      <c r="AE243" s="452"/>
      <c r="AF243" s="452"/>
      <c r="AG243" s="452"/>
      <c r="AH243" s="452"/>
      <c r="AI243" s="452"/>
      <c r="AJ243" s="452"/>
    </row>
    <row r="244" spans="30:36" ht="25.15" customHeight="1">
      <c r="AD244" s="452"/>
      <c r="AE244" s="452"/>
      <c r="AF244" s="452"/>
      <c r="AG244" s="452"/>
      <c r="AH244" s="452"/>
      <c r="AI244" s="452"/>
      <c r="AJ244" s="452"/>
    </row>
    <row r="245" spans="30:36" ht="25.15" customHeight="1">
      <c r="AD245" s="452"/>
      <c r="AE245" s="452"/>
      <c r="AF245" s="452"/>
      <c r="AG245" s="452"/>
      <c r="AH245" s="452"/>
      <c r="AI245" s="452"/>
      <c r="AJ245" s="452"/>
    </row>
    <row r="246" spans="30:36" ht="25.15" customHeight="1">
      <c r="AD246" s="452"/>
      <c r="AE246" s="452"/>
      <c r="AF246" s="452"/>
      <c r="AG246" s="452"/>
      <c r="AH246" s="452"/>
      <c r="AI246" s="452"/>
      <c r="AJ246" s="452"/>
    </row>
    <row r="247" spans="30:36" ht="25.15" customHeight="1">
      <c r="AD247" s="452"/>
      <c r="AE247" s="452"/>
      <c r="AF247" s="452"/>
      <c r="AG247" s="452"/>
      <c r="AH247" s="452"/>
      <c r="AI247" s="452"/>
      <c r="AJ247" s="452"/>
    </row>
    <row r="248" spans="30:36" ht="25.15" customHeight="1">
      <c r="AD248" s="452"/>
      <c r="AE248" s="452"/>
      <c r="AF248" s="452"/>
      <c r="AG248" s="452"/>
      <c r="AH248" s="452"/>
      <c r="AI248" s="452"/>
      <c r="AJ248" s="452"/>
    </row>
    <row r="249" spans="30:36" ht="25.15" customHeight="1">
      <c r="AD249" s="452"/>
      <c r="AE249" s="452"/>
      <c r="AF249" s="452"/>
      <c r="AG249" s="452"/>
      <c r="AH249" s="452"/>
      <c r="AI249" s="452"/>
      <c r="AJ249" s="452"/>
    </row>
    <row r="250" spans="30:36" ht="25.15" customHeight="1">
      <c r="AD250" s="452"/>
      <c r="AE250" s="452"/>
      <c r="AF250" s="452"/>
      <c r="AG250" s="452"/>
      <c r="AH250" s="452"/>
      <c r="AI250" s="452"/>
      <c r="AJ250" s="452"/>
    </row>
    <row r="251" spans="30:36" ht="25.15" customHeight="1">
      <c r="AD251" s="452"/>
      <c r="AE251" s="452"/>
      <c r="AF251" s="452"/>
      <c r="AG251" s="452"/>
      <c r="AH251" s="452"/>
      <c r="AI251" s="452"/>
      <c r="AJ251" s="452"/>
    </row>
    <row r="252" spans="30:36" ht="25.15" customHeight="1">
      <c r="AD252" s="452"/>
      <c r="AE252" s="452"/>
      <c r="AF252" s="452"/>
      <c r="AG252" s="452"/>
      <c r="AH252" s="452"/>
      <c r="AI252" s="452"/>
      <c r="AJ252" s="452"/>
    </row>
    <row r="253" spans="30:36" ht="25.15" customHeight="1">
      <c r="AD253" s="452"/>
      <c r="AE253" s="452"/>
      <c r="AF253" s="452"/>
      <c r="AG253" s="452"/>
      <c r="AH253" s="452"/>
      <c r="AI253" s="452"/>
      <c r="AJ253" s="452"/>
    </row>
    <row r="254" spans="30:36" ht="25.15" customHeight="1">
      <c r="AD254" s="452"/>
      <c r="AE254" s="452"/>
      <c r="AF254" s="452"/>
      <c r="AG254" s="452"/>
      <c r="AH254" s="452"/>
      <c r="AI254" s="452"/>
      <c r="AJ254" s="452"/>
    </row>
    <row r="255" spans="30:36" ht="25.15" customHeight="1">
      <c r="AD255" s="452"/>
      <c r="AE255" s="452"/>
      <c r="AF255" s="452"/>
      <c r="AG255" s="452"/>
      <c r="AH255" s="452"/>
      <c r="AI255" s="452"/>
      <c r="AJ255" s="452"/>
    </row>
    <row r="256" spans="30:36" ht="25.15" customHeight="1">
      <c r="AD256" s="452"/>
      <c r="AE256" s="452"/>
      <c r="AF256" s="452"/>
      <c r="AG256" s="452"/>
      <c r="AH256" s="452"/>
      <c r="AI256" s="452"/>
      <c r="AJ256" s="452"/>
    </row>
    <row r="257" spans="30:36" ht="25.15" customHeight="1">
      <c r="AD257" s="452"/>
      <c r="AE257" s="452"/>
      <c r="AF257" s="452"/>
      <c r="AG257" s="452"/>
      <c r="AH257" s="452"/>
      <c r="AI257" s="452"/>
      <c r="AJ257" s="452"/>
    </row>
    <row r="258" spans="30:36" ht="25.15" customHeight="1">
      <c r="AD258" s="452"/>
      <c r="AE258" s="452"/>
      <c r="AF258" s="452"/>
      <c r="AG258" s="452"/>
      <c r="AH258" s="452"/>
      <c r="AI258" s="452"/>
      <c r="AJ258" s="452"/>
    </row>
    <row r="259" spans="30:36" ht="25.15" customHeight="1">
      <c r="AD259" s="452"/>
      <c r="AE259" s="452"/>
      <c r="AF259" s="452"/>
      <c r="AG259" s="452"/>
      <c r="AH259" s="452"/>
      <c r="AI259" s="452"/>
      <c r="AJ259" s="452"/>
    </row>
    <row r="260" spans="30:36" ht="25.15" customHeight="1">
      <c r="AD260" s="452"/>
      <c r="AE260" s="452"/>
      <c r="AF260" s="452"/>
      <c r="AG260" s="452"/>
      <c r="AH260" s="452"/>
      <c r="AI260" s="452"/>
      <c r="AJ260" s="452"/>
    </row>
    <row r="261" spans="30:36" ht="25.15" customHeight="1">
      <c r="AD261" s="452"/>
      <c r="AE261" s="452"/>
      <c r="AF261" s="452"/>
      <c r="AG261" s="452"/>
      <c r="AH261" s="452"/>
      <c r="AI261" s="452"/>
      <c r="AJ261" s="452"/>
    </row>
    <row r="262" spans="30:36" ht="25.15" customHeight="1">
      <c r="AD262" s="452"/>
      <c r="AE262" s="452"/>
      <c r="AF262" s="452"/>
      <c r="AG262" s="452"/>
      <c r="AH262" s="452"/>
      <c r="AI262" s="452"/>
      <c r="AJ262" s="452"/>
    </row>
    <row r="263" spans="30:36" ht="25.15" customHeight="1">
      <c r="AD263" s="452"/>
      <c r="AE263" s="452"/>
      <c r="AF263" s="452"/>
      <c r="AG263" s="452"/>
      <c r="AH263" s="452"/>
      <c r="AI263" s="452"/>
      <c r="AJ263" s="452"/>
    </row>
    <row r="264" spans="30:36" ht="25.15" customHeight="1">
      <c r="AD264" s="452"/>
      <c r="AE264" s="452"/>
      <c r="AF264" s="452"/>
      <c r="AG264" s="452"/>
      <c r="AH264" s="452"/>
      <c r="AI264" s="452"/>
      <c r="AJ264" s="452"/>
    </row>
    <row r="265" spans="30:36" ht="25.15" customHeight="1">
      <c r="AD265" s="452"/>
      <c r="AE265" s="452"/>
      <c r="AF265" s="452"/>
      <c r="AG265" s="452"/>
      <c r="AH265" s="452"/>
      <c r="AI265" s="452"/>
      <c r="AJ265" s="452"/>
    </row>
    <row r="266" spans="30:36" ht="25.15" customHeight="1">
      <c r="AD266" s="452"/>
      <c r="AE266" s="452"/>
      <c r="AF266" s="452"/>
      <c r="AG266" s="452"/>
      <c r="AH266" s="452"/>
      <c r="AI266" s="452"/>
      <c r="AJ266" s="452"/>
    </row>
    <row r="267" spans="30:36" ht="25.15" customHeight="1">
      <c r="AD267" s="452"/>
      <c r="AE267" s="452"/>
      <c r="AF267" s="452"/>
      <c r="AG267" s="452"/>
      <c r="AH267" s="452"/>
      <c r="AI267" s="452"/>
      <c r="AJ267" s="452"/>
    </row>
    <row r="268" spans="30:36" ht="25.15" customHeight="1">
      <c r="AD268" s="452"/>
      <c r="AE268" s="452"/>
      <c r="AF268" s="452"/>
      <c r="AG268" s="452"/>
      <c r="AH268" s="452"/>
      <c r="AI268" s="452"/>
      <c r="AJ268" s="452"/>
    </row>
    <row r="269" spans="30:36" ht="25.15" customHeight="1">
      <c r="AD269" s="452"/>
      <c r="AE269" s="452"/>
      <c r="AF269" s="452"/>
      <c r="AG269" s="452"/>
      <c r="AH269" s="452"/>
      <c r="AI269" s="452"/>
      <c r="AJ269" s="452"/>
    </row>
    <row r="270" spans="30:36" ht="25.15" customHeight="1">
      <c r="AD270" s="452"/>
      <c r="AE270" s="452"/>
      <c r="AF270" s="452"/>
      <c r="AG270" s="452"/>
      <c r="AH270" s="452"/>
      <c r="AI270" s="452"/>
      <c r="AJ270" s="452"/>
    </row>
    <row r="271" spans="30:36" ht="25.15" customHeight="1">
      <c r="AD271" s="452"/>
      <c r="AE271" s="452"/>
      <c r="AF271" s="452"/>
      <c r="AG271" s="452"/>
      <c r="AH271" s="452"/>
      <c r="AI271" s="452"/>
      <c r="AJ271" s="452"/>
    </row>
    <row r="272" spans="30:36" ht="25.15" customHeight="1">
      <c r="AD272" s="452"/>
      <c r="AE272" s="452"/>
      <c r="AF272" s="452"/>
      <c r="AG272" s="452"/>
      <c r="AH272" s="452"/>
      <c r="AI272" s="452"/>
      <c r="AJ272" s="452"/>
    </row>
    <row r="273" spans="30:36" ht="25.15" customHeight="1">
      <c r="AD273" s="452"/>
      <c r="AE273" s="452"/>
      <c r="AF273" s="452"/>
      <c r="AG273" s="452"/>
      <c r="AH273" s="452"/>
      <c r="AI273" s="452"/>
      <c r="AJ273" s="452"/>
    </row>
    <row r="274" spans="30:36" ht="25.15" customHeight="1">
      <c r="AD274" s="452"/>
      <c r="AE274" s="452"/>
      <c r="AF274" s="452"/>
      <c r="AG274" s="452"/>
      <c r="AH274" s="452"/>
      <c r="AI274" s="452"/>
      <c r="AJ274" s="452"/>
    </row>
    <row r="275" spans="30:36" ht="25.15" customHeight="1">
      <c r="AD275" s="452"/>
      <c r="AE275" s="452"/>
      <c r="AF275" s="452"/>
      <c r="AG275" s="452"/>
      <c r="AH275" s="452"/>
      <c r="AI275" s="452"/>
      <c r="AJ275" s="452"/>
    </row>
    <row r="276" spans="30:36" ht="25.15" customHeight="1">
      <c r="AD276" s="452"/>
      <c r="AE276" s="452"/>
      <c r="AF276" s="452"/>
      <c r="AG276" s="452"/>
      <c r="AH276" s="452"/>
      <c r="AI276" s="452"/>
      <c r="AJ276" s="452"/>
    </row>
    <row r="277" spans="30:36" ht="25.15" customHeight="1">
      <c r="AD277" s="452"/>
      <c r="AE277" s="452"/>
      <c r="AF277" s="452"/>
      <c r="AG277" s="452"/>
      <c r="AH277" s="452"/>
      <c r="AI277" s="452"/>
      <c r="AJ277" s="452"/>
    </row>
    <row r="278" spans="30:36" ht="25.15" customHeight="1">
      <c r="AD278" s="452"/>
      <c r="AE278" s="452"/>
      <c r="AF278" s="452"/>
      <c r="AG278" s="452"/>
      <c r="AH278" s="452"/>
      <c r="AI278" s="452"/>
      <c r="AJ278" s="452"/>
    </row>
    <row r="279" spans="30:36" ht="25.15" customHeight="1">
      <c r="AD279" s="452"/>
      <c r="AE279" s="452"/>
      <c r="AF279" s="452"/>
      <c r="AG279" s="452"/>
      <c r="AH279" s="452"/>
      <c r="AI279" s="452"/>
      <c r="AJ279" s="452"/>
    </row>
    <row r="280" spans="30:36" ht="25.15" customHeight="1">
      <c r="AD280" s="452"/>
      <c r="AE280" s="452"/>
      <c r="AF280" s="452"/>
      <c r="AG280" s="452"/>
      <c r="AH280" s="452"/>
      <c r="AI280" s="452"/>
      <c r="AJ280" s="452"/>
    </row>
    <row r="281" spans="30:36" ht="25.15" customHeight="1">
      <c r="AD281" s="452"/>
      <c r="AE281" s="452"/>
      <c r="AF281" s="452"/>
      <c r="AG281" s="452"/>
      <c r="AH281" s="452"/>
      <c r="AI281" s="452"/>
      <c r="AJ281" s="452"/>
    </row>
    <row r="282" spans="30:36" ht="25.15" customHeight="1">
      <c r="AD282" s="452"/>
      <c r="AE282" s="452"/>
      <c r="AF282" s="452"/>
      <c r="AG282" s="452"/>
      <c r="AH282" s="452"/>
      <c r="AI282" s="452"/>
      <c r="AJ282" s="452"/>
    </row>
    <row r="283" spans="30:36" ht="25.15" customHeight="1">
      <c r="AD283" s="452"/>
      <c r="AE283" s="452"/>
      <c r="AF283" s="452"/>
      <c r="AG283" s="452"/>
      <c r="AH283" s="452"/>
      <c r="AI283" s="452"/>
      <c r="AJ283" s="452"/>
    </row>
    <row r="284" spans="30:36" ht="25.15" customHeight="1">
      <c r="AD284" s="452"/>
      <c r="AE284" s="452"/>
      <c r="AF284" s="452"/>
      <c r="AG284" s="452"/>
      <c r="AH284" s="452"/>
      <c r="AI284" s="452"/>
      <c r="AJ284" s="452"/>
    </row>
    <row r="285" spans="30:36" ht="25.15" customHeight="1">
      <c r="AD285" s="452"/>
      <c r="AE285" s="452"/>
      <c r="AF285" s="452"/>
      <c r="AG285" s="452"/>
      <c r="AH285" s="452"/>
      <c r="AI285" s="452"/>
      <c r="AJ285" s="452"/>
    </row>
    <row r="286" spans="30:36" ht="25.15" customHeight="1">
      <c r="AD286" s="452"/>
      <c r="AE286" s="452"/>
      <c r="AF286" s="452"/>
      <c r="AG286" s="452"/>
      <c r="AH286" s="452"/>
      <c r="AI286" s="452"/>
      <c r="AJ286" s="452"/>
    </row>
    <row r="287" spans="30:36" ht="25.15" customHeight="1">
      <c r="AD287" s="452"/>
      <c r="AE287" s="452"/>
      <c r="AF287" s="452"/>
      <c r="AG287" s="452"/>
      <c r="AH287" s="452"/>
      <c r="AI287" s="452"/>
      <c r="AJ287" s="452"/>
    </row>
    <row r="288" spans="30:36" ht="25.15" customHeight="1">
      <c r="AD288" s="452"/>
      <c r="AE288" s="452"/>
      <c r="AF288" s="452"/>
      <c r="AG288" s="452"/>
      <c r="AH288" s="452"/>
      <c r="AI288" s="452"/>
      <c r="AJ288" s="452"/>
    </row>
    <row r="289" spans="30:36" ht="25.15" customHeight="1">
      <c r="AD289" s="452"/>
      <c r="AE289" s="452"/>
      <c r="AF289" s="452"/>
      <c r="AG289" s="452"/>
      <c r="AH289" s="452"/>
      <c r="AI289" s="452"/>
      <c r="AJ289" s="452"/>
    </row>
    <row r="290" spans="30:36" ht="25.15" customHeight="1">
      <c r="AD290" s="452"/>
      <c r="AE290" s="452"/>
      <c r="AF290" s="452"/>
      <c r="AG290" s="452"/>
      <c r="AH290" s="452"/>
      <c r="AI290" s="452"/>
      <c r="AJ290" s="452"/>
    </row>
    <row r="291" spans="30:36" ht="25.15" customHeight="1">
      <c r="AD291" s="452"/>
      <c r="AE291" s="452"/>
      <c r="AF291" s="452"/>
      <c r="AG291" s="452"/>
      <c r="AH291" s="452"/>
      <c r="AI291" s="452"/>
      <c r="AJ291" s="452"/>
    </row>
    <row r="292" spans="30:36" ht="25.15" customHeight="1">
      <c r="AD292" s="452"/>
      <c r="AE292" s="452"/>
      <c r="AF292" s="452"/>
      <c r="AG292" s="452"/>
      <c r="AH292" s="452"/>
      <c r="AI292" s="452"/>
      <c r="AJ292" s="452"/>
    </row>
    <row r="293" spans="30:36" ht="25.15" customHeight="1">
      <c r="AD293" s="452"/>
      <c r="AE293" s="452"/>
      <c r="AF293" s="452"/>
      <c r="AG293" s="452"/>
      <c r="AH293" s="452"/>
      <c r="AI293" s="452"/>
      <c r="AJ293" s="452"/>
    </row>
    <row r="294" spans="30:36" ht="25.15" customHeight="1">
      <c r="AD294" s="452"/>
      <c r="AE294" s="452"/>
      <c r="AF294" s="452"/>
      <c r="AG294" s="452"/>
      <c r="AH294" s="452"/>
      <c r="AI294" s="452"/>
      <c r="AJ294" s="452"/>
    </row>
    <row r="295" spans="30:36" ht="25.15" customHeight="1">
      <c r="AD295" s="452"/>
      <c r="AE295" s="452"/>
      <c r="AF295" s="452"/>
      <c r="AG295" s="452"/>
      <c r="AH295" s="452"/>
      <c r="AI295" s="452"/>
      <c r="AJ295" s="452"/>
    </row>
    <row r="296" spans="30:36" ht="25.15" customHeight="1">
      <c r="AD296" s="452"/>
      <c r="AE296" s="452"/>
      <c r="AF296" s="452"/>
      <c r="AG296" s="452"/>
      <c r="AH296" s="452"/>
      <c r="AI296" s="452"/>
      <c r="AJ296" s="452"/>
    </row>
    <row r="297" spans="30:36" ht="25.15" customHeight="1">
      <c r="AD297" s="452"/>
      <c r="AE297" s="452"/>
      <c r="AF297" s="452"/>
      <c r="AG297" s="452"/>
      <c r="AH297" s="452"/>
      <c r="AI297" s="452"/>
      <c r="AJ297" s="452"/>
    </row>
    <row r="298" spans="30:36" ht="25.15" customHeight="1">
      <c r="AD298" s="452"/>
      <c r="AE298" s="452"/>
      <c r="AF298" s="452"/>
      <c r="AG298" s="452"/>
      <c r="AH298" s="452"/>
      <c r="AI298" s="452"/>
      <c r="AJ298" s="452"/>
    </row>
    <row r="299" spans="30:36" ht="25.15" customHeight="1">
      <c r="AD299" s="452"/>
      <c r="AE299" s="452"/>
      <c r="AF299" s="452"/>
      <c r="AG299" s="452"/>
      <c r="AH299" s="452"/>
      <c r="AI299" s="452"/>
      <c r="AJ299" s="452"/>
    </row>
    <row r="300" spans="30:36" ht="25.15" customHeight="1">
      <c r="AD300" s="452"/>
      <c r="AE300" s="452"/>
      <c r="AF300" s="452"/>
      <c r="AG300" s="452"/>
      <c r="AH300" s="452"/>
      <c r="AI300" s="452"/>
      <c r="AJ300" s="452"/>
    </row>
    <row r="301" spans="30:36" ht="25.15" customHeight="1">
      <c r="AD301" s="452"/>
      <c r="AE301" s="452"/>
      <c r="AF301" s="452"/>
      <c r="AG301" s="452"/>
      <c r="AH301" s="452"/>
      <c r="AI301" s="452"/>
      <c r="AJ301" s="452"/>
    </row>
    <row r="302" spans="30:36" ht="25.15" customHeight="1">
      <c r="AD302" s="452"/>
      <c r="AE302" s="452"/>
      <c r="AF302" s="452"/>
      <c r="AG302" s="452"/>
      <c r="AH302" s="452"/>
      <c r="AI302" s="452"/>
      <c r="AJ302" s="452"/>
    </row>
    <row r="303" spans="30:36" ht="25.15" customHeight="1">
      <c r="AD303" s="452"/>
      <c r="AE303" s="452"/>
      <c r="AF303" s="452"/>
      <c r="AG303" s="452"/>
      <c r="AH303" s="452"/>
      <c r="AI303" s="452"/>
      <c r="AJ303" s="452"/>
    </row>
    <row r="304" spans="30:36" ht="25.15" customHeight="1">
      <c r="AD304" s="452"/>
      <c r="AE304" s="452"/>
      <c r="AF304" s="452"/>
      <c r="AG304" s="452"/>
      <c r="AH304" s="452"/>
      <c r="AI304" s="452"/>
      <c r="AJ304" s="452"/>
    </row>
    <row r="305" spans="30:36" ht="25.15" customHeight="1">
      <c r="AD305" s="452"/>
      <c r="AE305" s="452"/>
      <c r="AF305" s="452"/>
      <c r="AG305" s="452"/>
      <c r="AH305" s="452"/>
      <c r="AI305" s="452"/>
      <c r="AJ305" s="452"/>
    </row>
    <row r="306" spans="30:36" ht="25.15" customHeight="1">
      <c r="AD306" s="452"/>
      <c r="AE306" s="452"/>
      <c r="AF306" s="452"/>
      <c r="AG306" s="452"/>
      <c r="AH306" s="452"/>
      <c r="AI306" s="452"/>
      <c r="AJ306" s="452"/>
    </row>
    <row r="307" spans="30:36" ht="25.15" customHeight="1">
      <c r="AD307" s="452"/>
      <c r="AE307" s="452"/>
      <c r="AF307" s="452"/>
      <c r="AG307" s="452"/>
      <c r="AH307" s="452"/>
      <c r="AI307" s="452"/>
      <c r="AJ307" s="452"/>
    </row>
    <row r="308" spans="30:36" ht="25.15" customHeight="1">
      <c r="AD308" s="452"/>
      <c r="AE308" s="452"/>
      <c r="AF308" s="452"/>
      <c r="AG308" s="452"/>
      <c r="AH308" s="452"/>
      <c r="AI308" s="452"/>
      <c r="AJ308" s="452"/>
    </row>
    <row r="309" spans="30:36" ht="25.15" customHeight="1">
      <c r="AD309" s="452"/>
      <c r="AE309" s="452"/>
      <c r="AF309" s="452"/>
      <c r="AG309" s="452"/>
      <c r="AH309" s="452"/>
      <c r="AI309" s="452"/>
      <c r="AJ309" s="452"/>
    </row>
    <row r="310" spans="30:36" ht="25.15" customHeight="1">
      <c r="AD310" s="452"/>
      <c r="AE310" s="452"/>
      <c r="AF310" s="452"/>
      <c r="AG310" s="452"/>
      <c r="AH310" s="452"/>
      <c r="AI310" s="452"/>
      <c r="AJ310" s="452"/>
    </row>
    <row r="311" spans="30:36" ht="25.15" customHeight="1">
      <c r="AD311" s="452"/>
      <c r="AE311" s="452"/>
      <c r="AF311" s="452"/>
      <c r="AG311" s="452"/>
      <c r="AH311" s="452"/>
      <c r="AI311" s="452"/>
      <c r="AJ311" s="452"/>
    </row>
    <row r="312" spans="30:36" ht="25.15" customHeight="1">
      <c r="AD312" s="452"/>
      <c r="AE312" s="452"/>
      <c r="AF312" s="452"/>
      <c r="AG312" s="452"/>
      <c r="AH312" s="452"/>
      <c r="AI312" s="452"/>
      <c r="AJ312" s="452"/>
    </row>
    <row r="313" spans="30:36" ht="25.15" customHeight="1">
      <c r="AD313" s="452"/>
      <c r="AE313" s="452"/>
      <c r="AF313" s="452"/>
      <c r="AG313" s="452"/>
      <c r="AH313" s="452"/>
      <c r="AI313" s="452"/>
      <c r="AJ313" s="452"/>
    </row>
    <row r="314" spans="30:36" ht="25.15" customHeight="1">
      <c r="AD314" s="452"/>
      <c r="AE314" s="452"/>
      <c r="AF314" s="452"/>
      <c r="AG314" s="452"/>
      <c r="AH314" s="452"/>
      <c r="AI314" s="452"/>
      <c r="AJ314" s="452"/>
    </row>
    <row r="315" spans="30:36" ht="25.15" customHeight="1">
      <c r="AD315" s="452"/>
      <c r="AE315" s="452"/>
      <c r="AF315" s="452"/>
      <c r="AG315" s="452"/>
      <c r="AH315" s="452"/>
      <c r="AI315" s="452"/>
      <c r="AJ315" s="452"/>
    </row>
    <row r="316" spans="30:36" ht="25.15" customHeight="1">
      <c r="AD316" s="452"/>
      <c r="AE316" s="452"/>
      <c r="AF316" s="452"/>
      <c r="AG316" s="452"/>
      <c r="AH316" s="452"/>
      <c r="AI316" s="452"/>
      <c r="AJ316" s="452"/>
    </row>
    <row r="317" spans="30:36" ht="25.15" customHeight="1">
      <c r="AD317" s="452"/>
      <c r="AE317" s="452"/>
      <c r="AF317" s="452"/>
      <c r="AG317" s="452"/>
      <c r="AH317" s="452"/>
      <c r="AI317" s="452"/>
      <c r="AJ317" s="452"/>
    </row>
    <row r="318" spans="30:36" ht="25.15" customHeight="1">
      <c r="AD318" s="452"/>
      <c r="AE318" s="452"/>
      <c r="AF318" s="452"/>
      <c r="AG318" s="452"/>
      <c r="AH318" s="452"/>
      <c r="AI318" s="452"/>
      <c r="AJ318" s="452"/>
    </row>
    <row r="319" spans="30:36" ht="25.15" customHeight="1">
      <c r="AD319" s="452"/>
      <c r="AE319" s="452"/>
      <c r="AF319" s="452"/>
      <c r="AG319" s="452"/>
      <c r="AH319" s="452"/>
      <c r="AI319" s="452"/>
      <c r="AJ319" s="452"/>
    </row>
    <row r="320" spans="30:36" ht="25.15" customHeight="1">
      <c r="AD320" s="452"/>
      <c r="AE320" s="452"/>
      <c r="AF320" s="452"/>
      <c r="AG320" s="452"/>
      <c r="AH320" s="452"/>
      <c r="AI320" s="452"/>
      <c r="AJ320" s="452"/>
    </row>
    <row r="321" spans="30:36" ht="25.15" customHeight="1">
      <c r="AD321" s="452"/>
      <c r="AE321" s="452"/>
      <c r="AF321" s="452"/>
      <c r="AG321" s="452"/>
      <c r="AH321" s="452"/>
      <c r="AI321" s="452"/>
      <c r="AJ321" s="452"/>
    </row>
    <row r="322" spans="30:36" ht="25.15" customHeight="1">
      <c r="AD322" s="452"/>
      <c r="AE322" s="452"/>
      <c r="AF322" s="452"/>
      <c r="AG322" s="452"/>
      <c r="AH322" s="452"/>
      <c r="AI322" s="452"/>
      <c r="AJ322" s="452"/>
    </row>
    <row r="323" spans="30:36" ht="25.15" customHeight="1">
      <c r="AD323" s="452"/>
      <c r="AE323" s="452"/>
      <c r="AF323" s="452"/>
      <c r="AG323" s="452"/>
      <c r="AH323" s="452"/>
      <c r="AI323" s="452"/>
      <c r="AJ323" s="452"/>
    </row>
    <row r="324" spans="30:36" ht="25.15" customHeight="1">
      <c r="AD324" s="452"/>
      <c r="AE324" s="452"/>
      <c r="AF324" s="452"/>
      <c r="AG324" s="452"/>
      <c r="AH324" s="452"/>
      <c r="AI324" s="452"/>
      <c r="AJ324" s="452"/>
    </row>
    <row r="325" spans="30:36" ht="25.15" customHeight="1">
      <c r="AD325" s="452"/>
      <c r="AE325" s="452"/>
      <c r="AF325" s="452"/>
      <c r="AG325" s="452"/>
      <c r="AH325" s="452"/>
      <c r="AI325" s="452"/>
      <c r="AJ325" s="452"/>
    </row>
    <row r="326" spans="30:36" ht="25.15" customHeight="1">
      <c r="AD326" s="452"/>
      <c r="AE326" s="452"/>
      <c r="AF326" s="452"/>
      <c r="AG326" s="452"/>
      <c r="AH326" s="452"/>
      <c r="AI326" s="452"/>
      <c r="AJ326" s="452"/>
    </row>
    <row r="327" spans="30:36" ht="25.15" customHeight="1">
      <c r="AD327" s="452"/>
      <c r="AE327" s="452"/>
      <c r="AF327" s="452"/>
      <c r="AG327" s="452"/>
      <c r="AH327" s="452"/>
      <c r="AI327" s="452"/>
      <c r="AJ327" s="452"/>
    </row>
    <row r="328" spans="30:36" ht="25.15" customHeight="1">
      <c r="AD328" s="452"/>
      <c r="AE328" s="452"/>
      <c r="AF328" s="452"/>
      <c r="AG328" s="452"/>
      <c r="AH328" s="452"/>
      <c r="AI328" s="452"/>
      <c r="AJ328" s="452"/>
    </row>
    <row r="329" spans="30:36" ht="25.15" customHeight="1">
      <c r="AD329" s="452"/>
      <c r="AE329" s="452"/>
      <c r="AF329" s="452"/>
      <c r="AG329" s="452"/>
      <c r="AH329" s="452"/>
      <c r="AI329" s="452"/>
      <c r="AJ329" s="452"/>
    </row>
    <row r="330" spans="30:36" ht="25.15" customHeight="1">
      <c r="AD330" s="452"/>
      <c r="AE330" s="452"/>
      <c r="AF330" s="452"/>
      <c r="AG330" s="452"/>
      <c r="AH330" s="452"/>
      <c r="AI330" s="452"/>
      <c r="AJ330" s="452"/>
    </row>
    <row r="331" spans="30:36" ht="25.15" customHeight="1">
      <c r="AD331" s="452"/>
      <c r="AE331" s="452"/>
      <c r="AF331" s="452"/>
      <c r="AG331" s="452"/>
      <c r="AH331" s="452"/>
      <c r="AI331" s="452"/>
      <c r="AJ331" s="452"/>
    </row>
    <row r="332" spans="30:36" ht="25.15" customHeight="1">
      <c r="AD332" s="452"/>
      <c r="AE332" s="452"/>
      <c r="AF332" s="452"/>
      <c r="AG332" s="452"/>
      <c r="AH332" s="452"/>
      <c r="AI332" s="452"/>
      <c r="AJ332" s="452"/>
    </row>
    <row r="333" spans="30:36" ht="25.15" customHeight="1">
      <c r="AD333" s="452"/>
      <c r="AE333" s="452"/>
      <c r="AF333" s="452"/>
      <c r="AG333" s="452"/>
      <c r="AH333" s="452"/>
      <c r="AI333" s="452"/>
      <c r="AJ333" s="452"/>
    </row>
    <row r="334" spans="30:36" ht="25.15" customHeight="1">
      <c r="AD334" s="452"/>
      <c r="AE334" s="452"/>
      <c r="AF334" s="452"/>
      <c r="AG334" s="452"/>
      <c r="AH334" s="452"/>
      <c r="AI334" s="452"/>
      <c r="AJ334" s="452"/>
    </row>
    <row r="335" spans="30:36" ht="25.15" customHeight="1">
      <c r="AD335" s="452"/>
      <c r="AE335" s="452"/>
      <c r="AF335" s="452"/>
      <c r="AG335" s="452"/>
      <c r="AH335" s="452"/>
      <c r="AI335" s="452"/>
      <c r="AJ335" s="452"/>
    </row>
    <row r="336" spans="30:36" ht="25.15" customHeight="1">
      <c r="AD336" s="452"/>
      <c r="AE336" s="452"/>
      <c r="AF336" s="452"/>
      <c r="AG336" s="452"/>
      <c r="AH336" s="452"/>
      <c r="AI336" s="452"/>
      <c r="AJ336" s="452"/>
    </row>
    <row r="337" spans="30:36" ht="25.15" customHeight="1">
      <c r="AD337" s="452"/>
      <c r="AE337" s="452"/>
      <c r="AF337" s="452"/>
      <c r="AG337" s="452"/>
      <c r="AH337" s="452"/>
      <c r="AI337" s="452"/>
      <c r="AJ337" s="452"/>
    </row>
    <row r="338" spans="30:36" ht="25.15" customHeight="1">
      <c r="AD338" s="452"/>
      <c r="AE338" s="452"/>
      <c r="AF338" s="452"/>
      <c r="AG338" s="452"/>
      <c r="AH338" s="452"/>
      <c r="AI338" s="452"/>
      <c r="AJ338" s="452"/>
    </row>
    <row r="339" spans="30:36" ht="25.15" customHeight="1">
      <c r="AD339" s="452"/>
      <c r="AE339" s="452"/>
      <c r="AF339" s="452"/>
      <c r="AG339" s="452"/>
      <c r="AH339" s="452"/>
      <c r="AI339" s="452"/>
      <c r="AJ339" s="452"/>
    </row>
    <row r="340" spans="30:36" ht="25.15" customHeight="1">
      <c r="AD340" s="452"/>
      <c r="AE340" s="452"/>
      <c r="AF340" s="452"/>
      <c r="AG340" s="452"/>
      <c r="AH340" s="452"/>
      <c r="AI340" s="452"/>
      <c r="AJ340" s="452"/>
    </row>
    <row r="341" spans="30:36" ht="25.15" customHeight="1">
      <c r="AD341" s="452"/>
      <c r="AE341" s="452"/>
      <c r="AF341" s="452"/>
      <c r="AG341" s="452"/>
      <c r="AH341" s="452"/>
      <c r="AI341" s="452"/>
      <c r="AJ341" s="452"/>
    </row>
    <row r="342" spans="30:36" ht="25.15" customHeight="1">
      <c r="AD342" s="452"/>
      <c r="AE342" s="452"/>
      <c r="AF342" s="452"/>
      <c r="AG342" s="452"/>
      <c r="AH342" s="452"/>
      <c r="AI342" s="452"/>
      <c r="AJ342" s="452"/>
    </row>
    <row r="343" spans="30:36" ht="25.15" customHeight="1">
      <c r="AD343" s="452"/>
      <c r="AE343" s="452"/>
      <c r="AF343" s="452"/>
      <c r="AG343" s="452"/>
      <c r="AH343" s="452"/>
      <c r="AI343" s="452"/>
      <c r="AJ343" s="452"/>
    </row>
    <row r="344" spans="30:36" ht="25.15" customHeight="1">
      <c r="AD344" s="452"/>
      <c r="AE344" s="452"/>
      <c r="AF344" s="452"/>
      <c r="AG344" s="452"/>
      <c r="AH344" s="452"/>
      <c r="AI344" s="452"/>
      <c r="AJ344" s="452"/>
    </row>
    <row r="345" spans="30:36" ht="25.15" customHeight="1">
      <c r="AD345" s="452"/>
      <c r="AE345" s="452"/>
      <c r="AF345" s="452"/>
      <c r="AG345" s="452"/>
      <c r="AH345" s="452"/>
      <c r="AI345" s="452"/>
      <c r="AJ345" s="452"/>
    </row>
    <row r="346" spans="30:36" ht="25.15" customHeight="1">
      <c r="AD346" s="452"/>
      <c r="AE346" s="452"/>
      <c r="AF346" s="452"/>
      <c r="AG346" s="452"/>
      <c r="AH346" s="452"/>
      <c r="AI346" s="452"/>
      <c r="AJ346" s="452"/>
    </row>
    <row r="347" spans="30:36" ht="25.15" customHeight="1">
      <c r="AD347" s="452"/>
      <c r="AE347" s="452"/>
      <c r="AF347" s="452"/>
      <c r="AG347" s="452"/>
      <c r="AH347" s="452"/>
      <c r="AI347" s="452"/>
      <c r="AJ347" s="452"/>
    </row>
    <row r="348" spans="30:36" ht="25.15" customHeight="1">
      <c r="AD348" s="452"/>
      <c r="AE348" s="452"/>
      <c r="AF348" s="452"/>
      <c r="AG348" s="452"/>
      <c r="AH348" s="452"/>
      <c r="AI348" s="452"/>
      <c r="AJ348" s="452"/>
    </row>
    <row r="349" spans="30:36" ht="25.15" customHeight="1">
      <c r="AD349" s="452"/>
      <c r="AE349" s="452"/>
      <c r="AF349" s="452"/>
      <c r="AG349" s="452"/>
      <c r="AH349" s="452"/>
      <c r="AI349" s="452"/>
      <c r="AJ349" s="452"/>
    </row>
    <row r="350" spans="30:36" ht="25.15" customHeight="1">
      <c r="AD350" s="452"/>
      <c r="AE350" s="452"/>
      <c r="AF350" s="452"/>
      <c r="AG350" s="452"/>
      <c r="AH350" s="452"/>
      <c r="AI350" s="452"/>
      <c r="AJ350" s="452"/>
    </row>
    <row r="351" spans="30:36" ht="25.15" customHeight="1">
      <c r="AD351" s="452"/>
      <c r="AE351" s="452"/>
      <c r="AF351" s="452"/>
      <c r="AG351" s="452"/>
      <c r="AH351" s="452"/>
      <c r="AI351" s="452"/>
      <c r="AJ351" s="452"/>
    </row>
    <row r="352" spans="30:36" ht="25.15" customHeight="1">
      <c r="AD352" s="452"/>
      <c r="AE352" s="452"/>
      <c r="AF352" s="452"/>
      <c r="AG352" s="452"/>
      <c r="AH352" s="452"/>
      <c r="AI352" s="452"/>
      <c r="AJ352" s="452"/>
    </row>
    <row r="353" spans="30:36" ht="25.15" customHeight="1">
      <c r="AD353" s="452"/>
      <c r="AE353" s="452"/>
      <c r="AF353" s="452"/>
      <c r="AG353" s="452"/>
      <c r="AH353" s="452"/>
      <c r="AI353" s="452"/>
      <c r="AJ353" s="452"/>
    </row>
    <row r="354" spans="30:36" ht="25.15" customHeight="1">
      <c r="AD354" s="452"/>
      <c r="AE354" s="452"/>
      <c r="AF354" s="452"/>
      <c r="AG354" s="452"/>
      <c r="AH354" s="452"/>
      <c r="AI354" s="452"/>
      <c r="AJ354" s="452"/>
    </row>
    <row r="355" spans="30:36" ht="25.15" customHeight="1">
      <c r="AD355" s="452"/>
      <c r="AE355" s="452"/>
      <c r="AF355" s="452"/>
      <c r="AG355" s="452"/>
      <c r="AH355" s="452"/>
      <c r="AI355" s="452"/>
      <c r="AJ355" s="452"/>
    </row>
    <row r="356" spans="30:36" ht="25.15" customHeight="1">
      <c r="AD356" s="452"/>
      <c r="AE356" s="452"/>
      <c r="AF356" s="452"/>
      <c r="AG356" s="452"/>
      <c r="AH356" s="452"/>
      <c r="AI356" s="452"/>
      <c r="AJ356" s="452"/>
    </row>
    <row r="357" spans="30:36" ht="25.15" customHeight="1">
      <c r="AD357" s="452"/>
      <c r="AE357" s="452"/>
      <c r="AF357" s="452"/>
      <c r="AG357" s="452"/>
      <c r="AH357" s="452"/>
      <c r="AI357" s="452"/>
      <c r="AJ357" s="452"/>
    </row>
    <row r="358" spans="30:36" ht="25.15" customHeight="1">
      <c r="AD358" s="452"/>
      <c r="AE358" s="452"/>
      <c r="AF358" s="452"/>
      <c r="AG358" s="452"/>
      <c r="AH358" s="452"/>
      <c r="AI358" s="452"/>
      <c r="AJ358" s="452"/>
    </row>
    <row r="359" spans="30:36" ht="25.15" customHeight="1">
      <c r="AD359" s="452"/>
      <c r="AE359" s="452"/>
      <c r="AF359" s="452"/>
      <c r="AG359" s="452"/>
      <c r="AH359" s="452"/>
      <c r="AI359" s="452"/>
      <c r="AJ359" s="452"/>
    </row>
    <row r="360" spans="30:36" ht="25.15" customHeight="1">
      <c r="AD360" s="452"/>
      <c r="AE360" s="452"/>
      <c r="AF360" s="452"/>
      <c r="AG360" s="452"/>
      <c r="AH360" s="452"/>
      <c r="AI360" s="452"/>
      <c r="AJ360" s="452"/>
    </row>
    <row r="361" spans="30:36" ht="25.15" customHeight="1">
      <c r="AD361" s="452"/>
      <c r="AE361" s="452"/>
      <c r="AF361" s="452"/>
      <c r="AG361" s="452"/>
      <c r="AH361" s="452"/>
      <c r="AI361" s="452"/>
      <c r="AJ361" s="452"/>
    </row>
    <row r="362" spans="30:36" ht="25.15" customHeight="1">
      <c r="AD362" s="452"/>
      <c r="AE362" s="452"/>
      <c r="AF362" s="452"/>
      <c r="AG362" s="452"/>
      <c r="AH362" s="452"/>
      <c r="AI362" s="452"/>
      <c r="AJ362" s="452"/>
    </row>
    <row r="363" spans="30:36" ht="25.15" customHeight="1">
      <c r="AD363" s="452"/>
      <c r="AE363" s="452"/>
      <c r="AF363" s="452"/>
      <c r="AG363" s="452"/>
      <c r="AH363" s="452"/>
      <c r="AI363" s="452"/>
      <c r="AJ363" s="452"/>
    </row>
  </sheetData>
  <autoFilter ref="A7:AV16"/>
  <phoneticPr fontId="0" type="noConversion"/>
  <conditionalFormatting sqref="S16 A16 U16 X16:AF16 AI16:AK16 AQ16 AU16:BL16 H16:Q16">
    <cfRule type="cellIs" dxfId="254" priority="104" operator="greaterThan">
      <formula>0</formula>
    </cfRule>
    <cfRule type="cellIs" dxfId="253" priority="105" operator="greaterThan">
      <formula>0</formula>
    </cfRule>
    <cfRule type="cellIs" dxfId="252" priority="106" operator="greaterThan">
      <formula>"0$L$5"</formula>
    </cfRule>
  </conditionalFormatting>
  <conditionalFormatting sqref="S2:S3 BA2 A2:A3 U2:U3 X2:AF3 AI2:AK3 AQ2:AQ3 AU2:AZ3 H2:Q3">
    <cfRule type="cellIs" dxfId="251" priority="94" operator="greaterThan">
      <formula>0</formula>
    </cfRule>
  </conditionalFormatting>
  <conditionalFormatting sqref="AV1">
    <cfRule type="duplicateValues" dxfId="250" priority="77"/>
  </conditionalFormatting>
  <conditionalFormatting sqref="R16">
    <cfRule type="cellIs" dxfId="249" priority="74" operator="greaterThan">
      <formula>0</formula>
    </cfRule>
    <cfRule type="cellIs" dxfId="248" priority="75" operator="greaterThan">
      <formula>0</formula>
    </cfRule>
    <cfRule type="cellIs" dxfId="247" priority="76" operator="greaterThan">
      <formula>"0$L$5"</formula>
    </cfRule>
  </conditionalFormatting>
  <conditionalFormatting sqref="R2:R3">
    <cfRule type="cellIs" dxfId="246" priority="73" operator="greaterThan">
      <formula>0</formula>
    </cfRule>
  </conditionalFormatting>
  <conditionalFormatting sqref="R1">
    <cfRule type="duplicateValues" dxfId="245" priority="72"/>
  </conditionalFormatting>
  <conditionalFormatting sqref="AL16">
    <cfRule type="cellIs" dxfId="244" priority="69" operator="greaterThan">
      <formula>0</formula>
    </cfRule>
    <cfRule type="cellIs" dxfId="243" priority="70" operator="greaterThan">
      <formula>0</formula>
    </cfRule>
    <cfRule type="cellIs" dxfId="242" priority="71" operator="greaterThan">
      <formula>"0$L$5"</formula>
    </cfRule>
  </conditionalFormatting>
  <conditionalFormatting sqref="AL2:AL3">
    <cfRule type="cellIs" dxfId="241" priority="68" operator="greaterThan">
      <formula>0</formula>
    </cfRule>
  </conditionalFormatting>
  <conditionalFormatting sqref="AL1">
    <cfRule type="duplicateValues" dxfId="240" priority="67"/>
  </conditionalFormatting>
  <conditionalFormatting sqref="AO16">
    <cfRule type="cellIs" dxfId="239" priority="64" operator="greaterThan">
      <formula>0</formula>
    </cfRule>
    <cfRule type="cellIs" dxfId="238" priority="65" operator="greaterThan">
      <formula>0</formula>
    </cfRule>
    <cfRule type="cellIs" dxfId="237" priority="66" operator="greaterThan">
      <formula>"0$L$5"</formula>
    </cfRule>
  </conditionalFormatting>
  <conditionalFormatting sqref="AO2:AO3">
    <cfRule type="cellIs" dxfId="236" priority="63" operator="greaterThan">
      <formula>0</formula>
    </cfRule>
  </conditionalFormatting>
  <conditionalFormatting sqref="AO1">
    <cfRule type="duplicateValues" dxfId="235" priority="62"/>
  </conditionalFormatting>
  <conditionalFormatting sqref="BA3">
    <cfRule type="cellIs" dxfId="234" priority="61" operator="greaterThan">
      <formula>0</formula>
    </cfRule>
  </conditionalFormatting>
  <conditionalFormatting sqref="B16:G16">
    <cfRule type="cellIs" dxfId="233" priority="58" operator="greaterThan">
      <formula>0</formula>
    </cfRule>
    <cfRule type="cellIs" dxfId="232" priority="59" operator="greaterThan">
      <formula>0</formula>
    </cfRule>
    <cfRule type="cellIs" dxfId="231" priority="60" operator="greaterThan">
      <formula>"0$L$5"</formula>
    </cfRule>
  </conditionalFormatting>
  <conditionalFormatting sqref="B2:G3">
    <cfRule type="cellIs" dxfId="230" priority="57" operator="greaterThan">
      <formula>0</formula>
    </cfRule>
  </conditionalFormatting>
  <conditionalFormatting sqref="B1:G1">
    <cfRule type="duplicateValues" dxfId="229" priority="56"/>
  </conditionalFormatting>
  <conditionalFormatting sqref="T16">
    <cfRule type="cellIs" dxfId="228" priority="53" operator="greaterThan">
      <formula>0</formula>
    </cfRule>
    <cfRule type="cellIs" dxfId="227" priority="54" operator="greaterThan">
      <formula>0</formula>
    </cfRule>
    <cfRule type="cellIs" dxfId="226" priority="55" operator="greaterThan">
      <formula>"0$L$5"</formula>
    </cfRule>
  </conditionalFormatting>
  <conditionalFormatting sqref="T2:T3">
    <cfRule type="cellIs" dxfId="225" priority="52" operator="greaterThan">
      <formula>0</formula>
    </cfRule>
  </conditionalFormatting>
  <conditionalFormatting sqref="T1">
    <cfRule type="duplicateValues" dxfId="224" priority="51"/>
  </conditionalFormatting>
  <conditionalFormatting sqref="V16">
    <cfRule type="cellIs" dxfId="223" priority="48" operator="greaterThan">
      <formula>0</formula>
    </cfRule>
    <cfRule type="cellIs" dxfId="222" priority="49" operator="greaterThan">
      <formula>0</formula>
    </cfRule>
    <cfRule type="cellIs" dxfId="221" priority="50" operator="greaterThan">
      <formula>"0$L$5"</formula>
    </cfRule>
  </conditionalFormatting>
  <conditionalFormatting sqref="V2:V3">
    <cfRule type="cellIs" dxfId="220" priority="47" operator="greaterThan">
      <formula>0</formula>
    </cfRule>
  </conditionalFormatting>
  <conditionalFormatting sqref="V1">
    <cfRule type="duplicateValues" dxfId="219" priority="46"/>
  </conditionalFormatting>
  <conditionalFormatting sqref="AG16">
    <cfRule type="cellIs" dxfId="218" priority="43" operator="greaterThan">
      <formula>0</formula>
    </cfRule>
    <cfRule type="cellIs" dxfId="217" priority="44" operator="greaterThan">
      <formula>0</formula>
    </cfRule>
    <cfRule type="cellIs" dxfId="216" priority="45" operator="greaterThan">
      <formula>"0$L$5"</formula>
    </cfRule>
  </conditionalFormatting>
  <conditionalFormatting sqref="AG2:AG3">
    <cfRule type="cellIs" dxfId="215" priority="42" operator="greaterThan">
      <formula>0</formula>
    </cfRule>
  </conditionalFormatting>
  <conditionalFormatting sqref="AG1">
    <cfRule type="duplicateValues" dxfId="214" priority="41"/>
  </conditionalFormatting>
  <conditionalFormatting sqref="AM16">
    <cfRule type="cellIs" dxfId="213" priority="38" operator="greaterThan">
      <formula>0</formula>
    </cfRule>
    <cfRule type="cellIs" dxfId="212" priority="39" operator="greaterThan">
      <formula>0</formula>
    </cfRule>
    <cfRule type="cellIs" dxfId="211" priority="40" operator="greaterThan">
      <formula>"0$L$5"</formula>
    </cfRule>
  </conditionalFormatting>
  <conditionalFormatting sqref="AM2:AM3">
    <cfRule type="cellIs" dxfId="210" priority="37" operator="greaterThan">
      <formula>0</formula>
    </cfRule>
  </conditionalFormatting>
  <conditionalFormatting sqref="AM1">
    <cfRule type="duplicateValues" dxfId="209" priority="36"/>
  </conditionalFormatting>
  <conditionalFormatting sqref="AQ1 S1 H1:Q1 U1 AI1:AK1 X1:AF1 AU1">
    <cfRule type="duplicateValues" dxfId="208" priority="170"/>
  </conditionalFormatting>
  <conditionalFormatting sqref="AP16">
    <cfRule type="cellIs" dxfId="207" priority="32" operator="greaterThan">
      <formula>0</formula>
    </cfRule>
    <cfRule type="cellIs" dxfId="206" priority="33" operator="greaterThan">
      <formula>0</formula>
    </cfRule>
    <cfRule type="cellIs" dxfId="205" priority="34" operator="greaterThan">
      <formula>"0$L$5"</formula>
    </cfRule>
  </conditionalFormatting>
  <conditionalFormatting sqref="AP2:AP3">
    <cfRule type="cellIs" dxfId="204" priority="31" operator="greaterThan">
      <formula>0</formula>
    </cfRule>
  </conditionalFormatting>
  <conditionalFormatting sqref="AP1">
    <cfRule type="duplicateValues" dxfId="203" priority="35"/>
  </conditionalFormatting>
  <conditionalFormatting sqref="AR16">
    <cfRule type="cellIs" dxfId="202" priority="27" operator="greaterThan">
      <formula>0</formula>
    </cfRule>
    <cfRule type="cellIs" dxfId="201" priority="28" operator="greaterThan">
      <formula>0</formula>
    </cfRule>
    <cfRule type="cellIs" dxfId="200" priority="29" operator="greaterThan">
      <formula>"0$L$5"</formula>
    </cfRule>
  </conditionalFormatting>
  <conditionalFormatting sqref="AR2:AR3">
    <cfRule type="cellIs" dxfId="199" priority="26" operator="greaterThan">
      <formula>0</formula>
    </cfRule>
  </conditionalFormatting>
  <conditionalFormatting sqref="AR1">
    <cfRule type="duplicateValues" dxfId="198" priority="30"/>
  </conditionalFormatting>
  <conditionalFormatting sqref="AS16">
    <cfRule type="cellIs" dxfId="197" priority="22" operator="greaterThan">
      <formula>0</formula>
    </cfRule>
    <cfRule type="cellIs" dxfId="196" priority="23" operator="greaterThan">
      <formula>0</formula>
    </cfRule>
    <cfRule type="cellIs" dxfId="195" priority="24" operator="greaterThan">
      <formula>"0$L$5"</formula>
    </cfRule>
  </conditionalFormatting>
  <conditionalFormatting sqref="AS2:AS3">
    <cfRule type="cellIs" dxfId="194" priority="21" operator="greaterThan">
      <formula>0</formula>
    </cfRule>
  </conditionalFormatting>
  <conditionalFormatting sqref="AS1">
    <cfRule type="duplicateValues" dxfId="193" priority="25"/>
  </conditionalFormatting>
  <conditionalFormatting sqref="AT16">
    <cfRule type="cellIs" dxfId="192" priority="17" operator="greaterThan">
      <formula>0</formula>
    </cfRule>
    <cfRule type="cellIs" dxfId="191" priority="18" operator="greaterThan">
      <formula>0</formula>
    </cfRule>
    <cfRule type="cellIs" dxfId="190" priority="19" operator="greaterThan">
      <formula>"0$L$5"</formula>
    </cfRule>
  </conditionalFormatting>
  <conditionalFormatting sqref="AT2:AT3">
    <cfRule type="cellIs" dxfId="189" priority="16" operator="greaterThan">
      <formula>0</formula>
    </cfRule>
  </conditionalFormatting>
  <conditionalFormatting sqref="AT1">
    <cfRule type="duplicateValues" dxfId="188" priority="20"/>
  </conditionalFormatting>
  <conditionalFormatting sqref="AN16">
    <cfRule type="cellIs" dxfId="187" priority="13" operator="greaterThan">
      <formula>0</formula>
    </cfRule>
    <cfRule type="cellIs" dxfId="186" priority="14" operator="greaterThan">
      <formula>0</formula>
    </cfRule>
    <cfRule type="cellIs" dxfId="185" priority="15" operator="greaterThan">
      <formula>"0$L$5"</formula>
    </cfRule>
  </conditionalFormatting>
  <conditionalFormatting sqref="AN2:AN3">
    <cfRule type="cellIs" dxfId="184" priority="12" operator="greaterThan">
      <formula>0</formula>
    </cfRule>
  </conditionalFormatting>
  <conditionalFormatting sqref="AN1">
    <cfRule type="duplicateValues" dxfId="183" priority="11"/>
  </conditionalFormatting>
  <conditionalFormatting sqref="W16">
    <cfRule type="cellIs" dxfId="182" priority="7" operator="greaterThan">
      <formula>0</formula>
    </cfRule>
    <cfRule type="cellIs" dxfId="181" priority="8" operator="greaterThan">
      <formula>0</formula>
    </cfRule>
    <cfRule type="cellIs" dxfId="180" priority="9" operator="greaterThan">
      <formula>"0$L$5"</formula>
    </cfRule>
  </conditionalFormatting>
  <conditionalFormatting sqref="W2:W3">
    <cfRule type="cellIs" dxfId="179" priority="6" operator="greaterThan">
      <formula>0</formula>
    </cfRule>
  </conditionalFormatting>
  <conditionalFormatting sqref="W1">
    <cfRule type="duplicateValues" dxfId="178" priority="10"/>
  </conditionalFormatting>
  <conditionalFormatting sqref="AH16">
    <cfRule type="cellIs" dxfId="177" priority="2" operator="greaterThan">
      <formula>0</formula>
    </cfRule>
    <cfRule type="cellIs" dxfId="176" priority="3" operator="greaterThan">
      <formula>0</formula>
    </cfRule>
    <cfRule type="cellIs" dxfId="175" priority="4" operator="greaterThan">
      <formula>"0$L$5"</formula>
    </cfRule>
  </conditionalFormatting>
  <conditionalFormatting sqref="AH2:AH3">
    <cfRule type="cellIs" dxfId="174" priority="1" operator="greaterThan">
      <formula>0</formula>
    </cfRule>
  </conditionalFormatting>
  <conditionalFormatting sqref="AH1">
    <cfRule type="duplicateValues" dxfId="173"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4048</v>
      </c>
      <c r="C5" s="81"/>
      <c r="D5" s="81"/>
      <c r="E5" s="81"/>
    </row>
    <row r="6" spans="1:13">
      <c r="F6" s="84"/>
      <c r="G6" s="83"/>
      <c r="H6" s="84"/>
      <c r="I6" s="84"/>
    </row>
    <row r="7" spans="1:13" ht="28.5">
      <c r="A7" s="85"/>
      <c r="B7" s="752" t="s">
        <v>1704</v>
      </c>
      <c r="C7" s="752" t="s">
        <v>2275</v>
      </c>
      <c r="D7" s="753" t="s">
        <v>4049</v>
      </c>
      <c r="E7" s="753" t="s">
        <v>4050</v>
      </c>
      <c r="F7" s="86">
        <f>pp_NC!GV5</f>
        <v>0</v>
      </c>
      <c r="G7" s="86" t="str">
        <f>'pp3p2m '!ED6</f>
        <v>B</v>
      </c>
      <c r="H7" s="86" t="s">
        <v>1034</v>
      </c>
      <c r="I7" s="86" t="s">
        <v>1034</v>
      </c>
      <c r="J7" s="87"/>
      <c r="K7" s="83"/>
      <c r="L7" s="83"/>
      <c r="M7" s="83"/>
    </row>
    <row r="8" spans="1:13" ht="15">
      <c r="A8" s="73" t="s">
        <v>2278</v>
      </c>
      <c r="B8" s="74"/>
      <c r="C8" s="74" t="s">
        <v>4051</v>
      </c>
      <c r="D8" s="74"/>
      <c r="E8" s="74"/>
      <c r="F8" s="75"/>
      <c r="G8" s="88"/>
      <c r="H8" s="85"/>
      <c r="I8" s="85"/>
      <c r="J8" s="85"/>
    </row>
    <row r="9" spans="1:13" ht="15">
      <c r="A9" s="89"/>
      <c r="B9" s="90" t="s">
        <v>499</v>
      </c>
      <c r="C9" s="76" t="s">
        <v>2282</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935</v>
      </c>
      <c r="C56" s="77" t="s">
        <v>2283</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1611</v>
      </c>
      <c r="C64" s="77" t="s">
        <v>2284</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1642</v>
      </c>
      <c r="B115" s="98" t="s">
        <v>1903</v>
      </c>
      <c r="C115" s="77" t="s">
        <v>2294</v>
      </c>
      <c r="D115" s="78" t="s">
        <v>2295</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7.25">
      <c r="A119" s="9" t="str">
        <f>chitiet!B1773</f>
        <v>AC120</v>
      </c>
      <c r="B119" s="18" t="str">
        <f>IF(E119=0,"",COUNTIF($E$116:$E119,"&gt;0"))</f>
        <v/>
      </c>
      <c r="C119" s="16" t="s">
        <v>4949</v>
      </c>
      <c r="D119" s="19" t="s">
        <v>2243</v>
      </c>
      <c r="E119" s="19">
        <v>0</v>
      </c>
      <c r="F119" s="10">
        <f>chitiet!E1773</f>
        <v>0</v>
      </c>
      <c r="G119" s="7">
        <f t="shared" si="3"/>
        <v>0</v>
      </c>
      <c r="H119" s="4"/>
      <c r="I119" s="4"/>
      <c r="J119" s="4"/>
    </row>
    <row r="120" spans="1:10" s="1" customFormat="1" ht="17.25">
      <c r="A120" s="9" t="str">
        <f>chitiet!B1774</f>
        <v>AC95</v>
      </c>
      <c r="B120" s="18" t="str">
        <f>IF(E120=0,"",COUNTIF($E$116:$E120,"&gt;0"))</f>
        <v/>
      </c>
      <c r="C120" s="16" t="s">
        <v>4950</v>
      </c>
      <c r="D120" s="19" t="s">
        <v>2243</v>
      </c>
      <c r="E120" s="19">
        <v>0</v>
      </c>
      <c r="F120" s="10"/>
      <c r="G120" s="7">
        <f t="shared" si="3"/>
        <v>0</v>
      </c>
      <c r="H120" s="4"/>
      <c r="I120" s="4"/>
      <c r="J120" s="4"/>
    </row>
    <row r="121" spans="1:10" s="1" customFormat="1" ht="17.25">
      <c r="A121" s="9" t="str">
        <f>chitiet!B1775</f>
        <v>AC70</v>
      </c>
      <c r="B121" s="18" t="str">
        <f>IF(E121=0,"",COUNTIF($E$116:$E121,"&gt;0"))</f>
        <v/>
      </c>
      <c r="C121" s="16" t="s">
        <v>4951</v>
      </c>
      <c r="D121" s="19" t="s">
        <v>2243</v>
      </c>
      <c r="E121" s="19">
        <v>0</v>
      </c>
      <c r="F121" s="10">
        <f>chitiet!E1665</f>
        <v>0</v>
      </c>
      <c r="G121" s="7">
        <f t="shared" si="3"/>
        <v>0</v>
      </c>
      <c r="H121" s="4"/>
      <c r="I121" s="4"/>
      <c r="J121" s="4"/>
    </row>
    <row r="122" spans="1:10" s="1" customFormat="1" ht="17.25">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7.25">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7.25">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7.25">
      <c r="A127" s="9" t="str">
        <f>chitiet!B1784</f>
        <v>XLPE150A</v>
      </c>
      <c r="B127" s="18" t="str">
        <f>IF(E127=0,"",COUNTIF($E$116:$E127,"&gt;0"))</f>
        <v/>
      </c>
      <c r="C127" s="16" t="s">
        <v>2714</v>
      </c>
      <c r="D127" s="19" t="s">
        <v>2526</v>
      </c>
      <c r="E127" s="19">
        <v>0</v>
      </c>
      <c r="F127" s="10"/>
      <c r="G127" s="7">
        <f t="shared" si="3"/>
        <v>0</v>
      </c>
      <c r="H127" s="4"/>
      <c r="I127" s="4"/>
      <c r="J127" s="4"/>
    </row>
    <row r="128" spans="1:10" s="1" customFormat="1" ht="17.25">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7.25">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7.25">
      <c r="A130" s="9" t="str">
        <f>chitiet!B1788</f>
        <v>XLPE50A</v>
      </c>
      <c r="B130" s="18" t="str">
        <f>IF(E130=0,"",COUNTIF($E$116:$E130,"&gt;0"))</f>
        <v/>
      </c>
      <c r="C130" s="16" t="s">
        <v>4952</v>
      </c>
      <c r="D130" s="19" t="s">
        <v>2526</v>
      </c>
      <c r="E130" s="35">
        <v>0</v>
      </c>
      <c r="F130" s="10"/>
      <c r="G130" s="7">
        <f>IF(E130&lt;&gt;0,1,0)</f>
        <v>0</v>
      </c>
      <c r="H130" s="4"/>
      <c r="I130" s="4"/>
      <c r="J130" s="4"/>
    </row>
    <row r="131" spans="1:10" ht="15">
      <c r="A131" s="100" t="str">
        <f>chitiet!B1789</f>
        <v>XLPE50A</v>
      </c>
      <c r="B131" s="94" t="str">
        <f>IF(E131=0,"",COUNTIF($E$116:$E131,"&gt;0"))</f>
        <v/>
      </c>
      <c r="C131" s="95" t="s">
        <v>4952</v>
      </c>
      <c r="D131" s="78" t="s">
        <v>2526</v>
      </c>
      <c r="E131" s="761">
        <v>0</v>
      </c>
      <c r="F131" s="101"/>
      <c r="G131" s="93">
        <f>IF(E131&lt;&gt;0,1,0)</f>
        <v>0</v>
      </c>
      <c r="H131" s="85"/>
      <c r="I131" s="85"/>
      <c r="J131" s="85"/>
    </row>
    <row r="132" spans="1:10" s="1" customFormat="1" ht="17.25">
      <c r="A132" s="9" t="str">
        <f>chitiet!B1790</f>
        <v>XLPE50</v>
      </c>
      <c r="B132" s="18" t="str">
        <f>IF(E132=0,"",COUNTIF($E$116:$E132,"&gt;0"))</f>
        <v/>
      </c>
      <c r="C132" s="16" t="s">
        <v>4953</v>
      </c>
      <c r="D132" s="19" t="s">
        <v>4948</v>
      </c>
      <c r="E132" s="35">
        <v>0</v>
      </c>
      <c r="F132" s="10"/>
      <c r="G132" s="7">
        <f>IF(E132&lt;&gt;0,1,0)</f>
        <v>0</v>
      </c>
      <c r="H132" s="4"/>
      <c r="I132" s="4"/>
      <c r="J132" s="4"/>
    </row>
    <row r="133" spans="1:10" s="1" customFormat="1" ht="17.25">
      <c r="A133" s="9" t="str">
        <f>chitiet!B1791</f>
        <v>M25</v>
      </c>
      <c r="B133" s="18" t="str">
        <f>IF(E133=0,"",COUNTIF($E$116:$E133,"&gt;0"))</f>
        <v/>
      </c>
      <c r="C133" s="16" t="s">
        <v>2692</v>
      </c>
      <c r="D133" s="19" t="s">
        <v>2243</v>
      </c>
      <c r="E133" s="35">
        <v>0</v>
      </c>
      <c r="F133" s="10"/>
      <c r="G133" s="7">
        <f t="shared" si="3"/>
        <v>0</v>
      </c>
      <c r="H133" s="4"/>
      <c r="I133" s="4"/>
      <c r="J133" s="4"/>
    </row>
    <row r="134" spans="1:10" s="1" customFormat="1" ht="17.25">
      <c r="A134" s="9" t="str">
        <f>chitiet!B1792</f>
        <v>M38</v>
      </c>
      <c r="B134" s="18" t="str">
        <f>IF(E134=0,"",COUNTIF($E$116:$E134,"&gt;0"))</f>
        <v/>
      </c>
      <c r="C134" s="16" t="s">
        <v>2693</v>
      </c>
      <c r="D134" s="19" t="s">
        <v>2243</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2924</v>
      </c>
      <c r="D136" s="78" t="s">
        <v>2433</v>
      </c>
      <c r="E136" s="106" t="e">
        <f>E135</f>
        <v>#N/A</v>
      </c>
      <c r="F136" s="85"/>
      <c r="G136" s="93" t="e">
        <f>G135</f>
        <v>#N/A</v>
      </c>
      <c r="H136" s="85"/>
      <c r="I136" s="85"/>
      <c r="J136" s="85"/>
    </row>
    <row r="137" spans="1:10" ht="15">
      <c r="A137" s="100" t="str">
        <f>chitiet!B1795</f>
        <v>B16300</v>
      </c>
      <c r="B137" s="94"/>
      <c r="C137" s="95" t="s">
        <v>2641</v>
      </c>
      <c r="D137" s="78" t="s">
        <v>2433</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2924</v>
      </c>
      <c r="D139" s="19" t="s">
        <v>2433</v>
      </c>
      <c r="E139" s="29" t="e">
        <f>E138</f>
        <v>#N/A</v>
      </c>
      <c r="F139" s="4"/>
      <c r="G139" s="7" t="e">
        <f>G138</f>
        <v>#N/A</v>
      </c>
      <c r="H139" s="4"/>
      <c r="I139" s="4"/>
      <c r="J139" s="4"/>
    </row>
    <row r="140" spans="1:10" s="1" customFormat="1" ht="17.25">
      <c r="A140" s="9" t="str">
        <f>chitiet!B1798</f>
        <v>B16550</v>
      </c>
      <c r="B140" s="18"/>
      <c r="C140" s="16" t="s">
        <v>4944</v>
      </c>
      <c r="D140" s="19" t="s">
        <v>2433</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2924</v>
      </c>
      <c r="D142" s="19" t="s">
        <v>2433</v>
      </c>
      <c r="E142" s="29" t="e">
        <f>E141</f>
        <v>#N/A</v>
      </c>
      <c r="F142" s="4"/>
      <c r="G142" s="7" t="e">
        <f>G141</f>
        <v>#N/A</v>
      </c>
      <c r="H142" s="4"/>
      <c r="I142" s="4"/>
      <c r="J142" s="4"/>
    </row>
    <row r="143" spans="1:10" s="1" customFormat="1" ht="17.25">
      <c r="A143" s="9" t="str">
        <f>chitiet!B1801</f>
        <v>B16100</v>
      </c>
      <c r="B143" s="18"/>
      <c r="C143" s="16" t="s">
        <v>2632</v>
      </c>
      <c r="D143" s="19" t="s">
        <v>2433</v>
      </c>
      <c r="E143" s="29" t="e">
        <f>E142</f>
        <v>#N/A</v>
      </c>
      <c r="F143" s="4"/>
      <c r="G143" s="7" t="e">
        <f>G142</f>
        <v>#N/A</v>
      </c>
      <c r="H143" s="4"/>
      <c r="I143" s="4"/>
      <c r="J143" s="4"/>
    </row>
    <row r="144" spans="1:10" s="1" customFormat="1" ht="17.25">
      <c r="A144" s="9" t="str">
        <f>chitiet!B1802</f>
        <v>Nth-U</v>
      </c>
      <c r="B144" s="18" t="str">
        <f>IF(E144=0,"",COUNTIF($B$116:$B137,"&gt;0")+1)</f>
        <v/>
      </c>
      <c r="C144" s="21" t="s">
        <v>4926</v>
      </c>
      <c r="D144" s="22" t="s">
        <v>4924</v>
      </c>
      <c r="E144" s="22">
        <v>0</v>
      </c>
      <c r="F144" s="4"/>
      <c r="G144" s="7">
        <f>IF(E144&lt;&gt;0,1,0)</f>
        <v>0</v>
      </c>
      <c r="H144" s="4"/>
      <c r="I144" s="4"/>
      <c r="J144" s="4"/>
    </row>
    <row r="145" spans="1:10" s="1" customFormat="1" ht="17.25">
      <c r="A145" s="9" t="str">
        <f>chitiet!B1803</f>
        <v>R1</v>
      </c>
      <c r="B145" s="18"/>
      <c r="C145" s="16" t="s">
        <v>2924</v>
      </c>
      <c r="D145" s="19" t="s">
        <v>2433</v>
      </c>
      <c r="E145" s="19">
        <f>E144</f>
        <v>0</v>
      </c>
      <c r="F145" s="4"/>
      <c r="G145" s="7">
        <f>G144</f>
        <v>0</v>
      </c>
      <c r="H145" s="4"/>
      <c r="I145" s="4"/>
      <c r="J145" s="4"/>
    </row>
    <row r="146" spans="1:10" s="1" customFormat="1" ht="17.25">
      <c r="A146" s="9" t="str">
        <f>chitiet!B1804</f>
        <v>B16300</v>
      </c>
      <c r="B146" s="18"/>
      <c r="C146" s="16" t="s">
        <v>2641</v>
      </c>
      <c r="D146" s="19" t="s">
        <v>2433</v>
      </c>
      <c r="E146" s="19">
        <f>E145</f>
        <v>0</v>
      </c>
      <c r="F146" s="4"/>
      <c r="G146" s="7">
        <f>G145</f>
        <v>0</v>
      </c>
      <c r="H146" s="4"/>
      <c r="I146" s="4"/>
      <c r="J146" s="4"/>
    </row>
    <row r="147" spans="1:10" s="1" customFormat="1" ht="17.25">
      <c r="A147" s="9" t="str">
        <f>chitiet!B1805</f>
        <v>ke50</v>
      </c>
      <c r="B147" s="18"/>
      <c r="C147" s="16" t="s">
        <v>2865</v>
      </c>
      <c r="D147" s="19" t="s">
        <v>2547</v>
      </c>
      <c r="E147" s="32">
        <f>E146*2</f>
        <v>0</v>
      </c>
      <c r="F147" s="4"/>
      <c r="G147" s="7">
        <f>G146</f>
        <v>0</v>
      </c>
      <c r="H147" s="4"/>
      <c r="I147" s="4"/>
      <c r="J147" s="4"/>
    </row>
    <row r="148" spans="1:10" ht="15">
      <c r="A148" s="100" t="str">
        <f>chitiet!B1806</f>
        <v>Nth-T</v>
      </c>
      <c r="B148" s="94">
        <f>IF(E148=0,"",COUNTIF($B$116:$B147,"&gt;0")+1)</f>
        <v>2</v>
      </c>
      <c r="C148" s="102" t="s">
        <v>4928</v>
      </c>
      <c r="D148" s="103" t="s">
        <v>4924</v>
      </c>
      <c r="E148" s="103">
        <v>7</v>
      </c>
      <c r="F148" s="85"/>
      <c r="G148" s="93">
        <f>IF(E148&lt;&gt;0,1,0)</f>
        <v>1</v>
      </c>
      <c r="H148" s="85"/>
      <c r="I148" s="85"/>
      <c r="J148" s="85"/>
    </row>
    <row r="149" spans="1:10" ht="15">
      <c r="A149" s="100" t="str">
        <f>chitiet!B1807</f>
        <v>kn50</v>
      </c>
      <c r="B149" s="94"/>
      <c r="C149" s="95" t="s">
        <v>2892</v>
      </c>
      <c r="D149" s="78" t="s">
        <v>2547</v>
      </c>
      <c r="E149" s="106">
        <f>E148</f>
        <v>7</v>
      </c>
      <c r="F149" s="85"/>
      <c r="G149" s="93">
        <f>IF(E149&lt;&gt;0,1,0)</f>
        <v>1</v>
      </c>
      <c r="H149" s="85"/>
      <c r="I149" s="85"/>
      <c r="J149" s="85"/>
    </row>
    <row r="150" spans="1:10" ht="15">
      <c r="A150" s="100" t="str">
        <f>chitiet!B1808</f>
        <v>BM16300</v>
      </c>
      <c r="B150" s="94"/>
      <c r="C150" s="95" t="s">
        <v>4893</v>
      </c>
      <c r="D150" s="78" t="s">
        <v>2433</v>
      </c>
      <c r="E150" s="106">
        <f>E148</f>
        <v>7</v>
      </c>
      <c r="F150" s="85"/>
      <c r="G150" s="93">
        <f>IF(E150&lt;&gt;0,1,0)</f>
        <v>1</v>
      </c>
      <c r="H150" s="85"/>
      <c r="I150" s="85"/>
      <c r="J150" s="85"/>
    </row>
    <row r="151" spans="1:10" s="1" customFormat="1" ht="17.25">
      <c r="A151" s="9" t="str">
        <f>chitiet!B1809</f>
        <v>ke50</v>
      </c>
      <c r="B151" s="18"/>
      <c r="C151" s="16" t="s">
        <v>2865</v>
      </c>
      <c r="D151" s="19" t="s">
        <v>2547</v>
      </c>
      <c r="E151" s="29">
        <f>E148*0</f>
        <v>0</v>
      </c>
      <c r="F151" s="4"/>
      <c r="G151" s="7">
        <f>IF(E151&lt;&gt;0,1,0)</f>
        <v>0</v>
      </c>
      <c r="H151" s="4"/>
      <c r="I151" s="4"/>
      <c r="J151" s="4"/>
    </row>
    <row r="152" spans="1:10" s="1" customFormat="1" ht="17.25">
      <c r="A152" s="9" t="str">
        <f>chitiet!B1814</f>
        <v>Nth-X</v>
      </c>
      <c r="B152" s="18" t="str">
        <f>IF(E152=0,"",COUNTIF($B$116:$B151,"&gt;0")+1)</f>
        <v/>
      </c>
      <c r="C152" s="21" t="s">
        <v>4945</v>
      </c>
      <c r="D152" s="36" t="s">
        <v>4924</v>
      </c>
      <c r="E152" s="22">
        <v>0</v>
      </c>
      <c r="F152" s="4"/>
      <c r="G152" s="7">
        <f>IF(E152&lt;&gt;0,1,0)</f>
        <v>0</v>
      </c>
      <c r="H152" s="4"/>
      <c r="I152" s="4"/>
      <c r="J152" s="4"/>
    </row>
    <row r="153" spans="1:10" s="1" customFormat="1" ht="17.25">
      <c r="A153" s="9" t="str">
        <f>chitiet!B1815</f>
        <v>kn50</v>
      </c>
      <c r="B153" s="18"/>
      <c r="C153" s="16" t="s">
        <v>2892</v>
      </c>
      <c r="D153" s="19" t="s">
        <v>2547</v>
      </c>
      <c r="E153" s="29">
        <f>E152</f>
        <v>0</v>
      </c>
      <c r="F153" s="4"/>
      <c r="G153" s="7">
        <f>G152</f>
        <v>0</v>
      </c>
      <c r="H153" s="4"/>
      <c r="I153" s="4"/>
      <c r="J153" s="4"/>
    </row>
    <row r="154" spans="1:10" s="1" customFormat="1" ht="17.25">
      <c r="A154" s="9" t="str">
        <f>chitiet!B1816</f>
        <v>MT</v>
      </c>
      <c r="B154" s="18"/>
      <c r="C154" s="16" t="s">
        <v>4929</v>
      </c>
      <c r="D154" s="19" t="s">
        <v>2547</v>
      </c>
      <c r="E154" s="29">
        <f>E153*2</f>
        <v>0</v>
      </c>
      <c r="F154" s="4"/>
      <c r="G154" s="7">
        <f>G153</f>
        <v>0</v>
      </c>
      <c r="H154" s="4"/>
      <c r="I154" s="4"/>
      <c r="J154" s="4"/>
    </row>
    <row r="155" spans="1:10" s="1" customFormat="1" ht="17.25">
      <c r="A155" s="9" t="str">
        <f>chitiet!B1817</f>
        <v>KE50</v>
      </c>
      <c r="B155" s="18"/>
      <c r="C155" s="16" t="s">
        <v>2865</v>
      </c>
      <c r="D155" s="19" t="s">
        <v>2547</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4894</v>
      </c>
      <c r="D157" s="106" t="s">
        <v>2547</v>
      </c>
      <c r="E157" s="106" t="e">
        <v>#N/A</v>
      </c>
      <c r="F157" s="85"/>
      <c r="G157" s="93" t="e">
        <f>G156</f>
        <v>#N/A</v>
      </c>
      <c r="H157" s="85"/>
      <c r="I157" s="85"/>
      <c r="J157" s="85"/>
    </row>
    <row r="158" spans="1:10" ht="15">
      <c r="A158" s="100" t="str">
        <f>chitiet!B1820</f>
        <v>CSD</v>
      </c>
      <c r="B158" s="94"/>
      <c r="C158" s="105" t="s">
        <v>4895</v>
      </c>
      <c r="D158" s="106" t="s">
        <v>2547</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4894</v>
      </c>
      <c r="D160" s="29" t="s">
        <v>2547</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2637</v>
      </c>
      <c r="D162" s="29" t="s">
        <v>2433</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4894</v>
      </c>
      <c r="D164" s="32" t="s">
        <v>2547</v>
      </c>
      <c r="E164" s="29" t="e">
        <v>#N/A</v>
      </c>
      <c r="F164" s="4"/>
      <c r="G164" s="7" t="e">
        <f>G163</f>
        <v>#N/A</v>
      </c>
      <c r="H164" s="4"/>
      <c r="I164" s="4"/>
      <c r="J164" s="4"/>
    </row>
    <row r="165" spans="1:10" s="1" customFormat="1" ht="17.25">
      <c r="A165" s="9" t="str">
        <f>chitiet!B1827</f>
        <v>CSDG</v>
      </c>
      <c r="B165" s="18"/>
      <c r="C165" s="37" t="s">
        <v>4946</v>
      </c>
      <c r="D165" s="32" t="s">
        <v>2547</v>
      </c>
      <c r="E165" s="29">
        <v>0</v>
      </c>
      <c r="F165" s="4"/>
      <c r="G165" s="7" t="e">
        <f>G164</f>
        <v>#N/A</v>
      </c>
      <c r="H165" s="4"/>
      <c r="I165" s="4"/>
      <c r="J165" s="4"/>
    </row>
    <row r="166" spans="1:10" s="1" customFormat="1" ht="17.25">
      <c r="A166" s="9" t="str">
        <f>chitiet!B1828</f>
        <v>B16250</v>
      </c>
      <c r="B166" s="18"/>
      <c r="C166" s="37" t="s">
        <v>2637</v>
      </c>
      <c r="D166" s="32" t="s">
        <v>2433</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2934</v>
      </c>
      <c r="D168" s="29" t="s">
        <v>2935</v>
      </c>
      <c r="E168" s="29"/>
      <c r="F168" s="4"/>
      <c r="G168" s="7" t="e">
        <f>G167</f>
        <v>#N/A</v>
      </c>
      <c r="H168" s="4"/>
      <c r="I168" s="4"/>
      <c r="J168" s="4"/>
    </row>
    <row r="169" spans="1:10" s="1" customFormat="1" ht="17.25">
      <c r="A169" s="9" t="str">
        <f>chitiet!B1831</f>
        <v>MT</v>
      </c>
      <c r="B169" s="18"/>
      <c r="C169" s="37" t="s">
        <v>4929</v>
      </c>
      <c r="D169" s="29" t="s">
        <v>2547</v>
      </c>
      <c r="E169" s="29"/>
      <c r="F169" s="4"/>
      <c r="G169" s="7" t="e">
        <f>G168</f>
        <v>#N/A</v>
      </c>
      <c r="H169" s="4"/>
      <c r="I169" s="4"/>
      <c r="J169" s="4"/>
    </row>
    <row r="170" spans="1:10" s="1" customFormat="1" ht="17.25">
      <c r="A170" s="9" t="str">
        <f>chitiet!B1832</f>
        <v>VT</v>
      </c>
      <c r="B170" s="18"/>
      <c r="C170" s="37" t="s">
        <v>2907</v>
      </c>
      <c r="D170" s="29" t="s">
        <v>2547</v>
      </c>
      <c r="E170" s="29"/>
      <c r="F170" s="4"/>
      <c r="G170" s="7" t="e">
        <f>G169</f>
        <v>#N/A</v>
      </c>
      <c r="H170" s="4"/>
      <c r="I170" s="4"/>
      <c r="J170" s="4"/>
    </row>
    <row r="171" spans="1:10" s="1" customFormat="1" ht="17.25">
      <c r="A171" s="9" t="str">
        <f>chitiet!B1833</f>
        <v>MND</v>
      </c>
      <c r="B171" s="18"/>
      <c r="C171" s="37" t="s">
        <v>2903</v>
      </c>
      <c r="D171" s="29" t="s">
        <v>2547</v>
      </c>
      <c r="E171" s="29"/>
      <c r="F171" s="4"/>
      <c r="G171" s="7" t="e">
        <f>G170</f>
        <v>#N/A</v>
      </c>
      <c r="H171" s="4"/>
      <c r="I171" s="4"/>
      <c r="J171" s="4"/>
    </row>
    <row r="172" spans="1:10" s="1" customFormat="1" ht="17.25">
      <c r="A172" s="9" t="str">
        <f>chitiet!B1834</f>
        <v>Bm16300</v>
      </c>
      <c r="B172" s="18"/>
      <c r="C172" s="37" t="s">
        <v>4893</v>
      </c>
      <c r="D172" s="29" t="s">
        <v>2433</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4790</v>
      </c>
      <c r="D174" s="106" t="s">
        <v>2547</v>
      </c>
      <c r="E174" s="106">
        <f>chitiet!D1839</f>
        <v>1</v>
      </c>
      <c r="F174" s="85"/>
      <c r="G174" s="93">
        <f t="shared" si="4"/>
        <v>1</v>
      </c>
      <c r="H174" s="85"/>
      <c r="I174" s="85"/>
      <c r="J174" s="85"/>
    </row>
    <row r="175" spans="1:10" ht="15">
      <c r="A175" s="100" t="str">
        <f>chitiet!B1840</f>
        <v>MT</v>
      </c>
      <c r="B175" s="94"/>
      <c r="C175" s="105" t="s">
        <v>4929</v>
      </c>
      <c r="D175" s="106" t="s">
        <v>2547</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4790</v>
      </c>
      <c r="D180" s="29" t="s">
        <v>2547</v>
      </c>
      <c r="E180" s="29">
        <f>chitiet!D1853</f>
        <v>0</v>
      </c>
      <c r="F180" s="4"/>
      <c r="G180" s="7">
        <f t="shared" si="5"/>
        <v>0</v>
      </c>
      <c r="H180" s="4"/>
      <c r="I180" s="4"/>
      <c r="J180" s="4"/>
    </row>
    <row r="181" spans="1:10" s="1" customFormat="1" ht="17.25">
      <c r="A181" s="9" t="str">
        <f>chitiet!B1854</f>
        <v>MT</v>
      </c>
      <c r="B181" s="18"/>
      <c r="C181" s="37" t="s">
        <v>4929</v>
      </c>
      <c r="D181" s="29" t="s">
        <v>2547</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4893</v>
      </c>
      <c r="D183" s="29" t="s">
        <v>2433</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4955</v>
      </c>
      <c r="D185" s="29" t="s">
        <v>4924</v>
      </c>
      <c r="E185" s="29">
        <f>chitiet!D1858</f>
        <v>0</v>
      </c>
      <c r="F185" s="4"/>
      <c r="G185" s="7">
        <f t="shared" si="4"/>
        <v>0</v>
      </c>
      <c r="H185" s="4"/>
      <c r="I185" s="4"/>
      <c r="J185" s="4"/>
    </row>
    <row r="186" spans="1:10" ht="15">
      <c r="A186" s="100">
        <f>chitiet!B1862</f>
        <v>0</v>
      </c>
      <c r="B186" s="94">
        <f>IF(E186=0,"",COUNTIF($B$116:$B184,"&gt;0")+1)</f>
        <v>3</v>
      </c>
      <c r="C186" s="102" t="s">
        <v>4052</v>
      </c>
      <c r="D186" s="102"/>
      <c r="E186" s="102">
        <v>1</v>
      </c>
      <c r="F186" s="85"/>
      <c r="G186" s="93">
        <v>1</v>
      </c>
      <c r="H186" s="85"/>
      <c r="I186" s="85"/>
      <c r="J186" s="85"/>
    </row>
    <row r="187" spans="1:10" s="1" customFormat="1" ht="17.25">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7.25">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7.25">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7.25">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7.25">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7.25">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7.25">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7.25">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7.25">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7.25">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7.25">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7.25">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7.25">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7.25">
      <c r="A201" s="9" t="str">
        <f>chitiet!B1917</f>
        <v>oxc25</v>
      </c>
      <c r="B201" s="18" t="str">
        <f>IF(E201=0,"",COUNTIF($B$116:$B200,"&gt;0")+1)</f>
        <v/>
      </c>
      <c r="C201" s="37" t="s">
        <v>4947</v>
      </c>
      <c r="D201" s="29" t="s">
        <v>2547</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2865</v>
      </c>
      <c r="D203" s="106" t="s">
        <v>2547</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7.25">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7.25">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7.25">
      <c r="A210" s="9" t="str">
        <f>chitiet!B1924</f>
        <v>k50</v>
      </c>
      <c r="B210" s="18" t="str">
        <f>IF(E210=0,"",COUNTIF($B$116:$B202,"&gt;0")+1)</f>
        <v/>
      </c>
      <c r="C210" s="37" t="s">
        <v>4927</v>
      </c>
      <c r="D210" s="29" t="s">
        <v>2547</v>
      </c>
      <c r="E210" s="29">
        <f>chitiet!D1924</f>
        <v>0</v>
      </c>
      <c r="F210" s="4"/>
      <c r="G210" s="7">
        <f t="shared" si="7"/>
        <v>0</v>
      </c>
      <c r="H210" s="4"/>
      <c r="I210" s="4"/>
      <c r="J210" s="4"/>
    </row>
    <row r="211" spans="1:10" s="1" customFormat="1" ht="17.25">
      <c r="A211" s="9" t="str">
        <f>chitiet!B1925</f>
        <v>k70</v>
      </c>
      <c r="B211" s="18" t="str">
        <f>IF(E211=0,"",COUNTIF($B$116:$B210,"&gt;0")+1)</f>
        <v/>
      </c>
      <c r="C211" s="37" t="s">
        <v>4956</v>
      </c>
      <c r="D211" s="29" t="s">
        <v>2547</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7.25">
      <c r="A215" s="9" t="str">
        <f>chitiet!B1929</f>
        <v>k50</v>
      </c>
      <c r="B215" s="18" t="str">
        <f>IF(E215=0,"",COUNTIF($B$116:$B214,"&gt;0")+1)</f>
        <v/>
      </c>
      <c r="C215" s="37" t="s">
        <v>4927</v>
      </c>
      <c r="D215" s="29" t="s">
        <v>2547</v>
      </c>
      <c r="E215" s="29">
        <f>chitiet!D1929</f>
        <v>0</v>
      </c>
      <c r="F215" s="4"/>
      <c r="G215" s="7">
        <f t="shared" si="7"/>
        <v>0</v>
      </c>
      <c r="H215" s="4"/>
      <c r="I215" s="4"/>
      <c r="J215" s="4"/>
    </row>
    <row r="216" spans="1:10" s="1" customFormat="1" ht="17.25">
      <c r="A216" s="9" t="e">
        <f>chitiet!#REF!</f>
        <v>#REF!</v>
      </c>
      <c r="B216" s="18" t="e">
        <f>IF(E216=0,"",COUNTIF($B$116:$B215,"&gt;0")+1)</f>
        <v>#REF!</v>
      </c>
      <c r="C216" s="37" t="s">
        <v>4896</v>
      </c>
      <c r="D216" s="29" t="s">
        <v>2547</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2618</v>
      </c>
      <c r="D222" s="29" t="s">
        <v>2433</v>
      </c>
      <c r="E222" s="29">
        <f>chitiet!D1937</f>
        <v>0</v>
      </c>
      <c r="F222" s="4"/>
      <c r="G222" s="7">
        <f t="shared" si="7"/>
        <v>0</v>
      </c>
      <c r="H222" s="4"/>
      <c r="I222" s="4"/>
      <c r="J222" s="4"/>
    </row>
    <row r="223" spans="1:10" ht="15">
      <c r="A223" s="100" t="str">
        <f>chitiet!B1938</f>
        <v xml:space="preserve">KQ2/0 </v>
      </c>
      <c r="B223" s="94"/>
      <c r="C223" s="105" t="e">
        <v>#N/A</v>
      </c>
      <c r="D223" s="106" t="e">
        <v>#N/A</v>
      </c>
      <c r="E223" s="106">
        <f>chitiet!D1938</f>
        <v>0</v>
      </c>
      <c r="F223" s="85"/>
      <c r="G223" s="93">
        <f t="shared" si="7"/>
        <v>0</v>
      </c>
      <c r="H223" s="85"/>
      <c r="I223" s="85"/>
      <c r="J223" s="85"/>
    </row>
    <row r="224" spans="1:10" s="1" customFormat="1" ht="17.25">
      <c r="A224" s="9" t="e">
        <f>chitiet!#REF!</f>
        <v>#REF!</v>
      </c>
      <c r="B224" s="18" t="e">
        <f>IF(E224=0,"",COUNTIF($B$116:$B223,"&gt;0")+1)</f>
        <v>#REF!</v>
      </c>
      <c r="C224" s="37" t="s">
        <v>4957</v>
      </c>
      <c r="D224" s="29" t="s">
        <v>2547</v>
      </c>
      <c r="E224" s="29" t="e">
        <f>chitiet!#REF!</f>
        <v>#REF!</v>
      </c>
      <c r="F224" s="4"/>
      <c r="G224" s="7" t="e">
        <f t="shared" si="7"/>
        <v>#REF!</v>
      </c>
      <c r="H224" s="4"/>
      <c r="I224" s="4"/>
      <c r="J224" s="4"/>
    </row>
    <row r="225" spans="1:10" ht="15">
      <c r="A225" s="100">
        <f>chitiet!B1939</f>
        <v>0</v>
      </c>
      <c r="B225" s="94"/>
      <c r="C225" s="105" t="s">
        <v>4269</v>
      </c>
      <c r="D225" s="106" t="s">
        <v>2547</v>
      </c>
      <c r="E225" s="106">
        <f>chitiet!D1939</f>
        <v>0</v>
      </c>
      <c r="F225" s="85"/>
      <c r="G225" s="93">
        <f t="shared" si="7"/>
        <v>0</v>
      </c>
      <c r="H225" s="85"/>
      <c r="I225" s="85"/>
      <c r="J225" s="85"/>
    </row>
    <row r="226" spans="1:10" s="1" customFormat="1" ht="17.25">
      <c r="A226" s="9" t="e">
        <f>chitiet!#REF!</f>
        <v>#REF!</v>
      </c>
      <c r="B226" s="18" t="e">
        <f>IF(E226=0,"",COUNTIF($B$116:$B225,"&gt;0")+1)</f>
        <v>#REF!</v>
      </c>
      <c r="C226" s="37" t="s">
        <v>2875</v>
      </c>
      <c r="D226" s="29" t="s">
        <v>2547</v>
      </c>
      <c r="E226" s="29" t="e">
        <f>chitiet!#REF!</f>
        <v>#REF!</v>
      </c>
      <c r="F226" s="4"/>
      <c r="G226" s="7" t="e">
        <f t="shared" si="7"/>
        <v>#REF!</v>
      </c>
      <c r="H226" s="4"/>
      <c r="I226" s="4"/>
      <c r="J226" s="4"/>
    </row>
    <row r="227" spans="1:10" ht="15">
      <c r="A227" s="100" t="str">
        <f>chitiet!B1941</f>
        <v>XLPE25</v>
      </c>
      <c r="B227" s="94"/>
      <c r="C227" s="100" t="s">
        <v>4787</v>
      </c>
      <c r="D227" s="106" t="s">
        <v>2526</v>
      </c>
      <c r="E227" s="106">
        <f>chitiet!D1941</f>
        <v>0</v>
      </c>
      <c r="F227" s="85"/>
      <c r="G227" s="93">
        <f>IF(E227&lt;&gt;0,1,0)</f>
        <v>0</v>
      </c>
      <c r="H227" s="85"/>
      <c r="I227" s="85"/>
      <c r="J227" s="85"/>
    </row>
    <row r="228" spans="1:10" s="1" customFormat="1" ht="17.25">
      <c r="A228" s="9" t="str">
        <f>chitiet!B1942</f>
        <v>XLPE25</v>
      </c>
      <c r="B228" s="18" t="str">
        <f>IF(E228=0,"",COUNTIF($B$116:$B227,"&gt;0")+1)</f>
        <v/>
      </c>
      <c r="C228" s="9" t="s">
        <v>4958</v>
      </c>
      <c r="D228" s="29" t="s">
        <v>2526</v>
      </c>
      <c r="E228" s="29">
        <f>chitiet!D1942</f>
        <v>0</v>
      </c>
      <c r="F228" s="4"/>
      <c r="G228" s="7">
        <f>IF(E228&lt;&gt;0,1,0)</f>
        <v>0</v>
      </c>
      <c r="H228" s="4"/>
      <c r="I228" s="4"/>
      <c r="J228" s="4"/>
    </row>
    <row r="229" spans="1:10" s="1" customFormat="1" ht="17.25">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7.25">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7.25">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7.25">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7.25">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7.25">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7.25">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7.25">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7.25">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7.25">
      <c r="A238" s="9" t="str">
        <f>chitiet!B1953</f>
        <v>B16550v</v>
      </c>
      <c r="B238" s="18" t="str">
        <f>IF(E238=0,"",COUNTIF($B$116:$B237,"&gt;0")+1)</f>
        <v/>
      </c>
      <c r="C238" s="37" t="s">
        <v>4943</v>
      </c>
      <c r="D238" s="29" t="s">
        <v>2433</v>
      </c>
      <c r="E238" s="29">
        <f>chitiet!D1953</f>
        <v>0</v>
      </c>
      <c r="F238" s="4"/>
      <c r="G238" s="7">
        <f t="shared" si="9"/>
        <v>0</v>
      </c>
      <c r="H238" s="4"/>
      <c r="I238" s="4"/>
      <c r="J238" s="4"/>
    </row>
    <row r="239" spans="1:10" s="1" customFormat="1" ht="17.25">
      <c r="A239" s="9" t="str">
        <f>chitiet!B1954</f>
        <v>B16600v</v>
      </c>
      <c r="B239" s="18" t="str">
        <f>IF(E239=0,"",COUNTIF($B$116:$B238,"&gt;0")+1)</f>
        <v/>
      </c>
      <c r="C239" s="37" t="s">
        <v>4944</v>
      </c>
      <c r="D239" s="29" t="s">
        <v>2433</v>
      </c>
      <c r="E239" s="29">
        <f>chitiet!D1954</f>
        <v>0</v>
      </c>
      <c r="F239" s="4"/>
      <c r="G239" s="7">
        <f t="shared" si="9"/>
        <v>0</v>
      </c>
      <c r="H239" s="4"/>
      <c r="I239" s="4"/>
      <c r="J239" s="4"/>
    </row>
    <row r="240" spans="1:10" s="1" customFormat="1" ht="17.25">
      <c r="A240" s="9" t="str">
        <f>chitiet!B1955</f>
        <v>BM16250</v>
      </c>
      <c r="B240" s="18" t="str">
        <f>IF(E240=0,"",COUNTIF($B$116:$B239,"&gt;0")+1)</f>
        <v/>
      </c>
      <c r="C240" s="37" t="s">
        <v>4960</v>
      </c>
      <c r="D240" s="29" t="s">
        <v>2433</v>
      </c>
      <c r="E240" s="29">
        <f>chitiet!D1955</f>
        <v>0</v>
      </c>
      <c r="F240" s="4"/>
      <c r="G240" s="7">
        <f t="shared" si="9"/>
        <v>0</v>
      </c>
      <c r="H240" s="4"/>
      <c r="I240" s="4"/>
      <c r="J240" s="4"/>
    </row>
    <row r="241" spans="1:10" s="1" customFormat="1" ht="17.25">
      <c r="A241" s="9" t="str">
        <f>chitiet!B1957</f>
        <v>R2</v>
      </c>
      <c r="B241" s="18" t="str">
        <f>IF(E241=0,"",COUNTIF($B$116:$B240,"&gt;0")+1)</f>
        <v/>
      </c>
      <c r="C241" s="37" t="s">
        <v>4961</v>
      </c>
      <c r="D241" s="29" t="s">
        <v>2433</v>
      </c>
      <c r="E241" s="29">
        <f>chitiet!D1957</f>
        <v>0</v>
      </c>
      <c r="F241" s="4"/>
      <c r="G241" s="7">
        <f t="shared" si="9"/>
        <v>0</v>
      </c>
      <c r="H241" s="4"/>
      <c r="I241" s="4"/>
      <c r="J241" s="4"/>
    </row>
    <row r="242" spans="1:10" ht="15">
      <c r="A242" s="100" t="str">
        <f>chitiet!B1958</f>
        <v>R3</v>
      </c>
      <c r="B242" s="94" t="str">
        <f>IF(E242=0,"",COUNTIF($B$116:$B241,"&gt;0")+1)</f>
        <v/>
      </c>
      <c r="C242" s="105" t="s">
        <v>4962</v>
      </c>
      <c r="D242" s="106" t="s">
        <v>2433</v>
      </c>
      <c r="E242" s="106">
        <f>chitiet!D1958</f>
        <v>0</v>
      </c>
      <c r="F242" s="85"/>
      <c r="G242" s="93">
        <f>IF(E242&lt;&gt;0,1,0)</f>
        <v>0</v>
      </c>
      <c r="H242" s="85"/>
      <c r="I242" s="85"/>
      <c r="J242" s="85"/>
    </row>
    <row r="243" spans="1:10" s="1" customFormat="1" ht="17.25">
      <c r="A243" s="9" t="str">
        <f>chitiet!B1959</f>
        <v>R4</v>
      </c>
      <c r="B243" s="18" t="str">
        <f>IF(E243=0,"",COUNTIF($B$116:$B241,"&gt;0")+1)</f>
        <v/>
      </c>
      <c r="C243" s="37" t="s">
        <v>4963</v>
      </c>
      <c r="D243" s="29" t="s">
        <v>2433</v>
      </c>
      <c r="E243" s="29">
        <f>chitiet!D1959</f>
        <v>0</v>
      </c>
      <c r="F243" s="4"/>
      <c r="G243" s="7">
        <f>IF(E243&lt;&gt;0,1,0)</f>
        <v>0</v>
      </c>
      <c r="H243" s="4"/>
      <c r="I243" s="4"/>
      <c r="J243" s="4"/>
    </row>
    <row r="244" spans="1:10" s="1" customFormat="1" ht="17.25">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7.25">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7.25">
      <c r="A246" s="9" t="str">
        <f>chitiet!B1961</f>
        <v>batlA</v>
      </c>
      <c r="B246" s="18" t="str">
        <f>IF(E246=0,"",COUNTIF($B$116:$B242,"&gt;0")+1)</f>
        <v/>
      </c>
      <c r="C246" s="37" t="e">
        <v>#N/A</v>
      </c>
      <c r="D246" s="29" t="e">
        <v>#N/A</v>
      </c>
      <c r="E246" s="43">
        <f>chitiet!D1961</f>
        <v>0</v>
      </c>
      <c r="F246" s="4"/>
      <c r="G246" s="7">
        <f>IF(E246&lt;&gt;0,1,0)</f>
        <v>0</v>
      </c>
      <c r="H246" s="4"/>
      <c r="I246" s="4"/>
      <c r="J246" s="4"/>
    </row>
    <row r="247" spans="1:10" ht="15">
      <c r="A247" s="100" t="str">
        <f>chitiet!B1962</f>
        <v>DAYA70</v>
      </c>
      <c r="B247" s="94"/>
      <c r="C247" s="105" t="e">
        <v>#N/A</v>
      </c>
      <c r="D247" s="106" t="e">
        <v>#N/A</v>
      </c>
      <c r="E247" s="762">
        <f>chitiet!D1962</f>
        <v>0</v>
      </c>
      <c r="F247" s="85"/>
      <c r="G247" s="93">
        <f t="shared" si="7"/>
        <v>0</v>
      </c>
      <c r="H247" s="85"/>
      <c r="I247" s="85"/>
      <c r="J247" s="85"/>
    </row>
    <row r="248" spans="1:10" s="1" customFormat="1" ht="17.25">
      <c r="A248" s="9" t="str">
        <f>chitiet!B1966</f>
        <v>bnh</v>
      </c>
      <c r="B248" s="18" t="str">
        <f>IF(E248=0,"",COUNTIF($B$116:$B247,"&gt;0")+1)</f>
        <v/>
      </c>
      <c r="C248" s="37" t="s">
        <v>4964</v>
      </c>
      <c r="D248" s="29" t="s">
        <v>2243</v>
      </c>
      <c r="E248" s="29">
        <f>chitiet!D1966</f>
        <v>0</v>
      </c>
      <c r="F248" s="4"/>
      <c r="G248" s="7">
        <f>IF(E248&lt;&gt;0,1,0)</f>
        <v>0</v>
      </c>
      <c r="H248" s="4"/>
      <c r="I248" s="4"/>
      <c r="J248" s="4"/>
    </row>
    <row r="249" spans="1:10" s="1" customFormat="1" ht="18.75">
      <c r="A249" s="12" t="s">
        <v>1891</v>
      </c>
      <c r="B249" s="15" t="s">
        <v>1892</v>
      </c>
      <c r="C249" s="77" t="s">
        <v>4053</v>
      </c>
      <c r="D249" s="78" t="s">
        <v>2295</v>
      </c>
      <c r="E249" s="29"/>
      <c r="F249" s="4"/>
      <c r="G249" s="7"/>
      <c r="H249" s="4"/>
      <c r="I249" s="4"/>
      <c r="J249" s="4"/>
    </row>
    <row r="250" spans="1:10" s="1" customFormat="1" ht="17.25">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7.25">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7.25">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7.25">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7.25">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7.25">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7.25">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8.75">
      <c r="A257" s="12" t="s">
        <v>1891</v>
      </c>
      <c r="B257" s="15" t="s">
        <v>1892</v>
      </c>
      <c r="C257" s="77" t="s">
        <v>2296</v>
      </c>
      <c r="D257" s="78" t="s">
        <v>2295</v>
      </c>
      <c r="E257" s="29"/>
      <c r="F257" s="4"/>
      <c r="G257" s="7">
        <f>IF(E257&lt;&gt;0,1,0)</f>
        <v>0</v>
      </c>
      <c r="H257" s="4"/>
      <c r="I257" s="4"/>
      <c r="J257" s="4"/>
    </row>
    <row r="258" spans="1:10" s="1" customFormat="1" ht="17.25">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7.25">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7.25">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7.25">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7.25">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7.25">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7.25">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7.25">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7.25">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7.25">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7.25">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7.25">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7.25">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7.25">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7.25">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7.25">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7.25">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8.75">
      <c r="A275" s="13">
        <f>chitiet!A2350</f>
        <v>125</v>
      </c>
      <c r="B275" s="15" t="s">
        <v>1659</v>
      </c>
      <c r="C275" s="77" t="s">
        <v>2562</v>
      </c>
      <c r="D275" s="78" t="s">
        <v>2295</v>
      </c>
      <c r="E275" s="29"/>
      <c r="F275" s="4"/>
      <c r="G275" s="7"/>
      <c r="H275" s="4"/>
      <c r="I275" s="4"/>
      <c r="J275" s="4"/>
    </row>
    <row r="276" spans="1:10" s="1" customFormat="1" ht="17.25">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7.25">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7.25">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7.25">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7.25">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7.25">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7.25">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7.25">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7.25">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7.25">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7.25">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7.25">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7.25">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7.25">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7.25">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7.25">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7.25">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7.25">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7.25">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7.25">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7.25">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7.25">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7.25">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7.25">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4054</v>
      </c>
      <c r="D301" s="47"/>
      <c r="E301" s="48"/>
      <c r="F301" s="4"/>
      <c r="G301" s="4"/>
      <c r="H301" s="4"/>
      <c r="I301" s="4"/>
      <c r="J301" s="4"/>
    </row>
    <row r="302" spans="1:10" s="1" customFormat="1" ht="17.25">
      <c r="A302" s="9" t="str">
        <f>chitiet!B1995</f>
        <v>X-20ĐL2/3-L</v>
      </c>
      <c r="B302" s="44" t="str">
        <f>IF(E302=0,"",COUNTIF($B$116:$B301,"&gt;0")+1)</f>
        <v/>
      </c>
      <c r="C302" s="755" t="s">
        <v>4055</v>
      </c>
      <c r="D302" s="45" t="s">
        <v>2547</v>
      </c>
      <c r="E302" s="45"/>
      <c r="F302" s="4"/>
      <c r="G302" s="7">
        <f>IF(E302&lt;&gt;0,1,0)</f>
        <v>0</v>
      </c>
      <c r="H302" s="4"/>
      <c r="I302" s="4"/>
      <c r="J302" s="4"/>
    </row>
    <row r="303" spans="1:10" s="1" customFormat="1" ht="17.25">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7.25">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4058</v>
      </c>
      <c r="D311" s="50"/>
      <c r="E311" s="50"/>
      <c r="F311" s="4"/>
      <c r="G311" s="7">
        <f>IF(E311&lt;&gt;0,1,0)</f>
        <v>0</v>
      </c>
      <c r="H311" s="4"/>
      <c r="I311" s="4"/>
      <c r="J311" s="4"/>
    </row>
    <row r="312" spans="1:10" s="1" customFormat="1" ht="17.25">
      <c r="A312" s="9"/>
      <c r="B312" s="44" t="str">
        <f>IF(E312=0,"",COUNTIF($B$116:$B311,"&gt;0")+1)</f>
        <v/>
      </c>
      <c r="C312" s="755" t="s">
        <v>4059</v>
      </c>
      <c r="D312" s="757" t="s">
        <v>2379</v>
      </c>
      <c r="E312" s="45"/>
      <c r="F312" s="4"/>
      <c r="G312" s="7">
        <f>IF(E312&lt;&gt;0,1,0)</f>
        <v>0</v>
      </c>
      <c r="H312" s="4"/>
      <c r="I312" s="4"/>
      <c r="J312" s="4"/>
    </row>
    <row r="313" spans="1:10" s="1" customFormat="1" ht="17.25">
      <c r="A313" s="4"/>
      <c r="B313" s="14"/>
      <c r="C313" s="128" t="s">
        <v>4060</v>
      </c>
      <c r="D313" s="758" t="s">
        <v>2433</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4061</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90" t="s">
        <v>499</v>
      </c>
      <c r="C10" s="76" t="s">
        <v>2282</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935</v>
      </c>
      <c r="C39" s="77" t="s">
        <v>2283</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1611</v>
      </c>
      <c r="C46" s="77" t="s">
        <v>2284</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1973</v>
      </c>
      <c r="B77" s="98" t="s">
        <v>1903</v>
      </c>
      <c r="C77" s="77" t="s">
        <v>2294</v>
      </c>
      <c r="D77" s="78" t="s">
        <v>2295</v>
      </c>
      <c r="E77" s="99"/>
      <c r="F77" s="85"/>
      <c r="G77" s="93">
        <v>1</v>
      </c>
      <c r="H77" s="85"/>
      <c r="I77" s="85"/>
      <c r="J77" s="85"/>
    </row>
    <row r="78" spans="1:10" s="1" customFormat="1" ht="17.25"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5">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5">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5">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5">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5">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7.25"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7.25"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7.25"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7.25"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5">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5">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5">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5">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5">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7.25"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7.25"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7.25"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5">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5">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5">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5">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5">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5">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5">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5">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7.25"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7.25"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7.25"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7.25"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7.25"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7.25"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5">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5">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5">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5">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5">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5">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5">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5">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7.25"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5">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7.25"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7.25"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7.25"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7.25"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7.25"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5">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7.25"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7.25"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7.25"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5">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7.25"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7.25"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7.25"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7.25"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7.25"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7.25"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7.25"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7.25"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7.25"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7.25"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7.25"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7.25"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7.25"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7.25"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7.25"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5">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7.25"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5">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5">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5">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7.25"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5">
      <c r="A151" s="768" t="s">
        <v>1894</v>
      </c>
      <c r="B151" s="98" t="s">
        <v>1895</v>
      </c>
      <c r="C151" s="77" t="s">
        <v>2296</v>
      </c>
      <c r="D151" s="78" t="s">
        <v>2295</v>
      </c>
      <c r="E151" s="99"/>
      <c r="F151" s="85"/>
      <c r="G151" s="93">
        <v>1</v>
      </c>
      <c r="H151" s="85"/>
      <c r="I151" s="85"/>
      <c r="J151" s="85"/>
    </row>
    <row r="152" spans="1:10" ht="15">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5">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5">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5">
      <c r="A155" s="89"/>
      <c r="B155" s="127" t="s">
        <v>887</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35" customWidth="1"/>
    <col min="2" max="2" width="14.77734375" style="2035" customWidth="1"/>
    <col min="3" max="3" width="3.77734375" style="2035" customWidth="1"/>
    <col min="4" max="4" width="10.21875" style="2035" customWidth="1"/>
    <col min="5" max="5" width="43.44140625" style="2036" customWidth="1"/>
    <col min="6" max="6" width="8.6640625" style="2035" customWidth="1"/>
    <col min="7" max="7" width="8.109375" style="2039" customWidth="1"/>
    <col min="8" max="8" width="11.5546875" style="2035" customWidth="1" outlineLevel="1"/>
    <col min="9" max="9" width="9.21875" style="2035" customWidth="1" outlineLevel="1"/>
    <col min="10" max="10" width="11.109375" style="2035" customWidth="1" outlineLevel="1"/>
    <col min="11" max="11" width="9.88671875" style="2035" customWidth="1" outlineLevel="1"/>
    <col min="12" max="12" width="11.5546875" style="2035" customWidth="1" outlineLevel="1"/>
    <col min="13" max="13" width="8.21875" style="2035" customWidth="1" outlineLevel="1"/>
    <col min="14" max="14" width="10.88671875" style="2035" customWidth="1" outlineLevel="1"/>
    <col min="15" max="15" width="9" style="2035" customWidth="1" outlineLevel="1"/>
    <col min="16" max="16" width="11.5546875" style="2045" customWidth="1"/>
    <col min="17" max="17" width="10.6640625" style="2035" customWidth="1"/>
    <col min="18" max="18" width="10.21875" style="2035" hidden="1" customWidth="1"/>
    <col min="19" max="20" width="8.5546875" style="2035" customWidth="1"/>
    <col min="21" max="21" width="12.21875" style="2035" customWidth="1"/>
    <col min="22" max="23" width="8.5546875" style="2035" customWidth="1"/>
    <col min="24" max="24" width="9.77734375" style="2035" customWidth="1"/>
    <col min="25" max="25" width="11.77734375" style="2035" customWidth="1"/>
    <col min="26" max="26" width="7.44140625" style="2035"/>
    <col min="27" max="27" width="10.6640625" style="2035" customWidth="1"/>
    <col min="28" max="16384" width="7.44140625" style="2035"/>
  </cols>
  <sheetData>
    <row r="1" spans="3:16" outlineLevel="1">
      <c r="G1" s="2035"/>
      <c r="P1" s="2035"/>
    </row>
    <row r="2" spans="3:16" outlineLevel="1">
      <c r="E2" s="2517" t="s">
        <v>4349</v>
      </c>
      <c r="F2" s="2518" t="s">
        <v>6207</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6208</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6013</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6014</v>
      </c>
      <c r="K23" s="2529">
        <v>0</v>
      </c>
      <c r="L23" s="2532">
        <f>+K23*180</f>
        <v>0</v>
      </c>
      <c r="M23" s="2552"/>
      <c r="N23" s="2049"/>
      <c r="O23" s="2049"/>
      <c r="P23" s="2035"/>
    </row>
    <row r="24" spans="1:26" ht="13.9" hidden="1" customHeight="1">
      <c r="A24" s="2035" t="s">
        <v>510</v>
      </c>
      <c r="F24" s="2041"/>
      <c r="G24" s="2042"/>
      <c r="H24" s="2043"/>
      <c r="I24" s="2037">
        <f>+SUM(I6:I23)</f>
        <v>0</v>
      </c>
      <c r="J24" s="2044"/>
      <c r="K24" s="2043"/>
      <c r="L24" s="2037">
        <f>+SUM(L6:L23)</f>
        <v>750</v>
      </c>
      <c r="M24" s="2040"/>
    </row>
    <row r="25" spans="1:26" ht="13.9" hidden="1" customHeight="1">
      <c r="F25" s="2041"/>
      <c r="G25" s="2042"/>
      <c r="H25" s="2043"/>
      <c r="I25" s="2046"/>
      <c r="J25" s="2044"/>
      <c r="K25" s="2043"/>
      <c r="L25" s="2046"/>
      <c r="M25" s="2040"/>
    </row>
    <row r="26" spans="1:26" s="2047" customFormat="1" ht="16.899999999999999" hidden="1" customHeight="1">
      <c r="A26" s="2047" t="s">
        <v>1012</v>
      </c>
      <c r="C26" s="2554" t="s">
        <v>6310</v>
      </c>
      <c r="D26" s="2555"/>
      <c r="E26" s="2555"/>
      <c r="F26" s="2555"/>
      <c r="G26" s="2556"/>
      <c r="H26" s="2555"/>
      <c r="I26" s="2555"/>
      <c r="J26" s="2555"/>
      <c r="K26" s="2555"/>
      <c r="L26" s="2555"/>
      <c r="M26" s="2555"/>
      <c r="N26" s="2555"/>
      <c r="O26" s="2555"/>
      <c r="P26" s="2557"/>
      <c r="R26" s="2048"/>
    </row>
    <row r="27" spans="1:26" s="2049" customFormat="1" ht="16.899999999999999" customHeight="1">
      <c r="C27" s="2554" t="s">
        <v>6015</v>
      </c>
      <c r="D27" s="2088"/>
      <c r="E27" s="2088"/>
      <c r="F27" s="2088"/>
      <c r="G27" s="2088"/>
      <c r="H27" s="2088"/>
      <c r="I27" s="2088"/>
      <c r="J27" s="2088"/>
      <c r="K27" s="2088"/>
      <c r="L27" s="2088"/>
      <c r="M27" s="2088"/>
      <c r="N27" s="2093"/>
      <c r="O27" s="2093"/>
      <c r="P27" s="2558"/>
      <c r="R27" s="2035"/>
    </row>
    <row r="28" spans="1:26" ht="13.9"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ht="18.75"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ht="18.75"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ht="15" outlineLevel="1">
      <c r="A31" s="2052" t="str">
        <f>A29</f>
        <v xml:space="preserve"> </v>
      </c>
      <c r="B31" s="2052" t="s">
        <v>6016</v>
      </c>
      <c r="C31" s="2592" t="s">
        <v>1704</v>
      </c>
      <c r="D31" s="2593" t="s">
        <v>2589</v>
      </c>
      <c r="E31" s="2595" t="s">
        <v>2590</v>
      </c>
      <c r="F31" s="2592" t="s">
        <v>2585</v>
      </c>
      <c r="G31" s="2053" t="s">
        <v>6017</v>
      </c>
      <c r="H31" s="2056" t="s">
        <v>6018</v>
      </c>
      <c r="I31" s="2563"/>
      <c r="J31" s="2563"/>
      <c r="K31" s="2564"/>
      <c r="L31" s="2056" t="s">
        <v>6019</v>
      </c>
      <c r="M31" s="2563"/>
      <c r="N31" s="2563"/>
      <c r="O31" s="2564"/>
      <c r="P31" s="2592" t="s">
        <v>2591</v>
      </c>
      <c r="Q31" s="2054"/>
      <c r="R31" s="2054"/>
      <c r="S31" s="2054"/>
      <c r="T31" s="2054"/>
      <c r="U31" s="2054"/>
      <c r="V31" s="2054"/>
      <c r="W31" s="2054"/>
      <c r="X31" s="2054"/>
      <c r="Y31" s="2054"/>
      <c r="Z31" s="2054"/>
    </row>
    <row r="32" spans="1:26" s="2049" customFormat="1" ht="15" outlineLevel="1">
      <c r="A32" s="2052" t="str">
        <f>A31</f>
        <v xml:space="preserve"> </v>
      </c>
      <c r="B32" s="2052"/>
      <c r="C32" s="2592"/>
      <c r="D32" s="2594"/>
      <c r="E32" s="2596"/>
      <c r="F32" s="2592"/>
      <c r="G32" s="2055" t="s">
        <v>2280</v>
      </c>
      <c r="H32" s="2056" t="s">
        <v>6020</v>
      </c>
      <c r="I32" s="2056" t="s">
        <v>6021</v>
      </c>
      <c r="J32" s="2056" t="s">
        <v>6022</v>
      </c>
      <c r="K32" s="2056" t="s">
        <v>6023</v>
      </c>
      <c r="L32" s="2056" t="s">
        <v>6020</v>
      </c>
      <c r="M32" s="2056" t="s">
        <v>6021</v>
      </c>
      <c r="N32" s="2056" t="s">
        <v>6022</v>
      </c>
      <c r="O32" s="2056" t="s">
        <v>6023</v>
      </c>
      <c r="P32" s="2592"/>
      <c r="Q32" s="2054"/>
      <c r="R32" s="2054"/>
      <c r="S32" s="2054"/>
      <c r="T32" s="2054"/>
      <c r="U32" s="2054"/>
      <c r="V32" s="2054"/>
      <c r="W32" s="2054"/>
      <c r="X32" s="2054"/>
      <c r="Y32" s="2054"/>
      <c r="Z32" s="2054"/>
    </row>
    <row r="33" spans="1:27" s="2049" customFormat="1" ht="15"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ht="15" outlineLevel="1">
      <c r="A34" s="2052" t="str">
        <f t="shared" ref="A34:A65" si="0">VLOOKUP(B34,DonGia,3,0)</f>
        <v>Máy biến áp 12,7/0,22-0,44kV  15kVA</v>
      </c>
      <c r="B34" s="2062" t="str">
        <f>IF($F$8=22,"TR151","TR15")</f>
        <v>TR151</v>
      </c>
      <c r="C34" s="2063">
        <f>IF(G34&gt;0,1,0)</f>
        <v>0</v>
      </c>
      <c r="D34" s="2064" t="s">
        <v>5498</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ht="15" outlineLevel="1">
      <c r="A35" s="2052" t="str">
        <f t="shared" si="0"/>
        <v>FCO 24kV - 100A</v>
      </c>
      <c r="B35" s="2062" t="str">
        <f>"FCO100-"&amp;$F$8</f>
        <v>FCO100-22</v>
      </c>
      <c r="C35" s="2063">
        <f t="shared" ref="C35:C41" si="5">IF(G35&gt;0,C34+1,C34)</f>
        <v>0</v>
      </c>
      <c r="D35" s="2064" t="s">
        <v>5513</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ht="15"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ht="15" outlineLevel="1">
      <c r="A37" s="2052" t="str">
        <f t="shared" si="0"/>
        <v>Chống sét van LA-18KV-10KA</v>
      </c>
      <c r="B37" s="2074" t="str">
        <f>"LA"&amp;F6</f>
        <v>LA18</v>
      </c>
      <c r="C37" s="2063">
        <f t="shared" si="5"/>
        <v>0</v>
      </c>
      <c r="D37" s="2064" t="s">
        <v>5517</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ht="15" outlineLevel="1">
      <c r="A38" s="2052" t="str">
        <f t="shared" si="0"/>
        <v>MCCB 3 cực 400V-75A - 10KA</v>
      </c>
      <c r="B38" s="2076" t="s">
        <v>81</v>
      </c>
      <c r="C38" s="2063">
        <f t="shared" si="5"/>
        <v>0</v>
      </c>
      <c r="D38" s="2064">
        <v>0</v>
      </c>
      <c r="E38" s="2065" t="s">
        <v>5594</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ht="15"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6024</v>
      </c>
      <c r="R39" s="2075"/>
    </row>
    <row r="40" spans="1:27" s="2049" customFormat="1" ht="15"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6024</v>
      </c>
      <c r="R40" s="2075"/>
    </row>
    <row r="41" spans="1:27" s="2049" customFormat="1" ht="15"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6024</v>
      </c>
      <c r="R41" s="2075"/>
    </row>
    <row r="42" spans="1:27" s="2049" customFormat="1" ht="15" outlineLevel="1">
      <c r="A42" s="2052" t="e">
        <f t="shared" si="0"/>
        <v>#N/A</v>
      </c>
      <c r="B42" s="2052"/>
      <c r="C42" s="2079"/>
      <c r="D42" s="2080"/>
      <c r="E42" s="2565"/>
      <c r="F42" s="2079"/>
      <c r="G42" s="2079"/>
      <c r="H42" s="2079"/>
      <c r="I42" s="2079"/>
      <c r="J42" s="2061" t="s">
        <v>6025</v>
      </c>
      <c r="K42" s="2079"/>
      <c r="L42" s="2061">
        <f>SUM(L34:L41)</f>
        <v>0</v>
      </c>
      <c r="M42" s="2061">
        <f>SUM(M34:M41)</f>
        <v>0</v>
      </c>
      <c r="N42" s="2061">
        <f>SUM(N34:N41)</f>
        <v>0</v>
      </c>
      <c r="O42" s="2061">
        <f>SUM(O34:O41)</f>
        <v>0</v>
      </c>
      <c r="P42" s="2079"/>
      <c r="R42" s="2075"/>
    </row>
    <row r="43" spans="1:27" s="2049" customFormat="1" ht="15"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ht="15"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ht="15" outlineLevel="1">
      <c r="A45" s="2052" t="e">
        <f t="shared" si="0"/>
        <v>#N/A</v>
      </c>
      <c r="B45" s="2074"/>
      <c r="C45" s="2089">
        <f>IF(G45&gt;0,C44+1,C44)</f>
        <v>0</v>
      </c>
      <c r="D45" s="2090"/>
      <c r="E45" s="2091" t="s">
        <v>6026</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5"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ht="15"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ht="15"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ht="15"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ht="15" outlineLevel="1">
      <c r="A50" s="2052" t="e">
        <f t="shared" si="0"/>
        <v>#N/A</v>
      </c>
      <c r="B50" s="2074"/>
      <c r="C50" s="2089">
        <f>IF(G50&gt;0,C45+1,C45)</f>
        <v>0</v>
      </c>
      <c r="D50" s="2090"/>
      <c r="E50" s="2091" t="s">
        <v>6027</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5"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ht="15" outlineLevel="1">
      <c r="A52" s="2052" t="str">
        <f t="shared" si="0"/>
        <v>Đà cản BTCT 1,2m</v>
      </c>
      <c r="B52" s="2077" t="s">
        <v>633</v>
      </c>
      <c r="C52" s="2071"/>
      <c r="D52" s="2064" t="s">
        <v>4965</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ht="15" outlineLevel="1">
      <c r="A53" s="2052" t="str">
        <f t="shared" si="0"/>
        <v>Boulon 22x650+ 2 long đền vuông D24-50x50x3/Zn</v>
      </c>
      <c r="B53" s="2077" t="s">
        <v>564</v>
      </c>
      <c r="C53" s="2071"/>
      <c r="D53" s="2064">
        <v>0</v>
      </c>
      <c r="E53" s="2065" t="s">
        <v>4990</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ht="15" outlineLevel="1">
      <c r="A54" s="2052" t="str">
        <f t="shared" si="0"/>
        <v>Đào hố móng đất cấp 3 sâu &gt;1m</v>
      </c>
      <c r="B54" s="2077" t="s">
        <v>636</v>
      </c>
      <c r="C54" s="2071"/>
      <c r="D54" s="2064" t="s">
        <v>1742</v>
      </c>
      <c r="E54" s="2065" t="s">
        <v>5241</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ht="15" outlineLevel="1">
      <c r="A55" s="2052" t="str">
        <f t="shared" si="0"/>
        <v>Đắp đất hố móng, độ chặt k=0,95</v>
      </c>
      <c r="B55" s="2077" t="s">
        <v>21</v>
      </c>
      <c r="C55" s="2071"/>
      <c r="D55" s="2064" t="s">
        <v>5242</v>
      </c>
      <c r="E55" s="2065" t="s">
        <v>5243</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ht="15" outlineLevel="1">
      <c r="A56" s="2052" t="e">
        <f t="shared" si="0"/>
        <v>#N/A</v>
      </c>
      <c r="B56" s="2074"/>
      <c r="C56" s="2089">
        <f>IF(G56&gt;0,C50+1,C50)</f>
        <v>0</v>
      </c>
      <c r="D56" s="2090"/>
      <c r="E56" s="2091" t="s">
        <v>6028</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5"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ht="15" outlineLevel="1">
      <c r="A58" s="2052" t="str">
        <f t="shared" si="0"/>
        <v>Đà Composite 110x80x5x800</v>
      </c>
      <c r="B58" s="2077" t="s">
        <v>5075</v>
      </c>
      <c r="C58" s="2071"/>
      <c r="D58" s="2064">
        <v>0</v>
      </c>
      <c r="E58" s="2065" t="s">
        <v>4784</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ht="15" outlineLevel="1">
      <c r="A59" s="2052" t="str">
        <f t="shared" si="0"/>
        <v>Chống Composite 40x10x710</v>
      </c>
      <c r="B59" s="2077" t="s">
        <v>5079</v>
      </c>
      <c r="C59" s="2071"/>
      <c r="D59" s="2094"/>
      <c r="E59" s="2065" t="s">
        <v>5080</v>
      </c>
      <c r="F59" s="2064" t="s">
        <v>5078</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ht="15" outlineLevel="1">
      <c r="A60" s="2052" t="str">
        <f t="shared" si="0"/>
        <v>Bass LL bắt FCO, LA</v>
      </c>
      <c r="B60" s="2077" t="s">
        <v>2265</v>
      </c>
      <c r="C60" s="2071"/>
      <c r="D60" s="2094"/>
      <c r="E60" s="2065" t="s">
        <v>4996</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ht="15" outlineLevel="1">
      <c r="A61" s="2052" t="str">
        <f t="shared" si="0"/>
        <v>Nắp che đầu cực FCO</v>
      </c>
      <c r="B61" s="2074" t="s">
        <v>6029</v>
      </c>
      <c r="C61" s="2071"/>
      <c r="D61" s="2094"/>
      <c r="E61" s="2065" t="s">
        <v>5615</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ht="15" outlineLevel="1">
      <c r="A62" s="2052" t="str">
        <f t="shared" si="0"/>
        <v>Nắp che đầu cực LA</v>
      </c>
      <c r="B62" s="2074" t="s">
        <v>6030</v>
      </c>
      <c r="C62" s="2071"/>
      <c r="D62" s="2094"/>
      <c r="E62" s="2065" t="s">
        <v>5621</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ht="15"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ht="15"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ht="15" outlineLevel="1">
      <c r="A65" s="2052" t="str">
        <f t="shared" si="0"/>
        <v>Lắp xà đỡ ≤ 25kg</v>
      </c>
      <c r="B65" s="2077" t="s">
        <v>1990</v>
      </c>
      <c r="C65" s="2071"/>
      <c r="D65" s="2064" t="s">
        <v>5295</v>
      </c>
      <c r="E65" s="2065" t="s">
        <v>5296</v>
      </c>
      <c r="F65" s="2064" t="s">
        <v>2433</v>
      </c>
      <c r="G65" s="2071">
        <f>G56</f>
        <v>0</v>
      </c>
      <c r="H65" s="2067">
        <v>0</v>
      </c>
      <c r="I65" s="2072"/>
      <c r="J65" s="2097" t="s">
        <v>6210</v>
      </c>
      <c r="K65" s="2067">
        <v>0</v>
      </c>
      <c r="L65" s="2073">
        <f t="shared" si="6"/>
        <v>0</v>
      </c>
      <c r="M65" s="2073">
        <f t="shared" si="7"/>
        <v>0</v>
      </c>
      <c r="N65" s="2098">
        <v>0</v>
      </c>
      <c r="O65" s="2072">
        <f t="shared" si="8"/>
        <v>0</v>
      </c>
      <c r="P65" s="2099"/>
    </row>
    <row r="66" spans="1:16" s="2049" customFormat="1" ht="15" outlineLevel="1">
      <c r="A66" s="2052" t="e">
        <f t="shared" ref="A66:A97" si="10">VLOOKUP(B66,DonGia,3,0)</f>
        <v>#N/A</v>
      </c>
      <c r="B66" s="2074"/>
      <c r="C66" s="2089">
        <f>IF(G66&gt;0,C56+1,C56)</f>
        <v>0</v>
      </c>
      <c r="D66" s="2090"/>
      <c r="E66" s="2091" t="s">
        <v>6031</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5"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ht="15" outlineLevel="1">
      <c r="A68" s="2052" t="str">
        <f t="shared" si="10"/>
        <v>Cáp đồng trần M25mm2</v>
      </c>
      <c r="B68" s="2074" t="s">
        <v>1029</v>
      </c>
      <c r="C68" s="2071"/>
      <c r="D68" s="2064">
        <v>0</v>
      </c>
      <c r="E68" s="2065" t="s">
        <v>6211</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ht="15" outlineLevel="1">
      <c r="A69" s="2052" t="str">
        <f t="shared" si="10"/>
        <v>Cọc tiếp đất Þ 16- 2,4m + kẹp cọc mạ đồng</v>
      </c>
      <c r="B69" s="2077" t="s">
        <v>1504</v>
      </c>
      <c r="C69" s="2071"/>
      <c r="D69" s="2064">
        <v>0</v>
      </c>
      <c r="E69" s="2065" t="s">
        <v>5081</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ht="15"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ht="15"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ht="15"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ht="15" outlineLevel="1">
      <c r="A73" s="2052" t="str">
        <f t="shared" si="10"/>
        <v>Cổ dê kẹp ống PVC  21</v>
      </c>
      <c r="B73" s="2077" t="s">
        <v>523</v>
      </c>
      <c r="C73" s="2071"/>
      <c r="D73" s="2064">
        <v>0</v>
      </c>
      <c r="E73" s="2065" t="s">
        <v>6212</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ht="15" outlineLevel="1">
      <c r="A74" s="2052" t="str">
        <f t="shared" si="10"/>
        <v>Cổ dê kẹp ống PVC  21</v>
      </c>
      <c r="B74" s="2077" t="s">
        <v>523</v>
      </c>
      <c r="C74" s="2071"/>
      <c r="D74" s="2064">
        <v>0</v>
      </c>
      <c r="E74" s="2065" t="s">
        <v>6213</v>
      </c>
      <c r="F74" s="2064" t="s">
        <v>2433</v>
      </c>
      <c r="G74" s="2101">
        <f>G66*0.452</f>
        <v>0</v>
      </c>
      <c r="H74" s="2067">
        <v>43000</v>
      </c>
      <c r="I74" s="2072"/>
      <c r="J74" s="2067"/>
      <c r="K74" s="2067">
        <v>0</v>
      </c>
      <c r="L74" s="2073">
        <f t="shared" si="6"/>
        <v>0</v>
      </c>
      <c r="M74" s="2073"/>
      <c r="N74" s="2067">
        <v>0</v>
      </c>
      <c r="O74" s="2072">
        <f t="shared" si="8"/>
        <v>0</v>
      </c>
      <c r="P74" s="2099"/>
    </row>
    <row r="75" spans="1:16" s="2049" customFormat="1" ht="15" outlineLevel="1">
      <c r="A75" s="2052" t="str">
        <f t="shared" si="10"/>
        <v>Cổ dê kẹp ống PVC  21</v>
      </c>
      <c r="B75" s="2077" t="s">
        <v>523</v>
      </c>
      <c r="C75" s="2071"/>
      <c r="D75" s="2064">
        <v>0</v>
      </c>
      <c r="E75" s="2065" t="s">
        <v>6214</v>
      </c>
      <c r="F75" s="2064" t="s">
        <v>2433</v>
      </c>
      <c r="G75" s="2101">
        <f>G66*0.501</f>
        <v>0</v>
      </c>
      <c r="H75" s="2067">
        <v>43000</v>
      </c>
      <c r="I75" s="2072"/>
      <c r="J75" s="2067"/>
      <c r="K75" s="2067">
        <v>0</v>
      </c>
      <c r="L75" s="2073">
        <f t="shared" si="6"/>
        <v>0</v>
      </c>
      <c r="M75" s="2073"/>
      <c r="N75" s="2067">
        <v>0</v>
      </c>
      <c r="O75" s="2072">
        <f t="shared" si="8"/>
        <v>0</v>
      </c>
      <c r="P75" s="2099"/>
    </row>
    <row r="76" spans="1:16" s="2049" customFormat="1" ht="15" outlineLevel="1">
      <c r="A76" s="2052" t="str">
        <f t="shared" si="10"/>
        <v>Lắp cổ dê</v>
      </c>
      <c r="B76" s="2077" t="s">
        <v>1127</v>
      </c>
      <c r="C76" s="2071"/>
      <c r="D76" s="2064" t="s">
        <v>5190</v>
      </c>
      <c r="E76" s="2065" t="s">
        <v>6215</v>
      </c>
      <c r="F76" s="2064" t="s">
        <v>2547</v>
      </c>
      <c r="G76" s="2101">
        <f>G67*0.501</f>
        <v>0</v>
      </c>
      <c r="H76" s="2067"/>
      <c r="I76" s="2072"/>
      <c r="J76" s="2067">
        <v>77000</v>
      </c>
      <c r="K76" s="2067">
        <v>0</v>
      </c>
      <c r="L76" s="2073">
        <f t="shared" si="6"/>
        <v>0</v>
      </c>
      <c r="M76" s="2073"/>
      <c r="N76" s="2067">
        <v>0</v>
      </c>
      <c r="O76" s="2072">
        <f t="shared" si="8"/>
        <v>0</v>
      </c>
      <c r="P76" s="2099"/>
    </row>
    <row r="77" spans="1:16" s="2049" customFormat="1" ht="15"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ht="15" outlineLevel="1">
      <c r="A78" s="2052" t="str">
        <f t="shared" si="10"/>
        <v>Đóng cọc tiếp địa trong TBA</v>
      </c>
      <c r="B78" s="2077" t="s">
        <v>899</v>
      </c>
      <c r="C78" s="2071"/>
      <c r="D78" s="2064" t="s">
        <v>5268</v>
      </c>
      <c r="E78" s="2065" t="s">
        <v>5269</v>
      </c>
      <c r="F78" s="2064" t="s">
        <v>2272</v>
      </c>
      <c r="G78" s="2071">
        <f>G69</f>
        <v>0</v>
      </c>
      <c r="H78" s="2067"/>
      <c r="I78" s="2067"/>
      <c r="J78" s="2067" t="s">
        <v>6216</v>
      </c>
      <c r="K78" s="2067">
        <v>1573.075</v>
      </c>
      <c r="L78" s="2073">
        <f t="shared" si="6"/>
        <v>0</v>
      </c>
      <c r="M78" s="2073">
        <f>I78*G78</f>
        <v>0</v>
      </c>
      <c r="N78" s="2067">
        <v>0</v>
      </c>
      <c r="O78" s="2072">
        <f t="shared" si="8"/>
        <v>0</v>
      </c>
      <c r="P78" s="2071"/>
    </row>
    <row r="79" spans="1:16" s="2049" customFormat="1" ht="15" outlineLevel="1">
      <c r="A79" s="2052" t="str">
        <f t="shared" si="10"/>
        <v>Kéo dây tiếp địa trong TBA</v>
      </c>
      <c r="B79" s="2077" t="s">
        <v>2178</v>
      </c>
      <c r="C79" s="2071"/>
      <c r="D79" s="2064" t="s">
        <v>5263</v>
      </c>
      <c r="E79" s="2065" t="s">
        <v>5264</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ht="15" outlineLevel="1">
      <c r="A80" s="2052" t="str">
        <f t="shared" si="10"/>
        <v>Đào rãnh tiếp địa đất cấp 3</v>
      </c>
      <c r="B80" s="2074" t="s">
        <v>1051</v>
      </c>
      <c r="C80" s="2071"/>
      <c r="D80" s="2064" t="s">
        <v>5253</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ht="15" outlineLevel="1">
      <c r="A81" s="2052" t="str">
        <f t="shared" si="10"/>
        <v>Đắp đất rãnh tiếp độ chặt k=0,85</v>
      </c>
      <c r="B81" s="2077" t="s">
        <v>1052</v>
      </c>
      <c r="C81" s="2071"/>
      <c r="D81" s="2064" t="s">
        <v>5242</v>
      </c>
      <c r="E81" s="2065" t="s">
        <v>5254</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ht="15"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5"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ht="15" outlineLevel="1">
      <c r="A84" s="2052" t="str">
        <f t="shared" si="10"/>
        <v>Tủ CB trạm 1 pha + khóa + boulon</v>
      </c>
      <c r="B84" s="2077" t="s">
        <v>613</v>
      </c>
      <c r="C84" s="2071"/>
      <c r="D84" s="2064" t="s">
        <v>5570</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ht="15"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ht="15" outlineLevel="1">
      <c r="A86" s="2052" t="str">
        <f t="shared" si="10"/>
        <v xml:space="preserve">Bakelit 550x450 dầy 10mm </v>
      </c>
      <c r="B86" s="2074" t="s">
        <v>877</v>
      </c>
      <c r="C86" s="2071"/>
      <c r="D86" s="2094"/>
      <c r="E86" s="2065" t="s">
        <v>5713</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ht="15" outlineLevel="1">
      <c r="A87" s="2052" t="e">
        <f t="shared" si="10"/>
        <v>#N/A</v>
      </c>
      <c r="B87" s="2074"/>
      <c r="C87" s="2086">
        <f>IF(G87&gt;0,C82+1,C82)</f>
        <v>0</v>
      </c>
      <c r="D87" s="2090"/>
      <c r="E87" s="2091" t="s">
        <v>6032</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5"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ht="15" outlineLevel="1">
      <c r="A89" s="2052" t="str">
        <f t="shared" si="10"/>
        <v>Cáp 24KV C/XLPE/PVC 25mm2</v>
      </c>
      <c r="B89" s="2103" t="s">
        <v>694</v>
      </c>
      <c r="C89" s="2071"/>
      <c r="D89" s="2064">
        <v>0</v>
      </c>
      <c r="E89" s="2065" t="s">
        <v>5005</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ht="15"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ht="15"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ht="15" outlineLevel="1">
      <c r="A92" s="2052" t="str">
        <f t="shared" si="10"/>
        <v>Lắp cáp đồng xuống thiết bị D ≤ 95mm2</v>
      </c>
      <c r="B92" s="2062" t="s">
        <v>1521</v>
      </c>
      <c r="C92" s="2071"/>
      <c r="D92" s="2064" t="s">
        <v>5487</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ht="15" outlineLevel="1">
      <c r="A93" s="2052" t="e">
        <f t="shared" si="10"/>
        <v>#N/A</v>
      </c>
      <c r="B93" s="2074"/>
      <c r="C93" s="2086">
        <f>IF(G93&gt;0,C87+1,C87)</f>
        <v>0</v>
      </c>
      <c r="D93" s="2090"/>
      <c r="E93" s="2091" t="s">
        <v>6033</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5"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ht="15"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ht="15"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ht="15"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ht="15" outlineLevel="1">
      <c r="A98" s="2052" t="str">
        <f t="shared" ref="A98:A116" si="13">VLOOKUP(B98,DonGia,3,0)</f>
        <v>Đầu cosse ép Cu 50mm2</v>
      </c>
      <c r="B98" s="2074" t="str">
        <f>"Cos"&amp;RIGHT(B95,2)</f>
        <v>Cos50</v>
      </c>
      <c r="C98" s="2071"/>
      <c r="D98" s="2064" t="s">
        <v>5639</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ht="15" outlineLevel="1">
      <c r="A99" s="2052" t="str">
        <f t="shared" si="13"/>
        <v>Đầu cosse ép Cu 50mm2</v>
      </c>
      <c r="B99" s="2074" t="str">
        <f>"Cos"&amp;RIGHT(B96,2)</f>
        <v>Cos50</v>
      </c>
      <c r="C99" s="2071"/>
      <c r="D99" s="2064" t="s">
        <v>5639</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ht="15"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ht="15"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ht="15" outlineLevel="1">
      <c r="A102" s="2052" t="str">
        <f t="shared" si="13"/>
        <v>Nắp che đầu sứ MBA</v>
      </c>
      <c r="B102" s="2074" t="s">
        <v>6034</v>
      </c>
      <c r="C102" s="2071"/>
      <c r="D102" s="2064">
        <v>0</v>
      </c>
      <c r="E102" s="2065" t="s">
        <v>5623</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ht="15"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ht="15" outlineLevel="1">
      <c r="A104" s="2052" t="str">
        <f t="shared" si="13"/>
        <v>Cổ dê kẹp ống PVC Ø 90</v>
      </c>
      <c r="B104" s="2077" t="s">
        <v>275</v>
      </c>
      <c r="C104" s="2071"/>
      <c r="D104" s="2064">
        <v>0</v>
      </c>
      <c r="E104" s="2065" t="s">
        <v>5175</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ht="15" outlineLevel="1">
      <c r="A105" s="2052" t="str">
        <f t="shared" si="13"/>
        <v>Cổ dê kẹp ống PVC Ø 90</v>
      </c>
      <c r="B105" s="2077" t="s">
        <v>275</v>
      </c>
      <c r="C105" s="2071"/>
      <c r="D105" s="2064">
        <v>0</v>
      </c>
      <c r="E105" s="2065" t="s">
        <v>5175</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ht="15" outlineLevel="1">
      <c r="A106" s="2052" t="str">
        <f t="shared" si="13"/>
        <v>Cổ dê kẹp ống PVC Ø 90</v>
      </c>
      <c r="B106" s="2077" t="s">
        <v>275</v>
      </c>
      <c r="C106" s="2071"/>
      <c r="D106" s="2064">
        <v>0</v>
      </c>
      <c r="E106" s="2065" t="s">
        <v>5175</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ht="15" outlineLevel="1">
      <c r="A107" s="2052" t="str">
        <f t="shared" si="13"/>
        <v>Lắp cổ dê</v>
      </c>
      <c r="B107" s="2077" t="s">
        <v>1127</v>
      </c>
      <c r="C107" s="2071"/>
      <c r="D107" s="2064" t="s">
        <v>5190</v>
      </c>
      <c r="E107" s="2065" t="s">
        <v>5387</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ht="15"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ht="15" outlineLevel="1">
      <c r="A109" s="2052" t="str">
        <f t="shared" si="13"/>
        <v>Co  90 độ PVC 90</v>
      </c>
      <c r="B109" s="2074" t="s">
        <v>69</v>
      </c>
      <c r="C109" s="2071"/>
      <c r="D109" s="2064">
        <v>0</v>
      </c>
      <c r="E109" s="2065" t="s">
        <v>5711</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ht="15"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ht="15"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ht="15" outlineLevel="1">
      <c r="A112" s="2052" t="str">
        <f t="shared" si="13"/>
        <v>Keo silicon bít miệng ống</v>
      </c>
      <c r="B112" s="2074" t="s">
        <v>487</v>
      </c>
      <c r="C112" s="2071"/>
      <c r="D112" s="2064">
        <v>0</v>
      </c>
      <c r="E112" s="2065" t="s">
        <v>3552</v>
      </c>
      <c r="F112" s="2064" t="s">
        <v>5720</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ht="15" outlineLevel="1">
      <c r="A113" s="2052" t="str">
        <f t="shared" si="13"/>
        <v>Lắp ống nhựa PVC D90</v>
      </c>
      <c r="B113" s="2074" t="s">
        <v>2177</v>
      </c>
      <c r="C113" s="2071"/>
      <c r="D113" s="2064" t="s">
        <v>5464</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ht="15" outlineLevel="1">
      <c r="A114" s="2052" t="str">
        <f t="shared" si="13"/>
        <v>Lắp cáp đồng xuống thiết bị D ≤ 95mm2</v>
      </c>
      <c r="B114" s="2074" t="s">
        <v>1521</v>
      </c>
      <c r="C114" s="2071"/>
      <c r="D114" s="2064" t="s">
        <v>5487</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ht="15" outlineLevel="1">
      <c r="A115" s="2052" t="str">
        <f t="shared" si="13"/>
        <v>Bảng tên trạm, bảng báo nguy hiểm + đinh vít</v>
      </c>
      <c r="B115" s="2074" t="s">
        <v>288</v>
      </c>
      <c r="C115" s="2104">
        <f>IF(G115&gt;0,C93+1,C93)</f>
        <v>0</v>
      </c>
      <c r="D115" s="2105"/>
      <c r="E115" s="2065" t="s">
        <v>5627</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ht="15" outlineLevel="1">
      <c r="A116" s="2052" t="e">
        <f t="shared" si="13"/>
        <v>#N/A</v>
      </c>
      <c r="B116" s="2074"/>
      <c r="C116" s="2109"/>
      <c r="D116" s="2110"/>
      <c r="E116" s="2059"/>
      <c r="F116" s="2566"/>
      <c r="G116" s="2566"/>
      <c r="H116" s="2566"/>
      <c r="I116" s="2566"/>
      <c r="J116" s="2602" t="s">
        <v>6035</v>
      </c>
      <c r="K116" s="2602"/>
      <c r="L116" s="2111">
        <f>SUM(L44:L115)</f>
        <v>0</v>
      </c>
      <c r="M116" s="2111"/>
      <c r="N116" s="2111">
        <f>SUM(N44:N115)</f>
        <v>0</v>
      </c>
      <c r="O116" s="2111">
        <f>SUM(O44:O115)</f>
        <v>0</v>
      </c>
      <c r="P116" s="2079"/>
    </row>
    <row r="117" spans="1:18" s="2049" customFormat="1" ht="13.9" customHeight="1">
      <c r="A117" s="2093" t="str">
        <f>IF(G122&lt;&gt;0,1,"")</f>
        <v/>
      </c>
      <c r="B117" s="2075"/>
      <c r="C117" s="2567"/>
      <c r="D117" s="2093"/>
    </row>
    <row r="118" spans="1:18" s="2049" customFormat="1" ht="15" outlineLevel="1">
      <c r="A118" s="2052" t="e">
        <f t="shared" ref="A118:A149" si="15">VLOOKUP(B118,DonGia,3,0)</f>
        <v>#N/A</v>
      </c>
      <c r="B118" s="2075"/>
      <c r="C118" s="2603" t="s">
        <v>6036</v>
      </c>
      <c r="D118" s="2568"/>
      <c r="E118" s="2603"/>
      <c r="F118" s="2603"/>
      <c r="G118" s="2603"/>
      <c r="H118" s="2603"/>
      <c r="I118" s="2603"/>
      <c r="J118" s="2603"/>
      <c r="K118" s="2603"/>
      <c r="L118" s="2603"/>
      <c r="M118" s="2603"/>
      <c r="N118" s="2603"/>
      <c r="O118" s="2603"/>
      <c r="P118" s="2603"/>
    </row>
    <row r="119" spans="1:18" s="2049" customFormat="1" ht="15" outlineLevel="1">
      <c r="A119" s="2052" t="e">
        <f t="shared" si="15"/>
        <v>#N/A</v>
      </c>
      <c r="B119" s="2074" t="s">
        <v>6016</v>
      </c>
      <c r="C119" s="2592" t="s">
        <v>1704</v>
      </c>
      <c r="D119" s="2593" t="s">
        <v>2589</v>
      </c>
      <c r="E119" s="2595" t="s">
        <v>2590</v>
      </c>
      <c r="F119" s="2592" t="s">
        <v>2585</v>
      </c>
      <c r="G119" s="2053" t="s">
        <v>6017</v>
      </c>
      <c r="H119" s="2056" t="s">
        <v>6018</v>
      </c>
      <c r="I119" s="2563"/>
      <c r="J119" s="2563"/>
      <c r="K119" s="2564"/>
      <c r="L119" s="2056" t="s">
        <v>6019</v>
      </c>
      <c r="M119" s="2563"/>
      <c r="N119" s="2563"/>
      <c r="O119" s="2564"/>
      <c r="P119" s="2592" t="s">
        <v>2591</v>
      </c>
    </row>
    <row r="120" spans="1:18" s="2049" customFormat="1" ht="15" outlineLevel="1">
      <c r="A120" s="2052" t="e">
        <f t="shared" si="15"/>
        <v>#N/A</v>
      </c>
      <c r="B120" s="2074"/>
      <c r="C120" s="2592"/>
      <c r="D120" s="2594"/>
      <c r="E120" s="2596"/>
      <c r="F120" s="2592"/>
      <c r="G120" s="2055" t="s">
        <v>2280</v>
      </c>
      <c r="H120" s="2056" t="s">
        <v>6020</v>
      </c>
      <c r="I120" s="2056" t="s">
        <v>6021</v>
      </c>
      <c r="J120" s="2056" t="s">
        <v>6022</v>
      </c>
      <c r="K120" s="2056" t="s">
        <v>6023</v>
      </c>
      <c r="L120" s="2056" t="s">
        <v>6020</v>
      </c>
      <c r="M120" s="2056" t="s">
        <v>6021</v>
      </c>
      <c r="N120" s="2056" t="s">
        <v>6022</v>
      </c>
      <c r="O120" s="2056" t="s">
        <v>6023</v>
      </c>
      <c r="P120" s="2592"/>
    </row>
    <row r="121" spans="1:18" s="2049" customFormat="1" ht="15"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ht="15" outlineLevel="1">
      <c r="A122" s="2052" t="str">
        <f t="shared" si="15"/>
        <v>Máy biến áp 12,7/0,22-0,44kV  25kVA</v>
      </c>
      <c r="B122" s="2062" t="str">
        <f>IF($F$8=22,"TR251","TR25")</f>
        <v>TR251</v>
      </c>
      <c r="C122" s="2063">
        <f>IF(G122&gt;0,1,0)</f>
        <v>0</v>
      </c>
      <c r="D122" s="2064" t="s">
        <v>5498</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ht="15" outlineLevel="1">
      <c r="A123" s="2052" t="str">
        <f t="shared" si="15"/>
        <v>FCO 24kV - 100A</v>
      </c>
      <c r="B123" s="2062" t="str">
        <f>"FCO100-"&amp;$F$8</f>
        <v>FCO100-22</v>
      </c>
      <c r="C123" s="2063">
        <f t="shared" ref="C123:C130" si="20">IF(G123&gt;0,C122+1,C122)</f>
        <v>0</v>
      </c>
      <c r="D123" s="2064" t="s">
        <v>5513</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ht="15"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ht="15" outlineLevel="1">
      <c r="A125" s="2052" t="str">
        <f t="shared" si="15"/>
        <v>Chống sét van LA-18KV-10KA</v>
      </c>
      <c r="B125" s="2074" t="str">
        <f>"LA"&amp;$F$6</f>
        <v>LA18</v>
      </c>
      <c r="C125" s="2063">
        <f>IF(G125&gt;0,C124+1,C124)</f>
        <v>0</v>
      </c>
      <c r="D125" s="2064" t="s">
        <v>5517</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ht="15" outlineLevel="1">
      <c r="A126" s="2052" t="str">
        <f t="shared" si="15"/>
        <v>MCCB 3 cực 400V -125A - 30KA</v>
      </c>
      <c r="B126" s="2076" t="s">
        <v>1415</v>
      </c>
      <c r="C126" s="2063">
        <f t="shared" si="20"/>
        <v>0</v>
      </c>
      <c r="D126" s="2064">
        <v>0</v>
      </c>
      <c r="E126" s="2065" t="s">
        <v>5595</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ht="15"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ht="15"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ht="15"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ht="15"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ht="15" outlineLevel="1">
      <c r="A131" s="2052" t="e">
        <f t="shared" si="15"/>
        <v>#N/A</v>
      </c>
      <c r="B131" s="2074"/>
      <c r="C131" s="2079"/>
      <c r="D131" s="2079"/>
      <c r="E131" s="2061"/>
      <c r="F131" s="2079"/>
      <c r="G131" s="2079"/>
      <c r="H131" s="2079"/>
      <c r="I131" s="2079"/>
      <c r="J131" s="2061" t="s">
        <v>6025</v>
      </c>
      <c r="K131" s="2079"/>
      <c r="L131" s="2061">
        <f>SUM(L122:L130)</f>
        <v>0</v>
      </c>
      <c r="M131" s="2061"/>
      <c r="N131" s="2061">
        <f>SUM(N122:N130)</f>
        <v>0</v>
      </c>
      <c r="O131" s="2061">
        <f>SUM(O122:O130)</f>
        <v>0</v>
      </c>
      <c r="P131" s="2114"/>
    </row>
    <row r="132" spans="1:18" s="2049" customFormat="1" ht="15"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ht="15"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ht="15"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5" outlineLevel="1">
      <c r="A135" s="2052" t="e">
        <f t="shared" si="15"/>
        <v>#N/A</v>
      </c>
      <c r="B135" s="2074"/>
      <c r="C135" s="2086"/>
      <c r="D135" s="2090"/>
      <c r="E135" s="2092" t="s">
        <v>6037</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ht="15"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ht="15"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ht="15"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ht="15"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5" outlineLevel="1">
      <c r="A140" s="2052" t="e">
        <f t="shared" si="15"/>
        <v>#N/A</v>
      </c>
      <c r="B140" s="2074"/>
      <c r="C140" s="2086"/>
      <c r="D140" s="2090"/>
      <c r="E140" s="2092" t="s">
        <v>6037</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ht="15" outlineLevel="1">
      <c r="A141" s="2052" t="str">
        <f t="shared" si="15"/>
        <v>Đà cản BTCT 1,2m</v>
      </c>
      <c r="B141" s="2077" t="s">
        <v>633</v>
      </c>
      <c r="C141" s="2071"/>
      <c r="D141" s="2064" t="s">
        <v>4965</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ht="15" outlineLevel="1">
      <c r="A142" s="2052" t="str">
        <f t="shared" si="15"/>
        <v>Boulon 22x550/100+ 2 long đền vuông D24-50x50x3/Zn</v>
      </c>
      <c r="B142" s="2077" t="s">
        <v>716</v>
      </c>
      <c r="C142" s="2071"/>
      <c r="D142" s="2064">
        <v>0</v>
      </c>
      <c r="E142" s="2065" t="s">
        <v>4989</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ht="15" outlineLevel="1">
      <c r="A143" s="2052" t="str">
        <f t="shared" si="15"/>
        <v>Đào hố móng đất cấp 3 sâu &gt;1m</v>
      </c>
      <c r="B143" s="2077" t="s">
        <v>636</v>
      </c>
      <c r="C143" s="2071"/>
      <c r="D143" s="2064" t="s">
        <v>1742</v>
      </c>
      <c r="E143" s="2065" t="s">
        <v>5241</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ht="15" outlineLevel="1">
      <c r="A144" s="2052" t="str">
        <f t="shared" si="15"/>
        <v>Đắp đất hố móng, độ chặt k=0,95</v>
      </c>
      <c r="B144" s="2077" t="s">
        <v>21</v>
      </c>
      <c r="C144" s="2071"/>
      <c r="D144" s="2064" t="s">
        <v>5242</v>
      </c>
      <c r="E144" s="2065" t="s">
        <v>5243</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ht="15"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5" outlineLevel="1">
      <c r="A146" s="2052" t="e">
        <f t="shared" si="15"/>
        <v>#N/A</v>
      </c>
      <c r="B146" s="2074"/>
      <c r="C146" s="2086"/>
      <c r="D146" s="2090"/>
      <c r="E146" s="2116" t="s">
        <v>6037</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ht="15" outlineLevel="1">
      <c r="A147" s="2052" t="str">
        <f t="shared" si="15"/>
        <v>Đà Composite 110x80x5x800</v>
      </c>
      <c r="B147" s="2117" t="s">
        <v>5075</v>
      </c>
      <c r="C147" s="2071"/>
      <c r="D147" s="2064">
        <v>0</v>
      </c>
      <c r="E147" s="2065" t="s">
        <v>4784</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ht="15" outlineLevel="1">
      <c r="A148" s="2052" t="str">
        <f t="shared" si="15"/>
        <v>Chống Composite 40x10x710</v>
      </c>
      <c r="B148" s="2077" t="s">
        <v>5079</v>
      </c>
      <c r="C148" s="2071"/>
      <c r="D148" s="2064">
        <v>0</v>
      </c>
      <c r="E148" s="2065" t="s">
        <v>5080</v>
      </c>
      <c r="F148" s="2064" t="s">
        <v>5078</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ht="15" outlineLevel="1">
      <c r="A149" s="2052" t="str">
        <f t="shared" si="15"/>
        <v>Bass LL bắt FCO, LA</v>
      </c>
      <c r="B149" s="2077" t="s">
        <v>1835</v>
      </c>
      <c r="C149" s="2071"/>
      <c r="D149" s="2064">
        <v>0</v>
      </c>
      <c r="E149" s="2065" t="s">
        <v>4996</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ht="15" outlineLevel="1">
      <c r="A150" s="2052" t="str">
        <f t="shared" ref="A150:A181" si="25">VLOOKUP(B150,DonGia,3,0)</f>
        <v>Nắp che đầu cực FCO</v>
      </c>
      <c r="B150" s="2077" t="s">
        <v>6029</v>
      </c>
      <c r="C150" s="2071"/>
      <c r="D150" s="2064">
        <v>0</v>
      </c>
      <c r="E150" s="2065" t="s">
        <v>5615</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ht="15" outlineLevel="1">
      <c r="A151" s="2052" t="str">
        <f t="shared" si="25"/>
        <v>Nắp che đầu cực LA</v>
      </c>
      <c r="B151" s="2077" t="s">
        <v>6030</v>
      </c>
      <c r="C151" s="2071"/>
      <c r="D151" s="2064">
        <v>0</v>
      </c>
      <c r="E151" s="2065" t="s">
        <v>5621</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ht="15"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ht="15"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ht="15" outlineLevel="1">
      <c r="A154" s="2052" t="str">
        <f t="shared" si="25"/>
        <v>Lắp xà đỡ ≤ 25kg</v>
      </c>
      <c r="B154" s="2077" t="s">
        <v>1990</v>
      </c>
      <c r="C154" s="2071"/>
      <c r="D154" s="2064" t="s">
        <v>5295</v>
      </c>
      <c r="E154" s="2065" t="s">
        <v>5296</v>
      </c>
      <c r="F154" s="2064" t="s">
        <v>2433</v>
      </c>
      <c r="G154" s="2071">
        <f>G145</f>
        <v>0</v>
      </c>
      <c r="H154" s="2067">
        <v>0</v>
      </c>
      <c r="I154" s="2072"/>
      <c r="J154" s="2097" t="s">
        <v>6210</v>
      </c>
      <c r="K154" s="2067">
        <v>0</v>
      </c>
      <c r="L154" s="2073">
        <f t="shared" si="21"/>
        <v>0</v>
      </c>
      <c r="M154" s="2073">
        <f>I154*G154</f>
        <v>0</v>
      </c>
      <c r="N154" s="2098">
        <f>106640*G154*1.5</f>
        <v>0</v>
      </c>
      <c r="O154" s="2072">
        <f t="shared" si="24"/>
        <v>0</v>
      </c>
      <c r="P154" s="2099"/>
    </row>
    <row r="155" spans="1:16" s="2049" customFormat="1" ht="15"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5" outlineLevel="1">
      <c r="A156" s="2052" t="e">
        <f t="shared" si="25"/>
        <v>#N/A</v>
      </c>
      <c r="B156" s="2074"/>
      <c r="C156" s="2071"/>
      <c r="D156" s="2094"/>
      <c r="E156" s="2116" t="s">
        <v>6037</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ht="15"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ht="15" outlineLevel="1">
      <c r="A158" s="2052" t="str">
        <f t="shared" si="25"/>
        <v>Cọc tiếp đất Þ 16- 2,4m + kẹp cọc mạ đồng</v>
      </c>
      <c r="B158" s="2077" t="s">
        <v>1504</v>
      </c>
      <c r="C158" s="2071"/>
      <c r="D158" s="2064">
        <v>0</v>
      </c>
      <c r="E158" s="2065" t="s">
        <v>5081</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ht="15"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ht="15"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ht="15" outlineLevel="1">
      <c r="A161" s="2052" t="str">
        <f t="shared" si="25"/>
        <v>Đầu cosse ép Cu 25mm2</v>
      </c>
      <c r="B161" s="2074" t="s">
        <v>1069</v>
      </c>
      <c r="C161" s="2071"/>
      <c r="D161" s="2064" t="s">
        <v>5638</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ht="15"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ht="15"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ht="15" outlineLevel="1">
      <c r="A164" s="2052" t="str">
        <f t="shared" si="25"/>
        <v>Cổ dê kẹp ống PVC  21</v>
      </c>
      <c r="B164" s="2077" t="s">
        <v>523</v>
      </c>
      <c r="C164" s="2071"/>
      <c r="D164" s="2064"/>
      <c r="E164" s="2065" t="s">
        <v>5170</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ht="15" outlineLevel="1">
      <c r="A165" s="2052" t="str">
        <f t="shared" si="25"/>
        <v>Lắp cổ dê</v>
      </c>
      <c r="B165" s="2077" t="s">
        <v>1126</v>
      </c>
      <c r="C165" s="2071"/>
      <c r="D165" s="2064" t="s">
        <v>5190</v>
      </c>
      <c r="E165" s="2065" t="s">
        <v>5387</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ht="15" outlineLevel="1">
      <c r="A166" s="2052" t="str">
        <f t="shared" si="25"/>
        <v>Đóng cọc tiếp địa trong TBA</v>
      </c>
      <c r="B166" s="2077" t="s">
        <v>899</v>
      </c>
      <c r="C166" s="2071"/>
      <c r="D166" s="2064" t="s">
        <v>5268</v>
      </c>
      <c r="E166" s="2065" t="s">
        <v>5269</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ht="15" outlineLevel="1">
      <c r="A167" s="2052" t="str">
        <f t="shared" si="25"/>
        <v>Kéo dây tiếp địa trong TBA</v>
      </c>
      <c r="B167" s="2077" t="s">
        <v>2178</v>
      </c>
      <c r="C167" s="2071"/>
      <c r="D167" s="2064" t="s">
        <v>5263</v>
      </c>
      <c r="E167" s="2065" t="s">
        <v>5264</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ht="15" outlineLevel="1">
      <c r="A168" s="2052" t="str">
        <f t="shared" si="25"/>
        <v>Đào rãnh tiếp địa đất cấp 3</v>
      </c>
      <c r="B168" s="2074" t="s">
        <v>1051</v>
      </c>
      <c r="C168" s="2071"/>
      <c r="D168" s="2064" t="s">
        <v>5253</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ht="15" outlineLevel="1">
      <c r="A169" s="2052" t="str">
        <f t="shared" si="25"/>
        <v>Đắp đất rãnh tiếp độ chặt k=0,85</v>
      </c>
      <c r="B169" s="2077" t="s">
        <v>1052</v>
      </c>
      <c r="C169" s="2071"/>
      <c r="D169" s="2064" t="s">
        <v>5242</v>
      </c>
      <c r="E169" s="2065" t="s">
        <v>5254</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ht="15"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5" outlineLevel="1">
      <c r="A171" s="2052" t="e">
        <f t="shared" si="25"/>
        <v>#N/A</v>
      </c>
      <c r="B171" s="2074"/>
      <c r="C171" s="2086"/>
      <c r="D171" s="2090"/>
      <c r="E171" s="2116" t="s">
        <v>6037</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ht="15" outlineLevel="1">
      <c r="A172" s="2052" t="str">
        <f t="shared" si="25"/>
        <v>Tủ MCCB trạm treo 1 pha</v>
      </c>
      <c r="B172" s="2074" t="s">
        <v>5569</v>
      </c>
      <c r="C172" s="2071"/>
      <c r="D172" s="2064" t="s">
        <v>5570</v>
      </c>
      <c r="E172" s="2065" t="s">
        <v>5571</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ht="15"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ht="15" outlineLevel="1">
      <c r="A174" s="2052" t="str">
        <f t="shared" si="25"/>
        <v xml:space="preserve">Bakelit 550x450 dầy 10mm </v>
      </c>
      <c r="B174" s="2074" t="s">
        <v>877</v>
      </c>
      <c r="C174" s="2071"/>
      <c r="D174" s="2064">
        <v>0</v>
      </c>
      <c r="E174" s="2065" t="s">
        <v>5713</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ht="15"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ht="15" outlineLevel="1">
      <c r="A176" s="2052" t="e">
        <f t="shared" si="25"/>
        <v>#N/A</v>
      </c>
      <c r="B176" s="2074"/>
      <c r="C176" s="2086">
        <f>IF(G176&gt;0,C170+1,C170)</f>
        <v>0</v>
      </c>
      <c r="D176" s="2090"/>
      <c r="E176" s="2115" t="s">
        <v>6038</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5" outlineLevel="1">
      <c r="A177" s="2052" t="e">
        <f t="shared" si="25"/>
        <v>#N/A</v>
      </c>
      <c r="B177" s="2074"/>
      <c r="C177" s="2086"/>
      <c r="D177" s="2090"/>
      <c r="E177" s="2116" t="s">
        <v>6037</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ht="15" outlineLevel="1">
      <c r="A178" s="2052" t="str">
        <f t="shared" si="25"/>
        <v>Cáp 24KV C/XLPE/PVC 25mm2</v>
      </c>
      <c r="B178" s="2103" t="s">
        <v>694</v>
      </c>
      <c r="C178" s="2071"/>
      <c r="D178" s="2064">
        <v>0</v>
      </c>
      <c r="E178" s="2065" t="s">
        <v>5005</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ht="15"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ht="15"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ht="15"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ht="15"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ht="15"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ht="15" outlineLevel="1">
      <c r="A184" s="2052" t="str">
        <f t="shared" si="26"/>
        <v>Lắp sứ đứng 24KV</v>
      </c>
      <c r="B184" s="2062" t="s">
        <v>346</v>
      </c>
      <c r="C184" s="2071"/>
      <c r="D184" s="2064" t="s">
        <v>5477</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ht="15" outlineLevel="1">
      <c r="A185" s="2052" t="str">
        <f t="shared" si="26"/>
        <v>Lắp cáp đồng xuống thiết bị D ≤ 95mm2</v>
      </c>
      <c r="B185" s="2062" t="s">
        <v>1521</v>
      </c>
      <c r="C185" s="2071"/>
      <c r="D185" s="2064" t="s">
        <v>5487</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ht="15" outlineLevel="1">
      <c r="A186" s="2052" t="e">
        <f t="shared" si="26"/>
        <v>#N/A</v>
      </c>
      <c r="B186" s="2074"/>
      <c r="C186" s="2086">
        <f>IF(G186&gt;0,C176+1,C176)</f>
        <v>0</v>
      </c>
      <c r="D186" s="2090"/>
      <c r="E186" s="2118" t="s">
        <v>6039</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5" outlineLevel="1">
      <c r="A187" s="2052" t="e">
        <f t="shared" si="26"/>
        <v>#N/A</v>
      </c>
      <c r="B187" s="2074"/>
      <c r="C187" s="2086"/>
      <c r="D187" s="2090"/>
      <c r="E187" s="2116" t="s">
        <v>6037</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ht="15"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ht="15"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ht="15" outlineLevel="1">
      <c r="A190" s="2052" t="str">
        <f t="shared" si="26"/>
        <v>Đầu cosse ép Cu 50mm2</v>
      </c>
      <c r="B190" s="2074" t="str">
        <f>"Cos"&amp;RIGHT(B188,2)</f>
        <v>Cos50</v>
      </c>
      <c r="C190" s="2071"/>
      <c r="D190" s="2064" t="s">
        <v>5639</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ht="15"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ht="15" outlineLevel="1">
      <c r="A192" s="2052" t="str">
        <f t="shared" si="26"/>
        <v>Nắp che đầu sứ MBA</v>
      </c>
      <c r="B192" s="2077" t="s">
        <v>5622</v>
      </c>
      <c r="C192" s="2071"/>
      <c r="D192" s="2064">
        <v>0</v>
      </c>
      <c r="E192" s="2065" t="s">
        <v>5623</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ht="15"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ht="15" outlineLevel="1">
      <c r="A194" s="2052" t="str">
        <f t="shared" si="26"/>
        <v>Cổ dê kẹp ống PVC Ø 90</v>
      </c>
      <c r="B194" s="2077" t="s">
        <v>275</v>
      </c>
      <c r="C194" s="2071"/>
      <c r="D194" s="2064">
        <v>0</v>
      </c>
      <c r="E194" s="2065" t="s">
        <v>5175</v>
      </c>
      <c r="F194" s="2064" t="s">
        <v>2433</v>
      </c>
      <c r="G194" s="2071">
        <f>G186*2</f>
        <v>0</v>
      </c>
      <c r="H194" s="2067">
        <v>49000</v>
      </c>
      <c r="I194" s="2072"/>
      <c r="J194" s="2067"/>
      <c r="K194" s="2067">
        <v>0</v>
      </c>
      <c r="L194" s="2073">
        <f>H194*G194</f>
        <v>0</v>
      </c>
      <c r="M194" s="2073"/>
      <c r="N194" s="2067"/>
      <c r="O194" s="2072">
        <f>K194*G194</f>
        <v>0</v>
      </c>
      <c r="P194" s="2099"/>
    </row>
    <row r="195" spans="1:16" s="2049" customFormat="1" ht="15"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ht="15" outlineLevel="1">
      <c r="A196" s="2052" t="str">
        <f t="shared" si="26"/>
        <v>Boulon 12x200+ 2 long đền vuông D14-50x50x3/Zn</v>
      </c>
      <c r="B196" s="2077" t="s">
        <v>6040</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ht="15" outlineLevel="1">
      <c r="A197" s="2052" t="str">
        <f t="shared" si="26"/>
        <v>Co  90 độ PVC 90</v>
      </c>
      <c r="B197" s="2074" t="s">
        <v>69</v>
      </c>
      <c r="C197" s="2071"/>
      <c r="D197" s="2064">
        <v>0</v>
      </c>
      <c r="E197" s="2065" t="s">
        <v>5711</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ht="15"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ht="15"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ht="15" outlineLevel="1">
      <c r="A200" s="2052" t="str">
        <f t="shared" si="26"/>
        <v>Keo silicon bít miệng ống</v>
      </c>
      <c r="B200" s="2074" t="s">
        <v>487</v>
      </c>
      <c r="C200" s="2071"/>
      <c r="D200" s="2064">
        <v>0</v>
      </c>
      <c r="E200" s="2065" t="s">
        <v>3552</v>
      </c>
      <c r="F200" s="2064" t="s">
        <v>5720</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ht="15" outlineLevel="1">
      <c r="A201" s="2052" t="str">
        <f t="shared" si="26"/>
        <v>Băng keo cách điện</v>
      </c>
      <c r="B201" s="2077" t="s">
        <v>669</v>
      </c>
      <c r="C201" s="2071"/>
      <c r="D201" s="2064">
        <v>0</v>
      </c>
      <c r="E201" s="2065" t="s">
        <v>5715</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ht="15" outlineLevel="1">
      <c r="A202" s="2052" t="str">
        <f t="shared" si="26"/>
        <v>Lắp ống nhựa PVC D90</v>
      </c>
      <c r="B202" s="2074" t="s">
        <v>2177</v>
      </c>
      <c r="C202" s="2071"/>
      <c r="D202" s="2064" t="s">
        <v>5464</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ht="15" outlineLevel="1">
      <c r="A203" s="2052" t="str">
        <f t="shared" si="26"/>
        <v>Lắp cáp đồng xuống thiết bị D ≤ 95mm2</v>
      </c>
      <c r="B203" s="2077" t="s">
        <v>1521</v>
      </c>
      <c r="C203" s="2071"/>
      <c r="D203" s="2064" t="s">
        <v>5487</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ht="15" outlineLevel="1">
      <c r="A204" s="2052" t="str">
        <f t="shared" si="26"/>
        <v>Bảng tên trạm, bảng báo nguy hiểm + đinh vít</v>
      </c>
      <c r="B204" s="2074" t="s">
        <v>288</v>
      </c>
      <c r="C204" s="2119">
        <f>IF(G204&gt;0,C186+1,C186)</f>
        <v>0</v>
      </c>
      <c r="D204" s="2120"/>
      <c r="E204" s="2065" t="s">
        <v>5627</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ht="15" outlineLevel="1">
      <c r="A205" s="2052" t="e">
        <f t="shared" si="26"/>
        <v>#N/A</v>
      </c>
      <c r="B205" s="2075"/>
      <c r="C205" s="2114"/>
      <c r="D205" s="2109"/>
      <c r="E205" s="2083"/>
      <c r="F205" s="2566"/>
      <c r="G205" s="2566"/>
      <c r="H205" s="2566"/>
      <c r="I205" s="2566"/>
      <c r="J205" s="2602" t="s">
        <v>6035</v>
      </c>
      <c r="K205" s="2602"/>
      <c r="L205" s="2111">
        <f>SUM(L133:L204)</f>
        <v>0</v>
      </c>
      <c r="M205" s="2111">
        <f>SUM(M133:M204)</f>
        <v>0</v>
      </c>
      <c r="N205" s="2111">
        <f>SUM(N133:N204)</f>
        <v>0</v>
      </c>
      <c r="O205" s="2111">
        <f>SUM(O133:O204)</f>
        <v>0</v>
      </c>
      <c r="P205" s="2114"/>
    </row>
    <row r="206" spans="1:16" s="2049" customFormat="1" ht="13.9" customHeight="1">
      <c r="A206" s="2093" t="str">
        <f>IF(G211&lt;&gt;0,1,"")</f>
        <v/>
      </c>
      <c r="B206" s="2075"/>
      <c r="C206" s="2567"/>
      <c r="D206" s="2093"/>
    </row>
    <row r="207" spans="1:16" s="2049" customFormat="1" ht="15" outlineLevel="1">
      <c r="A207" s="2052" t="e">
        <f t="shared" ref="A207:A238" si="27">VLOOKUP(B207,DonGia,3,0)</f>
        <v>#N/A</v>
      </c>
      <c r="B207" s="2075"/>
      <c r="C207" s="2603" t="s">
        <v>6041</v>
      </c>
      <c r="D207" s="2568"/>
      <c r="E207" s="2603"/>
      <c r="F207" s="2603"/>
      <c r="G207" s="2603"/>
      <c r="H207" s="2603"/>
      <c r="I207" s="2603"/>
      <c r="J207" s="2603"/>
      <c r="K207" s="2603"/>
      <c r="L207" s="2603"/>
      <c r="M207" s="2603"/>
      <c r="N207" s="2603"/>
      <c r="O207" s="2603"/>
      <c r="P207" s="2603"/>
    </row>
    <row r="208" spans="1:16" s="2049" customFormat="1" ht="15" outlineLevel="1">
      <c r="A208" s="2052" t="e">
        <f t="shared" si="27"/>
        <v>#N/A</v>
      </c>
      <c r="B208" s="2074" t="s">
        <v>6016</v>
      </c>
      <c r="C208" s="2592" t="s">
        <v>1704</v>
      </c>
      <c r="D208" s="2593" t="s">
        <v>2589</v>
      </c>
      <c r="E208" s="2595" t="s">
        <v>2590</v>
      </c>
      <c r="F208" s="2592" t="s">
        <v>2585</v>
      </c>
      <c r="G208" s="2053" t="s">
        <v>6017</v>
      </c>
      <c r="H208" s="2056" t="s">
        <v>6018</v>
      </c>
      <c r="I208" s="2563"/>
      <c r="J208" s="2563"/>
      <c r="K208" s="2564"/>
      <c r="L208" s="2056" t="s">
        <v>6019</v>
      </c>
      <c r="M208" s="2563"/>
      <c r="N208" s="2563"/>
      <c r="O208" s="2564"/>
      <c r="P208" s="2592" t="s">
        <v>2591</v>
      </c>
    </row>
    <row r="209" spans="1:18" s="2049" customFormat="1" ht="15" outlineLevel="1">
      <c r="A209" s="2052" t="e">
        <f t="shared" si="27"/>
        <v>#N/A</v>
      </c>
      <c r="B209" s="2074"/>
      <c r="C209" s="2592"/>
      <c r="D209" s="2594"/>
      <c r="E209" s="2596"/>
      <c r="F209" s="2592"/>
      <c r="G209" s="2055" t="s">
        <v>2280</v>
      </c>
      <c r="H209" s="2056" t="s">
        <v>6020</v>
      </c>
      <c r="I209" s="2056" t="s">
        <v>6021</v>
      </c>
      <c r="J209" s="2056" t="s">
        <v>6022</v>
      </c>
      <c r="K209" s="2056" t="s">
        <v>6023</v>
      </c>
      <c r="L209" s="2056" t="s">
        <v>6020</v>
      </c>
      <c r="M209" s="2056" t="s">
        <v>6021</v>
      </c>
      <c r="N209" s="2056" t="s">
        <v>6022</v>
      </c>
      <c r="O209" s="2056" t="s">
        <v>6023</v>
      </c>
      <c r="P209" s="2592"/>
    </row>
    <row r="210" spans="1:18" s="2049" customFormat="1" ht="15"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ht="15" outlineLevel="1">
      <c r="A211" s="2052" t="str">
        <f t="shared" si="27"/>
        <v>Máy biến áp 12,7/0,22-0,44kV  37,5kVA</v>
      </c>
      <c r="B211" s="2062" t="str">
        <f>IF($F$8=22,"TR371","TR37")</f>
        <v>TR371</v>
      </c>
      <c r="C211" s="2063">
        <f>IF(G211&gt;0,1,0)</f>
        <v>0</v>
      </c>
      <c r="D211" s="2064" t="s">
        <v>5499</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ht="15" outlineLevel="1">
      <c r="A212" s="2052" t="str">
        <f t="shared" si="27"/>
        <v>FCO 24kV - 100A</v>
      </c>
      <c r="B212" s="2062" t="str">
        <f>"FCO100-"&amp;$F$8</f>
        <v>FCO100-22</v>
      </c>
      <c r="C212" s="2063">
        <f t="shared" ref="C212:C217" si="32">IF(G212&gt;0,C211+1,C211)</f>
        <v>0</v>
      </c>
      <c r="D212" s="2064" t="s">
        <v>5513</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ht="15"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ht="15" outlineLevel="1">
      <c r="A214" s="2052" t="str">
        <f t="shared" si="27"/>
        <v>Chống sét van LA-18KV-10KA</v>
      </c>
      <c r="B214" s="2075" t="str">
        <f>"LA"&amp;$F$6</f>
        <v>LA18</v>
      </c>
      <c r="C214" s="2063">
        <f t="shared" si="32"/>
        <v>0</v>
      </c>
      <c r="D214" s="2064" t="s">
        <v>5517</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ht="15"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ht="15"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ht="15"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ht="15" outlineLevel="1">
      <c r="A218" s="2052" t="e">
        <f t="shared" si="27"/>
        <v>#N/A</v>
      </c>
      <c r="B218" s="2074"/>
      <c r="C218" s="2079"/>
      <c r="D218" s="2080"/>
      <c r="E218" s="2061"/>
      <c r="F218" s="2079"/>
      <c r="G218" s="2079"/>
      <c r="H218" s="2079"/>
      <c r="I218" s="2079"/>
      <c r="J218" s="2061" t="s">
        <v>6025</v>
      </c>
      <c r="K218" s="2079"/>
      <c r="L218" s="2061">
        <f>SUM(L211:L217)</f>
        <v>0</v>
      </c>
      <c r="M218" s="2061"/>
      <c r="N218" s="2061">
        <f>SUM(N211:N217)</f>
        <v>0</v>
      </c>
      <c r="O218" s="2061">
        <f>SUM(O211:O217)</f>
        <v>0</v>
      </c>
      <c r="P218" s="2114"/>
    </row>
    <row r="219" spans="1:18" s="2049" customFormat="1" ht="15"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ht="15"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ht="15" outlineLevel="1">
      <c r="A221" s="2052" t="e">
        <f t="shared" si="27"/>
        <v>#N/A</v>
      </c>
      <c r="B221" s="2074"/>
      <c r="C221" s="2089">
        <f>IF(G221&gt;0,C220+1,C220)</f>
        <v>0</v>
      </c>
      <c r="D221" s="2090"/>
      <c r="E221" s="2091" t="s">
        <v>6042</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5" outlineLevel="1">
      <c r="A222" s="2052" t="e">
        <f t="shared" si="27"/>
        <v>#N/A</v>
      </c>
      <c r="B222" s="2074"/>
      <c r="C222" s="2086"/>
      <c r="D222" s="2090"/>
      <c r="E222" s="2092" t="s">
        <v>6037</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ht="15"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ht="15"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ht="15"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ht="15"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5" outlineLevel="1">
      <c r="A227" s="2052" t="e">
        <f t="shared" si="27"/>
        <v>#N/A</v>
      </c>
      <c r="B227" s="2074"/>
      <c r="C227" s="2086"/>
      <c r="D227" s="2090"/>
      <c r="E227" s="2092" t="s">
        <v>6037</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ht="15" outlineLevel="1">
      <c r="A228" s="2052" t="str">
        <f t="shared" si="27"/>
        <v>Đà cản BTCT 1,2m</v>
      </c>
      <c r="B228" s="2077" t="s">
        <v>633</v>
      </c>
      <c r="C228" s="2071"/>
      <c r="D228" s="2064" t="s">
        <v>4965</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ht="15" outlineLevel="1">
      <c r="A229" s="2052" t="str">
        <f t="shared" si="27"/>
        <v>Boulon 22x650+ 2 long đền vuông D24-50x50x3/Zn</v>
      </c>
      <c r="B229" s="2077" t="s">
        <v>564</v>
      </c>
      <c r="C229" s="2071"/>
      <c r="D229" s="2064">
        <v>0</v>
      </c>
      <c r="E229" s="2065" t="s">
        <v>4990</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ht="15" outlineLevel="1">
      <c r="A230" s="2052" t="str">
        <f t="shared" si="27"/>
        <v>Đào hố móng đất cấp 3 sâu &gt;1m</v>
      </c>
      <c r="B230" s="2077" t="s">
        <v>636</v>
      </c>
      <c r="C230" s="2071"/>
      <c r="D230" s="2064" t="s">
        <v>1742</v>
      </c>
      <c r="E230" s="2065" t="s">
        <v>5241</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ht="15" outlineLevel="1">
      <c r="A231" s="2052" t="str">
        <f t="shared" si="27"/>
        <v>Đắp đất hố móng, độ chặt k=0,95</v>
      </c>
      <c r="B231" s="2077" t="s">
        <v>21</v>
      </c>
      <c r="C231" s="2071"/>
      <c r="D231" s="2064" t="s">
        <v>5242</v>
      </c>
      <c r="E231" s="2065" t="s">
        <v>5243</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ht="15"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5" outlineLevel="1">
      <c r="A233" s="2052" t="e">
        <f t="shared" si="27"/>
        <v>#N/A</v>
      </c>
      <c r="B233" s="2074"/>
      <c r="C233" s="2086"/>
      <c r="D233" s="2090"/>
      <c r="E233" s="2116" t="s">
        <v>6037</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ht="15" outlineLevel="1">
      <c r="A234" s="2052" t="str">
        <f t="shared" si="27"/>
        <v>Đà Composite 110x80x5x800</v>
      </c>
      <c r="B234" s="2077" t="s">
        <v>5075</v>
      </c>
      <c r="C234" s="2071"/>
      <c r="D234" s="2064">
        <v>0</v>
      </c>
      <c r="E234" s="2065" t="s">
        <v>4784</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ht="15" outlineLevel="1">
      <c r="A235" s="2052" t="str">
        <f t="shared" si="27"/>
        <v>Chống Composite 40x10x710</v>
      </c>
      <c r="B235" s="2077" t="s">
        <v>5079</v>
      </c>
      <c r="C235" s="2071"/>
      <c r="D235" s="2064">
        <v>0</v>
      </c>
      <c r="E235" s="2065" t="s">
        <v>5080</v>
      </c>
      <c r="F235" s="2064" t="s">
        <v>5078</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ht="15" outlineLevel="1">
      <c r="A236" s="2052" t="str">
        <f t="shared" si="27"/>
        <v>Bass LL bắt FCO, LA</v>
      </c>
      <c r="B236" s="2077" t="s">
        <v>1835</v>
      </c>
      <c r="C236" s="2071"/>
      <c r="D236" s="2064">
        <v>0</v>
      </c>
      <c r="E236" s="2065" t="s">
        <v>4996</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ht="15" outlineLevel="1">
      <c r="A237" s="2052" t="str">
        <f t="shared" si="27"/>
        <v>Nắp che đầu cực FCO</v>
      </c>
      <c r="B237" s="2077" t="s">
        <v>6029</v>
      </c>
      <c r="C237" s="2071"/>
      <c r="D237" s="2064">
        <v>0</v>
      </c>
      <c r="E237" s="2065" t="s">
        <v>5615</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ht="15"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ht="15"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ht="15"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ht="15" outlineLevel="1">
      <c r="A241" s="2052" t="str">
        <f t="shared" si="37"/>
        <v>Lắp xà đỡ composite dài 800mm (3kg)</v>
      </c>
      <c r="B241" s="2124" t="s">
        <v>5287</v>
      </c>
      <c r="C241" s="2071"/>
      <c r="D241" s="2064" t="s">
        <v>5066</v>
      </c>
      <c r="E241" s="2065" t="s">
        <v>5288</v>
      </c>
      <c r="F241" s="2064" t="s">
        <v>2433</v>
      </c>
      <c r="G241" s="2071">
        <f>G232</f>
        <v>0</v>
      </c>
      <c r="H241" s="2067">
        <v>0</v>
      </c>
      <c r="I241" s="2072"/>
      <c r="J241" s="2097" t="s">
        <v>6217</v>
      </c>
      <c r="K241" s="2067">
        <v>0</v>
      </c>
      <c r="L241" s="2073">
        <f t="shared" si="33"/>
        <v>0</v>
      </c>
      <c r="M241" s="2073">
        <f>I241*G241</f>
        <v>0</v>
      </c>
      <c r="N241" s="2098">
        <f>106640*G241*1.5</f>
        <v>0</v>
      </c>
      <c r="O241" s="2072">
        <f t="shared" si="36"/>
        <v>0</v>
      </c>
      <c r="P241" s="2099"/>
    </row>
    <row r="242" spans="1:16" s="2049" customFormat="1" ht="15"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5" outlineLevel="1">
      <c r="A243" s="2052" t="e">
        <f t="shared" si="37"/>
        <v>#N/A</v>
      </c>
      <c r="B243" s="2074"/>
      <c r="C243" s="2071"/>
      <c r="D243" s="2094"/>
      <c r="E243" s="2116" t="s">
        <v>6037</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ht="15" outlineLevel="1">
      <c r="A244" s="2052" t="str">
        <f t="shared" si="37"/>
        <v>Cáp đồng trần M25mm2</v>
      </c>
      <c r="B244" s="2074" t="s">
        <v>1029</v>
      </c>
      <c r="C244" s="2071"/>
      <c r="D244" s="2064">
        <v>0</v>
      </c>
      <c r="E244" s="2065" t="s">
        <v>6218</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ht="15" outlineLevel="1">
      <c r="A245" s="2052" t="str">
        <f t="shared" si="37"/>
        <v>Cọc tiếp đất Þ 16- 2,4m + kẹp cọc mạ đồng</v>
      </c>
      <c r="B245" s="2077" t="s">
        <v>1504</v>
      </c>
      <c r="C245" s="2071"/>
      <c r="D245" s="2064">
        <v>0</v>
      </c>
      <c r="E245" s="2065" t="s">
        <v>5081</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ht="15"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ht="15"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ht="15"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ht="15" outlineLevel="1">
      <c r="A249" s="2052" t="str">
        <f t="shared" si="37"/>
        <v>Cổ dê kẹp ống PVC  21</v>
      </c>
      <c r="B249" s="2077" t="s">
        <v>523</v>
      </c>
      <c r="C249" s="2071"/>
      <c r="D249" s="2064">
        <v>0</v>
      </c>
      <c r="E249" s="2065" t="s">
        <v>5170</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ht="15" outlineLevel="1">
      <c r="A250" s="2052" t="str">
        <f t="shared" si="37"/>
        <v>Kéo dây tiếp địa trong TBA</v>
      </c>
      <c r="B250" s="2074" t="s">
        <v>2178</v>
      </c>
      <c r="C250" s="2071"/>
      <c r="D250" s="2064" t="s">
        <v>5263</v>
      </c>
      <c r="E250" s="2065" t="s">
        <v>5264</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ht="15" outlineLevel="1">
      <c r="A251" s="2052" t="str">
        <f t="shared" si="37"/>
        <v>Đóng cọc tiếp địa trong TBA</v>
      </c>
      <c r="B251" s="2077" t="s">
        <v>899</v>
      </c>
      <c r="C251" s="2071"/>
      <c r="D251" s="2064" t="s">
        <v>5268</v>
      </c>
      <c r="E251" s="2065" t="s">
        <v>5269</v>
      </c>
      <c r="F251" s="2064" t="s">
        <v>2272</v>
      </c>
      <c r="G251" s="2071">
        <f>G245</f>
        <v>0</v>
      </c>
      <c r="H251" s="2067">
        <v>0</v>
      </c>
      <c r="I251" s="2072"/>
      <c r="J251" s="2067" t="s">
        <v>6219</v>
      </c>
      <c r="K251" s="2067">
        <v>1573.075</v>
      </c>
      <c r="L251" s="2073">
        <f>H251*G251</f>
        <v>0</v>
      </c>
      <c r="M251" s="2073">
        <f>I251*G251</f>
        <v>0</v>
      </c>
      <c r="N251" s="2067">
        <v>0</v>
      </c>
      <c r="O251" s="2072">
        <f>K251*G251</f>
        <v>0</v>
      </c>
      <c r="P251" s="2099"/>
    </row>
    <row r="252" spans="1:16" s="2049" customFormat="1" ht="15" outlineLevel="1">
      <c r="A252" s="2052" t="str">
        <f t="shared" si="37"/>
        <v>Đào rãnh tiếp địa đất cấp 3</v>
      </c>
      <c r="B252" s="2074" t="s">
        <v>1051</v>
      </c>
      <c r="C252" s="2071"/>
      <c r="D252" s="2064" t="s">
        <v>5253</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ht="15" outlineLevel="1">
      <c r="A253" s="2052" t="str">
        <f t="shared" si="37"/>
        <v>Đắp đất rãnh tiếp độ chặt k=0,85</v>
      </c>
      <c r="B253" s="2077" t="s">
        <v>1052</v>
      </c>
      <c r="C253" s="2071"/>
      <c r="D253" s="2064" t="s">
        <v>5242</v>
      </c>
      <c r="E253" s="2065" t="s">
        <v>5254</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ht="15"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5" outlineLevel="1">
      <c r="A255" s="2052" t="e">
        <f t="shared" si="37"/>
        <v>#N/A</v>
      </c>
      <c r="B255" s="2074"/>
      <c r="C255" s="2086"/>
      <c r="D255" s="2064"/>
      <c r="E255" s="2116" t="s">
        <v>6037</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ht="15" outlineLevel="1">
      <c r="A256" s="2052" t="str">
        <f t="shared" si="37"/>
        <v>Tủ MCCB trạm treo 1 pha</v>
      </c>
      <c r="B256" s="2125" t="s">
        <v>5569</v>
      </c>
      <c r="C256" s="2071"/>
      <c r="D256" s="2064" t="s">
        <v>5570</v>
      </c>
      <c r="E256" s="2065" t="s">
        <v>5571</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ht="15"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ht="15" outlineLevel="1">
      <c r="A258" s="2052" t="str">
        <f t="shared" si="37"/>
        <v xml:space="preserve">Bakelit 550x450 dầy 10mm </v>
      </c>
      <c r="B258" s="2074" t="s">
        <v>877</v>
      </c>
      <c r="C258" s="2071"/>
      <c r="D258" s="2064">
        <v>0</v>
      </c>
      <c r="E258" s="2065" t="s">
        <v>5713</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ht="15" outlineLevel="1">
      <c r="A259" s="2052" t="e">
        <f t="shared" si="37"/>
        <v>#N/A</v>
      </c>
      <c r="B259" s="2074"/>
      <c r="C259" s="2086">
        <f>IF(G259&gt;0,C254+1,C254)</f>
        <v>0</v>
      </c>
      <c r="D259" s="2064"/>
      <c r="E259" s="2115" t="s">
        <v>6043</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5" outlineLevel="1">
      <c r="A260" s="2052" t="e">
        <f t="shared" si="37"/>
        <v>#N/A</v>
      </c>
      <c r="B260" s="2074"/>
      <c r="C260" s="2086"/>
      <c r="D260" s="2064"/>
      <c r="E260" s="2116" t="s">
        <v>6037</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ht="15" outlineLevel="1">
      <c r="A261" s="2052" t="str">
        <f t="shared" si="37"/>
        <v>Cáp 24KV C/XLPE/PVC 25mm2</v>
      </c>
      <c r="B261" s="2103" t="s">
        <v>694</v>
      </c>
      <c r="C261" s="2071"/>
      <c r="D261" s="2064">
        <v>0</v>
      </c>
      <c r="E261" s="2065" t="s">
        <v>5005</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ht="15" outlineLevel="1">
      <c r="A262" s="2052" t="str">
        <f t="shared" si="37"/>
        <v>Nắp che đầu cực FCO</v>
      </c>
      <c r="B262" s="2077" t="s">
        <v>6029</v>
      </c>
      <c r="C262" s="2071"/>
      <c r="D262" s="2064">
        <v>0</v>
      </c>
      <c r="E262" s="2065" t="s">
        <v>5615</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ht="15" outlineLevel="1">
      <c r="A263" s="2052" t="str">
        <f t="shared" si="37"/>
        <v>Nắp che đầu cực LA</v>
      </c>
      <c r="B263" s="2077" t="s">
        <v>6030</v>
      </c>
      <c r="C263" s="2071"/>
      <c r="D263" s="2064">
        <v>0</v>
      </c>
      <c r="E263" s="2065" t="s">
        <v>5621</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ht="15" outlineLevel="1">
      <c r="A264" s="2052" t="str">
        <f t="shared" si="37"/>
        <v>Nắp che đầu sứ MBA</v>
      </c>
      <c r="B264" s="2062" t="s">
        <v>6034</v>
      </c>
      <c r="C264" s="2071"/>
      <c r="D264" s="2064">
        <v>0</v>
      </c>
      <c r="E264" s="2065" t="s">
        <v>5623</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ht="15" outlineLevel="1">
      <c r="A265" s="2052" t="str">
        <f t="shared" si="37"/>
        <v>Chụp cách điện kẹp quai</v>
      </c>
      <c r="B265" s="2062" t="s">
        <v>5619</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ht="15"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ht="15"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ht="15" outlineLevel="1">
      <c r="A268" s="2052" t="str">
        <f t="shared" si="37"/>
        <v>Lắp cáp đồng xuống thiết bị D ≤ 95mm2</v>
      </c>
      <c r="B268" s="2062" t="s">
        <v>1521</v>
      </c>
      <c r="C268" s="2071"/>
      <c r="D268" s="2064" t="s">
        <v>5487</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ht="15" outlineLevel="1">
      <c r="A269" s="2052" t="e">
        <f t="shared" si="37"/>
        <v>#N/A</v>
      </c>
      <c r="B269" s="2074"/>
      <c r="C269" s="2086">
        <f>IF(G269&gt;0,C259+1,C259)</f>
        <v>0</v>
      </c>
      <c r="D269" s="2064"/>
      <c r="E269" s="2102" t="s">
        <v>6044</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5" outlineLevel="1">
      <c r="A270" s="2052" t="e">
        <f t="shared" si="37"/>
        <v>#N/A</v>
      </c>
      <c r="B270" s="2074"/>
      <c r="C270" s="2086"/>
      <c r="D270" s="2064"/>
      <c r="E270" s="2092" t="s">
        <v>6037</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ht="15" outlineLevel="1">
      <c r="A271" s="2052" t="str">
        <f t="shared" ref="A271:A294" si="38">VLOOKUP(B271,DonGia,3,0)</f>
        <v>Cáp đồng bọc CV50</v>
      </c>
      <c r="B271" s="2074" t="s">
        <v>272</v>
      </c>
      <c r="C271" s="2086"/>
      <c r="D271" s="2064">
        <v>0</v>
      </c>
      <c r="E271" s="2065" t="s">
        <v>6220</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ht="15" outlineLevel="1">
      <c r="A272" s="2052" t="str">
        <f t="shared" si="38"/>
        <v>Cáp đồng bọc CV25</v>
      </c>
      <c r="B272" s="2074" t="s">
        <v>1522</v>
      </c>
      <c r="C272" s="2086"/>
      <c r="D272" s="2064">
        <v>0</v>
      </c>
      <c r="E272" s="2065" t="s">
        <v>6221</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ht="15"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ht="15" outlineLevel="1">
      <c r="A274" s="2052" t="str">
        <f t="shared" si="38"/>
        <v>Cáp đồng bọc CV50</v>
      </c>
      <c r="B274" s="2074" t="s">
        <v>272</v>
      </c>
      <c r="C274" s="2071"/>
      <c r="D274" s="2064">
        <v>0</v>
      </c>
      <c r="E274" s="2065" t="s">
        <v>6222</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ht="15" outlineLevel="1">
      <c r="A275" s="2052" t="str">
        <f t="shared" si="38"/>
        <v>Kẹp ép WR cỡ dây 50mm2</v>
      </c>
      <c r="B275" s="2074" t="s">
        <v>902</v>
      </c>
      <c r="C275" s="2071"/>
      <c r="D275" s="2064">
        <v>0</v>
      </c>
      <c r="E275" s="2065" t="s">
        <v>6223</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ht="15" outlineLevel="1">
      <c r="A276" s="2052" t="str">
        <f t="shared" si="38"/>
        <v>Kẹp ép WR cỡ dây 50mm2</v>
      </c>
      <c r="B276" s="2074" t="s">
        <v>902</v>
      </c>
      <c r="C276" s="2071"/>
      <c r="D276" s="2064">
        <v>0</v>
      </c>
      <c r="E276" s="2065" t="s">
        <v>6224</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ht="15" outlineLevel="1">
      <c r="A277" s="2052" t="str">
        <f t="shared" si="38"/>
        <v>Băng keo cách điện</v>
      </c>
      <c r="B277" s="2074" t="s">
        <v>6045</v>
      </c>
      <c r="C277" s="2071"/>
      <c r="D277" s="2064">
        <v>0</v>
      </c>
      <c r="E277" s="2065" t="s">
        <v>5715</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ht="15" outlineLevel="1">
      <c r="A278" s="2052" t="str">
        <f t="shared" si="38"/>
        <v xml:space="preserve">Đầu cosse ép Cu 25mm2 </v>
      </c>
      <c r="B278" s="2074" t="s">
        <v>6046</v>
      </c>
      <c r="C278" s="2071"/>
      <c r="D278" s="2064" t="s">
        <v>5638</v>
      </c>
      <c r="E278" s="2065" t="s">
        <v>5651</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ht="15" outlineLevel="1">
      <c r="A279" s="2052" t="str">
        <f t="shared" si="38"/>
        <v xml:space="preserve">Đầu cosse ép Cu 25mm2 </v>
      </c>
      <c r="B279" s="2074" t="s">
        <v>6046</v>
      </c>
      <c r="C279" s="2071"/>
      <c r="D279" s="2064" t="s">
        <v>5638</v>
      </c>
      <c r="E279" s="2065" t="s">
        <v>5651</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ht="15" outlineLevel="1">
      <c r="A280" s="2052" t="str">
        <f t="shared" si="38"/>
        <v>Đầu cosse ép Cu 50mm2</v>
      </c>
      <c r="B280" s="2074" t="s">
        <v>6047</v>
      </c>
      <c r="C280" s="2071"/>
      <c r="D280" s="2064" t="s">
        <v>5639</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ht="15"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ht="15"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ht="15" outlineLevel="1">
      <c r="A283" s="2052" t="str">
        <f t="shared" si="38"/>
        <v>Nắp che đầu sứ MBA</v>
      </c>
      <c r="B283" s="2075" t="s">
        <v>6034</v>
      </c>
      <c r="C283" s="2071"/>
      <c r="D283" s="2064">
        <v>0</v>
      </c>
      <c r="E283" s="2065" t="s">
        <v>5623</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ht="15"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ht="15" outlineLevel="1">
      <c r="A285" s="2052" t="str">
        <f t="shared" si="38"/>
        <v>Cổ dê kẹp ống PVC Ø 114</v>
      </c>
      <c r="B285" s="2077" t="s">
        <v>1857</v>
      </c>
      <c r="C285" s="2071"/>
      <c r="D285" s="2064">
        <v>0</v>
      </c>
      <c r="E285" s="2065" t="s">
        <v>5176</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ht="15"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ht="15"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ht="15"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ht="15" outlineLevel="1">
      <c r="A289" s="2052" t="str">
        <f t="shared" si="38"/>
        <v>Keo silicon bít miệng ống</v>
      </c>
      <c r="B289" s="2074" t="s">
        <v>487</v>
      </c>
      <c r="C289" s="2071"/>
      <c r="D289" s="2064">
        <v>0</v>
      </c>
      <c r="E289" s="2065" t="s">
        <v>3552</v>
      </c>
      <c r="F289" s="2064" t="s">
        <v>5720</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ht="15" outlineLevel="1">
      <c r="A290" s="2052" t="str">
        <f t="shared" si="38"/>
        <v>Băng keo cách điện</v>
      </c>
      <c r="B290" s="2077" t="s">
        <v>669</v>
      </c>
      <c r="C290" s="2071"/>
      <c r="D290" s="2064">
        <v>0</v>
      </c>
      <c r="E290" s="2065" t="s">
        <v>5715</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ht="15" outlineLevel="1">
      <c r="A291" s="2052" t="str">
        <f t="shared" si="38"/>
        <v>Lắp ống nhựa PVC D90</v>
      </c>
      <c r="B291" s="2074" t="s">
        <v>2177</v>
      </c>
      <c r="C291" s="2071"/>
      <c r="D291" s="2064" t="s">
        <v>5464</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ht="15" outlineLevel="1">
      <c r="A292" s="2052" t="str">
        <f t="shared" si="38"/>
        <v>Lắp cáp đồng xuống thiết bị D ≤ 95mm2</v>
      </c>
      <c r="B292" s="2077" t="s">
        <v>1521</v>
      </c>
      <c r="C292" s="2071"/>
      <c r="D292" s="2064" t="s">
        <v>5487</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ht="15" outlineLevel="1">
      <c r="A293" s="2052" t="str">
        <f t="shared" si="38"/>
        <v>Bảng tên trạm, bảng báo nguy hiểm + đinh vít</v>
      </c>
      <c r="B293" s="2074" t="s">
        <v>288</v>
      </c>
      <c r="C293" s="2104">
        <f>IF(G293&gt;0,C269+1,C269)</f>
        <v>0</v>
      </c>
      <c r="D293" s="2105"/>
      <c r="E293" s="2065" t="s">
        <v>5627</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ht="15" outlineLevel="1">
      <c r="A294" s="2052" t="e">
        <f t="shared" si="38"/>
        <v>#N/A</v>
      </c>
      <c r="B294" s="2074"/>
      <c r="C294" s="2109"/>
      <c r="D294" s="2110"/>
      <c r="E294" s="2083"/>
      <c r="F294" s="2566"/>
      <c r="G294" s="2566"/>
      <c r="H294" s="2566"/>
      <c r="I294" s="2566"/>
      <c r="J294" s="2602" t="s">
        <v>6035</v>
      </c>
      <c r="K294" s="2602"/>
      <c r="L294" s="2111">
        <f>SUM(L220:L293)</f>
        <v>0</v>
      </c>
      <c r="M294" s="2111">
        <f>SUM(M211:M293)</f>
        <v>0</v>
      </c>
      <c r="N294" s="2111">
        <f>SUM(N220:N293)</f>
        <v>0</v>
      </c>
      <c r="O294" s="2111">
        <f>SUM(O220:O293)</f>
        <v>0</v>
      </c>
      <c r="P294" s="2114"/>
    </row>
    <row r="295" spans="1:16" s="2049" customFormat="1" ht="13.9" customHeight="1">
      <c r="A295" s="2093" t="str">
        <f>IF(G300&lt;&gt;0,1,"")</f>
        <v/>
      </c>
      <c r="B295" s="2075"/>
      <c r="C295" s="2567"/>
      <c r="D295" s="2093"/>
    </row>
    <row r="296" spans="1:16" s="2049" customFormat="1" ht="15"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ht="15" outlineLevel="1">
      <c r="A297" s="2052" t="e">
        <f t="shared" si="39"/>
        <v>#N/A</v>
      </c>
      <c r="B297" s="2074" t="s">
        <v>6016</v>
      </c>
      <c r="C297" s="2592" t="s">
        <v>1704</v>
      </c>
      <c r="D297" s="2593" t="s">
        <v>2589</v>
      </c>
      <c r="E297" s="2595" t="s">
        <v>2590</v>
      </c>
      <c r="F297" s="2592" t="s">
        <v>2585</v>
      </c>
      <c r="G297" s="2053" t="s">
        <v>6017</v>
      </c>
      <c r="H297" s="2056" t="s">
        <v>6018</v>
      </c>
      <c r="I297" s="2563"/>
      <c r="J297" s="2563"/>
      <c r="K297" s="2564"/>
      <c r="L297" s="2056" t="s">
        <v>6019</v>
      </c>
      <c r="M297" s="2563"/>
      <c r="N297" s="2563"/>
      <c r="O297" s="2564"/>
      <c r="P297" s="2592" t="s">
        <v>2591</v>
      </c>
    </row>
    <row r="298" spans="1:16" s="2049" customFormat="1" ht="15" outlineLevel="1">
      <c r="A298" s="2052" t="e">
        <f t="shared" si="39"/>
        <v>#N/A</v>
      </c>
      <c r="B298" s="2074"/>
      <c r="C298" s="2592"/>
      <c r="D298" s="2594"/>
      <c r="E298" s="2596"/>
      <c r="F298" s="2592"/>
      <c r="G298" s="2055" t="s">
        <v>2280</v>
      </c>
      <c r="H298" s="2056" t="s">
        <v>6020</v>
      </c>
      <c r="I298" s="2056" t="s">
        <v>6021</v>
      </c>
      <c r="J298" s="2056" t="s">
        <v>6022</v>
      </c>
      <c r="K298" s="2056" t="s">
        <v>6023</v>
      </c>
      <c r="L298" s="2056" t="s">
        <v>6020</v>
      </c>
      <c r="M298" s="2056" t="s">
        <v>6021</v>
      </c>
      <c r="N298" s="2056" t="s">
        <v>6022</v>
      </c>
      <c r="O298" s="2056" t="s">
        <v>6023</v>
      </c>
      <c r="P298" s="2592"/>
    </row>
    <row r="299" spans="1:16" s="2049" customFormat="1" ht="15"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ht="15" outlineLevel="1">
      <c r="A300" s="2052" t="str">
        <f t="shared" si="39"/>
        <v>Máy biến áp 12,7/0,23-0,46kV 50kVA</v>
      </c>
      <c r="B300" s="2062" t="str">
        <f>IF($F$8=22,"TR501","TR50")</f>
        <v>TR501</v>
      </c>
      <c r="C300" s="2063">
        <f>IF(G300&gt;0,1,0)</f>
        <v>0</v>
      </c>
      <c r="D300" s="2064" t="s">
        <v>5499</v>
      </c>
      <c r="E300" s="2065" t="s">
        <v>5502</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ht="15" outlineLevel="1">
      <c r="A301" s="2052" t="str">
        <f t="shared" si="39"/>
        <v>FCO 24kV - 100A</v>
      </c>
      <c r="B301" s="2062" t="str">
        <f>"FCO100-"&amp;$F$8</f>
        <v>FCO100-22</v>
      </c>
      <c r="C301" s="2063">
        <f t="shared" ref="C301:C308" si="44">IF(G301&gt;0,C300+1,C300)</f>
        <v>0</v>
      </c>
      <c r="D301" s="2064" t="s">
        <v>5513</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ht="15"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ht="15" outlineLevel="1">
      <c r="A303" s="2052" t="str">
        <f t="shared" si="39"/>
        <v>Chống sét van LA-18KV-10KA</v>
      </c>
      <c r="B303" s="2075" t="str">
        <f>"LA"&amp;$F$6</f>
        <v>LA18</v>
      </c>
      <c r="C303" s="2063">
        <f t="shared" si="44"/>
        <v>0</v>
      </c>
      <c r="D303" s="2064" t="s">
        <v>5517</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ht="15" outlineLevel="1">
      <c r="A304" s="2052" t="str">
        <f t="shared" si="39"/>
        <v xml:space="preserve">MCCB 3 cực 600V -250A - 36KA </v>
      </c>
      <c r="B304" s="2076" t="s">
        <v>1556</v>
      </c>
      <c r="C304" s="2063">
        <f t="shared" si="44"/>
        <v>0</v>
      </c>
      <c r="D304" s="2064">
        <v>0</v>
      </c>
      <c r="E304" s="2065" t="s">
        <v>5597</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ht="15"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ht="15"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ht="15"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ht="15"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ht="15" outlineLevel="1">
      <c r="A309" s="2052" t="e">
        <f t="shared" si="39"/>
        <v>#N/A</v>
      </c>
      <c r="B309" s="2074"/>
      <c r="C309" s="2079"/>
      <c r="D309" s="2080"/>
      <c r="E309" s="2061"/>
      <c r="F309" s="2079"/>
      <c r="G309" s="2079"/>
      <c r="H309" s="2079"/>
      <c r="I309" s="2079"/>
      <c r="J309" s="2061" t="s">
        <v>6025</v>
      </c>
      <c r="K309" s="2079"/>
      <c r="L309" s="2061">
        <f>SUM(L300:L308)</f>
        <v>0</v>
      </c>
      <c r="M309" s="2061"/>
      <c r="N309" s="2061">
        <f>SUM(N300:N308)</f>
        <v>0</v>
      </c>
      <c r="O309" s="2061">
        <f>SUM(O300:O308)</f>
        <v>0</v>
      </c>
      <c r="P309" s="2114"/>
    </row>
    <row r="310" spans="1:18" s="2049" customFormat="1" ht="15"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ht="15"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ht="15" outlineLevel="1">
      <c r="A312" s="2052" t="e">
        <f t="shared" si="39"/>
        <v>#N/A</v>
      </c>
      <c r="B312" s="2074"/>
      <c r="C312" s="2089">
        <f>IF(G312&gt;0,C311+1,C311)</f>
        <v>0</v>
      </c>
      <c r="D312" s="2090"/>
      <c r="E312" s="2091" t="s">
        <v>6042</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5" outlineLevel="1">
      <c r="A313" s="2052" t="e">
        <f t="shared" si="39"/>
        <v>#N/A</v>
      </c>
      <c r="B313" s="2074"/>
      <c r="C313" s="2086"/>
      <c r="D313" s="2090"/>
      <c r="E313" s="2092" t="s">
        <v>6037</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ht="15"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ht="15"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ht="15"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ht="15"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5" outlineLevel="1">
      <c r="A318" s="2052" t="e">
        <f t="shared" si="39"/>
        <v>#N/A</v>
      </c>
      <c r="B318" s="2074"/>
      <c r="C318" s="2086"/>
      <c r="D318" s="2090"/>
      <c r="E318" s="2092" t="s">
        <v>6037</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ht="15" outlineLevel="1">
      <c r="A319" s="2052" t="str">
        <f t="shared" si="39"/>
        <v>Đà cản BTCT 1,2m</v>
      </c>
      <c r="B319" s="2077" t="s">
        <v>633</v>
      </c>
      <c r="C319" s="2071"/>
      <c r="D319" s="2064" t="s">
        <v>4965</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ht="15" outlineLevel="1">
      <c r="A320" s="2052" t="str">
        <f t="shared" si="39"/>
        <v>Boulon 22x650+ 2 long đền vuông D24-50x50x3/Zn</v>
      </c>
      <c r="B320" s="2077" t="s">
        <v>564</v>
      </c>
      <c r="C320" s="2071"/>
      <c r="D320" s="2064">
        <v>0</v>
      </c>
      <c r="E320" s="2065" t="s">
        <v>4990</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ht="15" outlineLevel="1">
      <c r="A321" s="2052" t="str">
        <f t="shared" si="39"/>
        <v>Đào hố móng đất cấp 3 sâu &gt;1m</v>
      </c>
      <c r="B321" s="2077" t="s">
        <v>636</v>
      </c>
      <c r="C321" s="2071"/>
      <c r="D321" s="2064" t="s">
        <v>1742</v>
      </c>
      <c r="E321" s="2065" t="s">
        <v>5241</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ht="15" outlineLevel="1">
      <c r="A322" s="2052" t="str">
        <f t="shared" si="39"/>
        <v>Đắp đất hố móng, độ chặt k=0,95</v>
      </c>
      <c r="B322" s="2077" t="s">
        <v>21</v>
      </c>
      <c r="C322" s="2071"/>
      <c r="D322" s="2064" t="s">
        <v>5242</v>
      </c>
      <c r="E322" s="2065" t="s">
        <v>5243</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ht="15"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5" outlineLevel="1">
      <c r="A324" s="2052" t="e">
        <f t="shared" si="39"/>
        <v>#N/A</v>
      </c>
      <c r="B324" s="2074"/>
      <c r="C324" s="2086"/>
      <c r="D324" s="2090"/>
      <c r="E324" s="2116" t="s">
        <v>6037</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ht="15" outlineLevel="1">
      <c r="A325" s="2052" t="str">
        <f t="shared" si="39"/>
        <v>Đà Composite 110x80x5x800</v>
      </c>
      <c r="B325" s="2077" t="s">
        <v>5075</v>
      </c>
      <c r="C325" s="2071"/>
      <c r="D325" s="2064">
        <v>0</v>
      </c>
      <c r="E325" s="2065" t="s">
        <v>4784</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ht="15" outlineLevel="1">
      <c r="A326" s="2052" t="str">
        <f t="shared" si="39"/>
        <v>Chống Composite 40x10x710</v>
      </c>
      <c r="B326" s="2077" t="s">
        <v>5079</v>
      </c>
      <c r="C326" s="2071"/>
      <c r="D326" s="2064">
        <v>0</v>
      </c>
      <c r="E326" s="2065" t="s">
        <v>5080</v>
      </c>
      <c r="F326" s="2064" t="s">
        <v>5078</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ht="15" outlineLevel="1">
      <c r="A327" s="2052" t="str">
        <f t="shared" si="39"/>
        <v>Bass LL bắt FCO, LA</v>
      </c>
      <c r="B327" s="2077" t="s">
        <v>1835</v>
      </c>
      <c r="C327" s="2071"/>
      <c r="D327" s="2064">
        <v>0</v>
      </c>
      <c r="E327" s="2065" t="s">
        <v>4996</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ht="15" outlineLevel="1">
      <c r="A328" s="2052" t="str">
        <f t="shared" ref="A328:A359" si="49">VLOOKUP(B328,DonGia,3,0)</f>
        <v>Nắp che đầu cực FCO</v>
      </c>
      <c r="B328" s="2077" t="s">
        <v>6029</v>
      </c>
      <c r="C328" s="2071"/>
      <c r="D328" s="2064">
        <v>0</v>
      </c>
      <c r="E328" s="2065" t="s">
        <v>5615</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ht="15" outlineLevel="1">
      <c r="A329" s="2052" t="str">
        <f t="shared" si="49"/>
        <v>Nắp che đầu cực LA</v>
      </c>
      <c r="B329" s="2077" t="s">
        <v>6030</v>
      </c>
      <c r="C329" s="2071"/>
      <c r="D329" s="2064">
        <v>0</v>
      </c>
      <c r="E329" s="2065" t="s">
        <v>5621</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ht="15"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ht="15"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ht="15" outlineLevel="1">
      <c r="A332" s="2052" t="str">
        <f t="shared" si="49"/>
        <v>Lắp xà đỡ ≤ 25kg</v>
      </c>
      <c r="B332" s="2077" t="s">
        <v>1990</v>
      </c>
      <c r="C332" s="2071"/>
      <c r="D332" s="2064" t="s">
        <v>5295</v>
      </c>
      <c r="E332" s="2065" t="s">
        <v>5296</v>
      </c>
      <c r="F332" s="2064" t="s">
        <v>2433</v>
      </c>
      <c r="G332" s="2071">
        <f>G323</f>
        <v>0</v>
      </c>
      <c r="H332" s="2067">
        <v>0</v>
      </c>
      <c r="I332" s="2072"/>
      <c r="J332" s="2097" t="s">
        <v>6210</v>
      </c>
      <c r="K332" s="2067">
        <v>0</v>
      </c>
      <c r="L332" s="2073">
        <f t="shared" si="45"/>
        <v>0</v>
      </c>
      <c r="M332" s="2073">
        <f>I332*G332</f>
        <v>0</v>
      </c>
      <c r="N332" s="2098">
        <f>106640*G332*1.5</f>
        <v>0</v>
      </c>
      <c r="O332" s="2072">
        <f t="shared" si="48"/>
        <v>0</v>
      </c>
      <c r="P332" s="2099"/>
    </row>
    <row r="333" spans="1:18" s="2049" customFormat="1" ht="15"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5" outlineLevel="1">
      <c r="A334" s="2052" t="e">
        <f t="shared" si="49"/>
        <v>#N/A</v>
      </c>
      <c r="B334" s="2074"/>
      <c r="C334" s="2071"/>
      <c r="D334" s="2094"/>
      <c r="E334" s="2116" t="s">
        <v>6037</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ht="15"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ht="15" outlineLevel="1">
      <c r="A336" s="2052" t="str">
        <f t="shared" si="49"/>
        <v>Cọc tiếp đất Þ 16- 2,4m + kẹp cọc mạ đồng</v>
      </c>
      <c r="B336" s="2077" t="s">
        <v>1504</v>
      </c>
      <c r="C336" s="2071"/>
      <c r="D336" s="2064">
        <v>0</v>
      </c>
      <c r="E336" s="2065" t="s">
        <v>5081</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ht="15"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ht="15"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ht="15"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ht="15" outlineLevel="1">
      <c r="A340" s="2052" t="str">
        <f t="shared" si="49"/>
        <v>Cổ dê kẹp ống PVC  21</v>
      </c>
      <c r="B340" s="2077" t="s">
        <v>523</v>
      </c>
      <c r="C340" s="2071"/>
      <c r="D340" s="2064">
        <v>0</v>
      </c>
      <c r="E340" s="2065" t="s">
        <v>5170</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ht="15" outlineLevel="1">
      <c r="A341" s="2052" t="str">
        <f t="shared" si="49"/>
        <v>Kéo dây tiếp địa trong TBA</v>
      </c>
      <c r="B341" s="2074" t="s">
        <v>2178</v>
      </c>
      <c r="C341" s="2071"/>
      <c r="D341" s="2064" t="s">
        <v>5263</v>
      </c>
      <c r="E341" s="2065" t="s">
        <v>5264</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ht="15" outlineLevel="1">
      <c r="A342" s="2052" t="str">
        <f t="shared" si="49"/>
        <v>Đóng cọc tiếp địa trong TBA</v>
      </c>
      <c r="B342" s="2077" t="s">
        <v>899</v>
      </c>
      <c r="C342" s="2071"/>
      <c r="D342" s="2064" t="s">
        <v>5268</v>
      </c>
      <c r="E342" s="2065" t="s">
        <v>5269</v>
      </c>
      <c r="F342" s="2064" t="s">
        <v>2272</v>
      </c>
      <c r="G342" s="2071">
        <f>G336</f>
        <v>0</v>
      </c>
      <c r="H342" s="2067">
        <v>0</v>
      </c>
      <c r="I342" s="2072"/>
      <c r="J342" s="2067" t="s">
        <v>6219</v>
      </c>
      <c r="K342" s="2067">
        <v>1573.075</v>
      </c>
      <c r="L342" s="2073">
        <f>H342*G342</f>
        <v>0</v>
      </c>
      <c r="M342" s="2073">
        <f>I342*G342</f>
        <v>0</v>
      </c>
      <c r="N342" s="2067">
        <v>0</v>
      </c>
      <c r="O342" s="2072">
        <f>K342*G342</f>
        <v>0</v>
      </c>
      <c r="P342" s="2099"/>
    </row>
    <row r="343" spans="1:16" s="2049" customFormat="1" ht="15" outlineLevel="1">
      <c r="A343" s="2052" t="str">
        <f t="shared" si="49"/>
        <v>Đào rãnh tiếp địa đất cấp 3</v>
      </c>
      <c r="B343" s="2074" t="s">
        <v>1051</v>
      </c>
      <c r="C343" s="2071"/>
      <c r="D343" s="2064" t="s">
        <v>5253</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ht="15" outlineLevel="1">
      <c r="A344" s="2052" t="str">
        <f t="shared" si="49"/>
        <v>Đắp đất rãnh tiếp độ chặt k=0,85</v>
      </c>
      <c r="B344" s="2077" t="s">
        <v>1052</v>
      </c>
      <c r="C344" s="2071"/>
      <c r="D344" s="2064" t="s">
        <v>5242</v>
      </c>
      <c r="E344" s="2065" t="s">
        <v>5254</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ht="15"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5" outlineLevel="1">
      <c r="A346" s="2052" t="e">
        <f t="shared" si="49"/>
        <v>#N/A</v>
      </c>
      <c r="B346" s="2074"/>
      <c r="C346" s="2086"/>
      <c r="D346" s="2090"/>
      <c r="E346" s="2116" t="s">
        <v>6037</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ht="15" outlineLevel="1">
      <c r="A347" s="2052" t="str">
        <f t="shared" si="49"/>
        <v>Tủ MCCB trạm treo 1 pha</v>
      </c>
      <c r="B347" s="2125" t="s">
        <v>5569</v>
      </c>
      <c r="C347" s="2071"/>
      <c r="D347" s="2064" t="s">
        <v>5570</v>
      </c>
      <c r="E347" s="2065" t="s">
        <v>5571</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ht="15"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ht="15" outlineLevel="1">
      <c r="A349" s="2052" t="str">
        <f t="shared" si="49"/>
        <v xml:space="preserve">Bakelit 550x450 dầy 10mm </v>
      </c>
      <c r="B349" s="2074" t="s">
        <v>877</v>
      </c>
      <c r="C349" s="2071"/>
      <c r="D349" s="2064">
        <v>0</v>
      </c>
      <c r="E349" s="2065" t="s">
        <v>5713</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ht="15" outlineLevel="1">
      <c r="A350" s="2052" t="e">
        <f t="shared" si="49"/>
        <v>#N/A</v>
      </c>
      <c r="B350" s="2074"/>
      <c r="C350" s="2086">
        <f>IF(G350&gt;0,C345+1,C345)</f>
        <v>0</v>
      </c>
      <c r="D350" s="2090"/>
      <c r="E350" s="2115" t="s">
        <v>6043</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5" outlineLevel="1">
      <c r="A351" s="2052" t="e">
        <f t="shared" si="49"/>
        <v>#N/A</v>
      </c>
      <c r="B351" s="2074"/>
      <c r="C351" s="2086"/>
      <c r="D351" s="2090"/>
      <c r="E351" s="2116" t="s">
        <v>6037</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ht="15" outlineLevel="1">
      <c r="A352" s="2052" t="str">
        <f t="shared" si="49"/>
        <v>Cáp 24KV C/XLPE/PVC 25mm2</v>
      </c>
      <c r="B352" s="2077" t="s">
        <v>694</v>
      </c>
      <c r="C352" s="2071"/>
      <c r="D352" s="2064">
        <v>0</v>
      </c>
      <c r="E352" s="2065" t="s">
        <v>5005</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ht="15"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ht="15"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ht="15" outlineLevel="1">
      <c r="A355" s="2052" t="str">
        <f t="shared" si="49"/>
        <v>Lắp cáp đồng xuống thiết bị D ≤ 95mm2</v>
      </c>
      <c r="B355" s="2062" t="s">
        <v>1521</v>
      </c>
      <c r="C355" s="2071"/>
      <c r="D355" s="2064" t="s">
        <v>5487</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ht="15" outlineLevel="1">
      <c r="A356" s="2052" t="e">
        <f t="shared" si="49"/>
        <v>#N/A</v>
      </c>
      <c r="B356" s="2074"/>
      <c r="C356" s="2086">
        <f>IF(G356&gt;0,C350+1,C350)</f>
        <v>0</v>
      </c>
      <c r="D356" s="2090"/>
      <c r="E356" s="2102" t="s">
        <v>6048</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5" outlineLevel="1">
      <c r="A357" s="2052" t="e">
        <f t="shared" si="49"/>
        <v>#N/A</v>
      </c>
      <c r="B357" s="2074"/>
      <c r="C357" s="2086"/>
      <c r="D357" s="2090"/>
      <c r="E357" s="2092" t="s">
        <v>6037</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ht="15"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ht="15"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ht="15" outlineLevel="1">
      <c r="A360" s="2052" t="str">
        <f t="shared" ref="A360:A375" si="50">VLOOKUP(B360,DonGia,3,0)</f>
        <v>Đầu cosse ép Cu 95mm2</v>
      </c>
      <c r="B360" s="2074" t="s">
        <v>6049</v>
      </c>
      <c r="C360" s="2071"/>
      <c r="D360" s="2064" t="s">
        <v>5641</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ht="15" outlineLevel="1">
      <c r="A361" s="2052" t="str">
        <f t="shared" si="50"/>
        <v>Đầu cosse ép Cu 50mm2</v>
      </c>
      <c r="B361" s="2074" t="s">
        <v>6050</v>
      </c>
      <c r="C361" s="2071"/>
      <c r="D361" s="2064" t="s">
        <v>5639</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ht="15"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ht="15" outlineLevel="1">
      <c r="A363" s="2052" t="str">
        <f t="shared" si="50"/>
        <v>Chụp đầu cosse  50mm2</v>
      </c>
      <c r="B363" s="2074" t="s">
        <v>6051</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ht="15" outlineLevel="1">
      <c r="A364" s="2052" t="str">
        <f t="shared" si="50"/>
        <v>Nắp che đầu sứ MBA</v>
      </c>
      <c r="B364" s="2074" t="s">
        <v>6034</v>
      </c>
      <c r="C364" s="2071"/>
      <c r="D364" s="2064">
        <v>0</v>
      </c>
      <c r="E364" s="2065" t="s">
        <v>5623</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ht="15"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ht="15" outlineLevel="1">
      <c r="A366" s="2052" t="str">
        <f t="shared" si="50"/>
        <v>Cổ dê kẹp ống PVC Ø 90</v>
      </c>
      <c r="B366" s="2077" t="s">
        <v>275</v>
      </c>
      <c r="C366" s="2071"/>
      <c r="D366" s="2064">
        <v>0</v>
      </c>
      <c r="E366" s="2065" t="s">
        <v>5175</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ht="15" outlineLevel="1">
      <c r="A367" s="2052" t="str">
        <f t="shared" si="50"/>
        <v>Co  90 độ PVC 90</v>
      </c>
      <c r="B367" s="2074" t="s">
        <v>69</v>
      </c>
      <c r="C367" s="2071"/>
      <c r="D367" s="2064">
        <v>0</v>
      </c>
      <c r="E367" s="2065" t="s">
        <v>5711</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ht="15"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ht="15"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ht="15" outlineLevel="1">
      <c r="A370" s="2052" t="str">
        <f t="shared" si="50"/>
        <v>Keo silicon bít miệng ống</v>
      </c>
      <c r="B370" s="2074" t="s">
        <v>487</v>
      </c>
      <c r="C370" s="2071"/>
      <c r="D370" s="2064">
        <v>0</v>
      </c>
      <c r="E370" s="2065" t="s">
        <v>3552</v>
      </c>
      <c r="F370" s="2064" t="s">
        <v>5720</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ht="15" outlineLevel="1">
      <c r="A371" s="2052" t="str">
        <f t="shared" si="50"/>
        <v>Băng keo cách điện</v>
      </c>
      <c r="B371" s="2077" t="s">
        <v>669</v>
      </c>
      <c r="C371" s="2071"/>
      <c r="D371" s="2094"/>
      <c r="E371" s="2065" t="s">
        <v>5715</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ht="15" outlineLevel="1">
      <c r="A372" s="2052" t="str">
        <f t="shared" si="50"/>
        <v>Lắp ống nhựa PVC D90</v>
      </c>
      <c r="B372" s="2074" t="s">
        <v>2177</v>
      </c>
      <c r="C372" s="2071"/>
      <c r="D372" s="2064" t="s">
        <v>5464</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ht="15" outlineLevel="1">
      <c r="A373" s="2052" t="str">
        <f t="shared" si="50"/>
        <v>Lắp cáp đồng xuống thiết bị D ≤ 95mm2</v>
      </c>
      <c r="B373" s="2077" t="s">
        <v>1521</v>
      </c>
      <c r="C373" s="2071"/>
      <c r="D373" s="2064" t="s">
        <v>5487</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ht="15" outlineLevel="1">
      <c r="A374" s="2052" t="str">
        <f t="shared" si="50"/>
        <v>Bảng tên trạm, bảng báo nguy hiểm + đinh vít</v>
      </c>
      <c r="B374" s="2074" t="s">
        <v>288</v>
      </c>
      <c r="C374" s="2104">
        <f>IF(G374&gt;0,C356+1,C356)</f>
        <v>0</v>
      </c>
      <c r="D374" s="2105"/>
      <c r="E374" s="2065" t="s">
        <v>5627</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ht="15" outlineLevel="1">
      <c r="A375" s="2052" t="e">
        <f t="shared" si="50"/>
        <v>#N/A</v>
      </c>
      <c r="B375" s="2074"/>
      <c r="C375" s="2109"/>
      <c r="D375" s="2110"/>
      <c r="E375" s="2083"/>
      <c r="F375" s="2566"/>
      <c r="G375" s="2566"/>
      <c r="H375" s="2566"/>
      <c r="I375" s="2566"/>
      <c r="J375" s="2602" t="s">
        <v>6035</v>
      </c>
      <c r="K375" s="2602"/>
      <c r="L375" s="2111">
        <f>SUM(L311:L374)</f>
        <v>0</v>
      </c>
      <c r="M375" s="2111"/>
      <c r="N375" s="2111">
        <f>SUM(N311:N374)</f>
        <v>0</v>
      </c>
      <c r="O375" s="2111">
        <f>SUM(O311:O374)</f>
        <v>0</v>
      </c>
      <c r="P375" s="2114"/>
    </row>
    <row r="376" spans="1:16" s="2049" customFormat="1" ht="13.9" customHeight="1">
      <c r="A376" s="2093" t="str">
        <f>IF(G381&lt;&gt;0,1,"")</f>
        <v/>
      </c>
      <c r="B376" s="2075"/>
      <c r="C376" s="2567"/>
      <c r="D376" s="2093"/>
    </row>
    <row r="377" spans="1:16" s="2049" customFormat="1" ht="15"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ht="15" outlineLevel="1">
      <c r="A378" s="2052" t="e">
        <f t="shared" si="51"/>
        <v>#N/A</v>
      </c>
      <c r="B378" s="2074" t="s">
        <v>6016</v>
      </c>
      <c r="C378" s="2592" t="s">
        <v>1704</v>
      </c>
      <c r="D378" s="2593" t="s">
        <v>2589</v>
      </c>
      <c r="E378" s="2595" t="s">
        <v>2590</v>
      </c>
      <c r="F378" s="2592" t="s">
        <v>2585</v>
      </c>
      <c r="G378" s="2053" t="s">
        <v>6017</v>
      </c>
      <c r="H378" s="2056" t="s">
        <v>6018</v>
      </c>
      <c r="I378" s="2563"/>
      <c r="J378" s="2563"/>
      <c r="K378" s="2564"/>
      <c r="L378" s="2056" t="s">
        <v>6019</v>
      </c>
      <c r="M378" s="2563"/>
      <c r="N378" s="2563"/>
      <c r="O378" s="2564"/>
      <c r="P378" s="2592" t="s">
        <v>2591</v>
      </c>
    </row>
    <row r="379" spans="1:16" s="2049" customFormat="1" ht="15" outlineLevel="1">
      <c r="A379" s="2052" t="e">
        <f t="shared" si="51"/>
        <v>#N/A</v>
      </c>
      <c r="B379" s="2074"/>
      <c r="C379" s="2592"/>
      <c r="D379" s="2594"/>
      <c r="E379" s="2596"/>
      <c r="F379" s="2592"/>
      <c r="G379" s="2055" t="s">
        <v>2280</v>
      </c>
      <c r="H379" s="2056" t="s">
        <v>6020</v>
      </c>
      <c r="I379" s="2056" t="s">
        <v>6021</v>
      </c>
      <c r="J379" s="2056" t="s">
        <v>6022</v>
      </c>
      <c r="K379" s="2056" t="s">
        <v>6023</v>
      </c>
      <c r="L379" s="2056" t="s">
        <v>6020</v>
      </c>
      <c r="M379" s="2056" t="s">
        <v>6021</v>
      </c>
      <c r="N379" s="2056" t="s">
        <v>6022</v>
      </c>
      <c r="O379" s="2056" t="s">
        <v>6023</v>
      </c>
      <c r="P379" s="2592"/>
    </row>
    <row r="380" spans="1:16" s="2049" customFormat="1" ht="15"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ht="15" outlineLevel="1">
      <c r="A381" s="2052" t="str">
        <f t="shared" si="51"/>
        <v>Máy biến áp 12,7/0,23-0,46kV  75kVA</v>
      </c>
      <c r="B381" s="2062" t="str">
        <f>IF($F$8=22,"TR751","TR75")</f>
        <v>TR751</v>
      </c>
      <c r="C381" s="2063">
        <f>IF(G381&gt;0,1,0)</f>
        <v>0</v>
      </c>
      <c r="D381" s="2064" t="s">
        <v>5500</v>
      </c>
      <c r="E381" s="2065" t="s">
        <v>5503</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ht="15" outlineLevel="1">
      <c r="A382" s="2052" t="str">
        <f t="shared" si="51"/>
        <v>FCO 24kV - 100A</v>
      </c>
      <c r="B382" s="2062" t="str">
        <f>"FCO100-"&amp;$F$8</f>
        <v>FCO100-22</v>
      </c>
      <c r="C382" s="2063">
        <f t="shared" ref="C382:C389" si="56">IF(G382&gt;0,C381+1,C381)</f>
        <v>0</v>
      </c>
      <c r="D382" s="2064" t="s">
        <v>5513</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ht="15"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ht="15" outlineLevel="1">
      <c r="A384" s="2052" t="str">
        <f t="shared" si="51"/>
        <v>Chống sét van LA-18KV-10KA</v>
      </c>
      <c r="B384" s="2075" t="str">
        <f>"LA"&amp;$F$6</f>
        <v>LA18</v>
      </c>
      <c r="C384" s="2063">
        <f t="shared" si="56"/>
        <v>0</v>
      </c>
      <c r="D384" s="2064" t="s">
        <v>5517</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ht="15"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ht="15.75" outlineLevel="1">
      <c r="A386" s="2052" t="str">
        <f t="shared" si="51"/>
        <v>MCCB 3 cực 400V -200A - 35KA</v>
      </c>
      <c r="B386" s="2103" t="s">
        <v>1423</v>
      </c>
      <c r="C386" s="2063">
        <f t="shared" si="56"/>
        <v>0</v>
      </c>
      <c r="D386" s="2064">
        <v>0</v>
      </c>
      <c r="E386" s="2065" t="s">
        <v>5596</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ht="15"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ht="15"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ht="15"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ht="15" outlineLevel="1">
      <c r="A390" s="2052" t="e">
        <f t="shared" si="51"/>
        <v>#N/A</v>
      </c>
      <c r="B390" s="2074"/>
      <c r="C390" s="2079"/>
      <c r="D390" s="2080"/>
      <c r="E390" s="2061"/>
      <c r="F390" s="2079"/>
      <c r="G390" s="2570"/>
      <c r="H390" s="2079"/>
      <c r="I390" s="2079"/>
      <c r="J390" s="2061" t="s">
        <v>6025</v>
      </c>
      <c r="K390" s="2079"/>
      <c r="L390" s="2061">
        <f>SUM(L381:L389)</f>
        <v>0</v>
      </c>
      <c r="M390" s="2061"/>
      <c r="N390" s="2061">
        <f>SUM(N381:N389)</f>
        <v>0</v>
      </c>
      <c r="O390" s="2061">
        <f>SUM(O381:O389)</f>
        <v>0</v>
      </c>
      <c r="P390" s="2114"/>
    </row>
    <row r="391" spans="1:18" s="2049" customFormat="1" ht="15"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ht="15"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ht="15" outlineLevel="1">
      <c r="A393" s="2052" t="e">
        <f t="shared" si="51"/>
        <v>#N/A</v>
      </c>
      <c r="B393" s="2074"/>
      <c r="C393" s="2089">
        <f>IF(G393&gt;0,C392+1,C392)</f>
        <v>0</v>
      </c>
      <c r="D393" s="2090"/>
      <c r="E393" s="2091" t="s">
        <v>6042</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5" outlineLevel="1">
      <c r="A394" s="2052" t="e">
        <f t="shared" si="51"/>
        <v>#N/A</v>
      </c>
      <c r="B394" s="2074"/>
      <c r="C394" s="2086"/>
      <c r="D394" s="2090"/>
      <c r="E394" s="2092" t="s">
        <v>6037</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ht="15"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ht="15"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ht="15"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ht="15" outlineLevel="1">
      <c r="A398" s="2052" t="e">
        <f t="shared" si="51"/>
        <v>#N/A</v>
      </c>
      <c r="B398" s="2074"/>
      <c r="C398" s="2089">
        <f>IF(G398&gt;0,C393+1,C393)</f>
        <v>0</v>
      </c>
      <c r="D398" s="2090"/>
      <c r="E398" s="2091" t="s">
        <v>6052</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5" outlineLevel="1">
      <c r="A399" s="2052" t="e">
        <f t="shared" si="51"/>
        <v>#N/A</v>
      </c>
      <c r="B399" s="2074"/>
      <c r="C399" s="2086"/>
      <c r="D399" s="2090"/>
      <c r="E399" s="2092" t="s">
        <v>6037</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ht="15" outlineLevel="1">
      <c r="A400" s="2052" t="str">
        <f t="shared" si="51"/>
        <v>Đà U160x68x5x2800 đỡ MBA</v>
      </c>
      <c r="B400" s="2124" t="s">
        <v>1132</v>
      </c>
      <c r="C400" s="2071"/>
      <c r="D400" s="2064">
        <v>0</v>
      </c>
      <c r="E400" s="2065" t="s">
        <v>6225</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ht="15" outlineLevel="1">
      <c r="A401" s="2052" t="str">
        <f t="shared" si="51"/>
        <v>Boulon 16x250+ 2 long đền vuông D18-50x50x3/Zn</v>
      </c>
      <c r="B401" s="2077" t="s">
        <v>6053</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ht="15" outlineLevel="1">
      <c r="A402" s="2052" t="str">
        <f t="shared" si="51"/>
        <v>Lắp xà đỡ 2,8m đơn (42,84kg)</v>
      </c>
      <c r="B402" s="2124" t="s">
        <v>5315</v>
      </c>
      <c r="C402" s="2071"/>
      <c r="D402" s="2064" t="s">
        <v>5316</v>
      </c>
      <c r="E402" s="2065" t="s">
        <v>5317</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ht="15" outlineLevel="1">
      <c r="A403" s="2052" t="str">
        <f t="shared" si="51"/>
        <v>Đắp đất hố móng, độ chặt k=0,95</v>
      </c>
      <c r="B403" s="2077" t="s">
        <v>21</v>
      </c>
      <c r="C403" s="2071"/>
      <c r="D403" s="2064" t="s">
        <v>5242</v>
      </c>
      <c r="E403" s="2065" t="s">
        <v>5243</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ht="15"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5" outlineLevel="1">
      <c r="A405" s="2052" t="e">
        <f t="shared" si="51"/>
        <v>#N/A</v>
      </c>
      <c r="B405" s="2074"/>
      <c r="C405" s="2086"/>
      <c r="D405" s="2090"/>
      <c r="E405" s="2116" t="s">
        <v>6037</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ht="15" outlineLevel="1">
      <c r="A406" s="2052" t="str">
        <f t="shared" si="51"/>
        <v>Đà Composite 110x80x5x800</v>
      </c>
      <c r="B406" s="2077" t="s">
        <v>5075</v>
      </c>
      <c r="C406" s="2071"/>
      <c r="D406" s="2064">
        <v>0</v>
      </c>
      <c r="E406" s="2065" t="s">
        <v>4784</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ht="15" outlineLevel="1">
      <c r="A407" s="2052" t="str">
        <f t="shared" si="51"/>
        <v>Chống Composite 40x10x710</v>
      </c>
      <c r="B407" s="2077" t="s">
        <v>5079</v>
      </c>
      <c r="C407" s="2071"/>
      <c r="D407" s="2064">
        <v>0</v>
      </c>
      <c r="E407" s="2065" t="s">
        <v>5080</v>
      </c>
      <c r="F407" s="2064" t="s">
        <v>5078</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ht="15" outlineLevel="1">
      <c r="A408" s="2052" t="str">
        <f t="shared" si="51"/>
        <v>Bass LL bắt FCO, LA</v>
      </c>
      <c r="B408" s="2077" t="s">
        <v>1835</v>
      </c>
      <c r="C408" s="2071"/>
      <c r="D408" s="2064">
        <v>0</v>
      </c>
      <c r="E408" s="2065" t="s">
        <v>4996</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ht="15"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ht="15"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ht="15"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ht="15" outlineLevel="1">
      <c r="A412" s="2052" t="str">
        <f t="shared" si="61"/>
        <v>Lắp xà đỡ composite dài 800mm (3kg)</v>
      </c>
      <c r="B412" s="2077" t="s">
        <v>5287</v>
      </c>
      <c r="C412" s="2071"/>
      <c r="D412" s="2064" t="s">
        <v>5066</v>
      </c>
      <c r="E412" s="2065" t="s">
        <v>5288</v>
      </c>
      <c r="F412" s="2064" t="s">
        <v>2433</v>
      </c>
      <c r="G412" s="2128">
        <f>G404</f>
        <v>0</v>
      </c>
      <c r="H412" s="2067">
        <v>0</v>
      </c>
      <c r="I412" s="2072"/>
      <c r="J412" s="2097" t="s">
        <v>6217</v>
      </c>
      <c r="K412" s="2067">
        <v>0</v>
      </c>
      <c r="L412" s="2073">
        <f t="shared" si="57"/>
        <v>0</v>
      </c>
      <c r="M412" s="2073">
        <f>I412*G412</f>
        <v>0</v>
      </c>
      <c r="N412" s="2073">
        <v>0</v>
      </c>
      <c r="O412" s="2072">
        <f t="shared" si="60"/>
        <v>0</v>
      </c>
      <c r="P412" s="2099"/>
    </row>
    <row r="413" spans="1:18" s="2049" customFormat="1" ht="15"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5" outlineLevel="1">
      <c r="A414" s="2052" t="e">
        <f t="shared" si="61"/>
        <v>#N/A</v>
      </c>
      <c r="B414" s="2074"/>
      <c r="C414" s="2071"/>
      <c r="D414" s="2094"/>
      <c r="E414" s="2116" t="s">
        <v>6037</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ht="15" outlineLevel="1">
      <c r="A415" s="2052" t="str">
        <f t="shared" si="61"/>
        <v>Cáp đồng trần M25mm2</v>
      </c>
      <c r="B415" s="2074" t="s">
        <v>1029</v>
      </c>
      <c r="C415" s="2071"/>
      <c r="D415" s="2064">
        <v>0</v>
      </c>
      <c r="E415" s="2065" t="s">
        <v>6218</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ht="15" outlineLevel="1">
      <c r="A416" s="2052" t="str">
        <f t="shared" si="61"/>
        <v>Cọc tiếp đất Þ 16- 2,4m + kẹp cọc mạ đồng</v>
      </c>
      <c r="B416" s="2074" t="s">
        <v>1504</v>
      </c>
      <c r="C416" s="2071"/>
      <c r="D416" s="2064">
        <v>0</v>
      </c>
      <c r="E416" s="2065" t="s">
        <v>5081</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ht="15"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ht="15" outlineLevel="1">
      <c r="A418" s="2052" t="str">
        <f t="shared" si="61"/>
        <v>Cut PVC 21</v>
      </c>
      <c r="B418" s="2074" t="s">
        <v>6054</v>
      </c>
      <c r="C418" s="2071"/>
      <c r="D418" s="2064">
        <v>0</v>
      </c>
      <c r="E418" s="2065" t="s">
        <v>5710</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ht="15"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ht="15"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ht="15" outlineLevel="1">
      <c r="A421" s="2052" t="str">
        <f t="shared" si="61"/>
        <v>Cổ dê kẹp ống PVC  21</v>
      </c>
      <c r="B421" s="2074" t="s">
        <v>523</v>
      </c>
      <c r="C421" s="2071"/>
      <c r="D421" s="2064">
        <v>0</v>
      </c>
      <c r="E421" s="2065" t="s">
        <v>5170</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ht="15"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ht="15" outlineLevel="1">
      <c r="A423" s="2052" t="str">
        <f t="shared" si="61"/>
        <v>Đai thép Inox</v>
      </c>
      <c r="B423" s="2074" t="s">
        <v>5099</v>
      </c>
      <c r="C423" s="2071"/>
      <c r="D423" s="2064">
        <v>0</v>
      </c>
      <c r="E423" s="2065" t="s">
        <v>5100</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ht="15" outlineLevel="1">
      <c r="A424" s="2052" t="str">
        <f t="shared" si="61"/>
        <v>Khóa đai Inox</v>
      </c>
      <c r="B424" s="2074" t="s">
        <v>5101</v>
      </c>
      <c r="C424" s="2071"/>
      <c r="D424" s="2064">
        <v>0</v>
      </c>
      <c r="E424" s="2065" t="s">
        <v>5102</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ht="15" outlineLevel="1">
      <c r="A425" s="2052" t="str">
        <f t="shared" si="61"/>
        <v>Cổ dê kẹp ống PVC  21</v>
      </c>
      <c r="B425" s="2077" t="s">
        <v>523</v>
      </c>
      <c r="C425" s="2071"/>
      <c r="D425" s="2064">
        <v>0</v>
      </c>
      <c r="E425" s="2065" t="s">
        <v>5170</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ht="15" outlineLevel="1">
      <c r="A426" s="2052" t="str">
        <f t="shared" si="61"/>
        <v>Giếng tiếp địa khoan đất</v>
      </c>
      <c r="B426" s="2074" t="s">
        <v>6055</v>
      </c>
      <c r="C426" s="2071"/>
      <c r="D426" s="2064">
        <v>0</v>
      </c>
      <c r="E426" s="2065" t="s">
        <v>5628</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ht="15" outlineLevel="1">
      <c r="A427" s="2052" t="str">
        <f t="shared" si="61"/>
        <v>Kéo dây tiếp địa trong TBA</v>
      </c>
      <c r="B427" s="2074" t="s">
        <v>2178</v>
      </c>
      <c r="C427" s="2071"/>
      <c r="D427" s="2064" t="s">
        <v>5263</v>
      </c>
      <c r="E427" s="2065" t="s">
        <v>5264</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ht="15" outlineLevel="1">
      <c r="A428" s="2052" t="str">
        <f t="shared" si="61"/>
        <v>Đóng cọc tiếp địa trong TBA</v>
      </c>
      <c r="B428" s="2077" t="s">
        <v>899</v>
      </c>
      <c r="C428" s="2071"/>
      <c r="D428" s="2064" t="s">
        <v>5268</v>
      </c>
      <c r="E428" s="2065" t="s">
        <v>5269</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ht="15" outlineLevel="1">
      <c r="A429" s="2052" t="str">
        <f t="shared" si="61"/>
        <v>Đào rãnh tiếp địa đất cấp 3</v>
      </c>
      <c r="B429" s="2074" t="s">
        <v>1051</v>
      </c>
      <c r="C429" s="2071"/>
      <c r="D429" s="2064" t="s">
        <v>5253</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ht="15" outlineLevel="1">
      <c r="A430" s="2052" t="str">
        <f t="shared" si="61"/>
        <v>Đắp đất rãnh tiếp độ chặt k=0,85</v>
      </c>
      <c r="B430" s="2077" t="s">
        <v>1052</v>
      </c>
      <c r="C430" s="2071"/>
      <c r="D430" s="2064" t="s">
        <v>5242</v>
      </c>
      <c r="E430" s="2065" t="s">
        <v>5254</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ht="15"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5" outlineLevel="1">
      <c r="A432" s="2052" t="e">
        <f t="shared" si="61"/>
        <v>#N/A</v>
      </c>
      <c r="B432" s="2074"/>
      <c r="C432" s="2086"/>
      <c r="D432" s="2090"/>
      <c r="E432" s="2116" t="s">
        <v>6037</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ht="15" outlineLevel="1">
      <c r="A433" s="2052" t="str">
        <f t="shared" si="61"/>
        <v>Tủ MCCB trạm treo 1 pha</v>
      </c>
      <c r="B433" s="2074" t="s">
        <v>5569</v>
      </c>
      <c r="C433" s="2071"/>
      <c r="D433" s="2064" t="s">
        <v>5570</v>
      </c>
      <c r="E433" s="2065" t="s">
        <v>5571</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ht="15"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ht="15" outlineLevel="1">
      <c r="A435" s="2052" t="str">
        <f t="shared" si="61"/>
        <v xml:space="preserve">Bakelit 550x450 dầy 10mm </v>
      </c>
      <c r="B435" s="2074" t="s">
        <v>877</v>
      </c>
      <c r="C435" s="2071"/>
      <c r="D435" s="2064">
        <v>0</v>
      </c>
      <c r="E435" s="2065" t="s">
        <v>5713</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ht="15" outlineLevel="1">
      <c r="A436" s="2052" t="e">
        <f t="shared" si="61"/>
        <v>#N/A</v>
      </c>
      <c r="B436" s="2074"/>
      <c r="C436" s="2086">
        <f>IF(G436&gt;0,C431+1,C431)</f>
        <v>0</v>
      </c>
      <c r="D436" s="2090"/>
      <c r="E436" s="2115" t="s">
        <v>6056</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5" outlineLevel="1">
      <c r="A437" s="2052" t="e">
        <f t="shared" si="61"/>
        <v>#N/A</v>
      </c>
      <c r="B437" s="2074"/>
      <c r="C437" s="2086"/>
      <c r="D437" s="2090"/>
      <c r="E437" s="2116" t="s">
        <v>6037</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ht="15" outlineLevel="1">
      <c r="A438" s="2052" t="str">
        <f t="shared" si="61"/>
        <v>Cáp 24KV C/XLPE/PVC 25mm2</v>
      </c>
      <c r="B438" s="2077" t="s">
        <v>694</v>
      </c>
      <c r="C438" s="2071"/>
      <c r="D438" s="2064">
        <v>0</v>
      </c>
      <c r="E438" s="2065" t="s">
        <v>5005</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ht="15"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ht="15"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ht="15" outlineLevel="1">
      <c r="A441" s="2052" t="str">
        <f t="shared" ref="A441:A472" si="63">VLOOKUP(B441,DonGia,3,0)</f>
        <v>Nắp che đầu cực FCO</v>
      </c>
      <c r="B441" s="2077" t="s">
        <v>6029</v>
      </c>
      <c r="C441" s="2071"/>
      <c r="D441" s="2064">
        <v>0</v>
      </c>
      <c r="E441" s="2065" t="s">
        <v>5615</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ht="15" outlineLevel="1">
      <c r="A442" s="2052" t="str">
        <f t="shared" si="63"/>
        <v>Nắp che đầu cực LA</v>
      </c>
      <c r="B442" s="2077" t="s">
        <v>6030</v>
      </c>
      <c r="C442" s="2071"/>
      <c r="D442" s="2064">
        <v>0</v>
      </c>
      <c r="E442" s="2065" t="s">
        <v>5621</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ht="15" outlineLevel="1">
      <c r="A443" s="2052" t="str">
        <f t="shared" si="63"/>
        <v>Nắp che đầu sứ MBA</v>
      </c>
      <c r="B443" s="2062" t="s">
        <v>6034</v>
      </c>
      <c r="C443" s="2071"/>
      <c r="D443" s="2064">
        <v>0</v>
      </c>
      <c r="E443" s="2065" t="s">
        <v>5623</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ht="15" outlineLevel="1">
      <c r="A444" s="2052" t="str">
        <f t="shared" si="63"/>
        <v>Chụp cách điện kẹp quai</v>
      </c>
      <c r="B444" s="2062" t="s">
        <v>5619</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ht="15" outlineLevel="1">
      <c r="A445" s="2052" t="str">
        <f t="shared" si="63"/>
        <v>Lắp cáp đồng xuống thiết bị D ≤ 95mm2</v>
      </c>
      <c r="B445" s="2062" t="s">
        <v>1521</v>
      </c>
      <c r="C445" s="2071"/>
      <c r="D445" s="2064" t="s">
        <v>5487</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ht="15" outlineLevel="1">
      <c r="A446" s="2052" t="e">
        <f t="shared" si="63"/>
        <v>#N/A</v>
      </c>
      <c r="B446" s="2074"/>
      <c r="C446" s="2086">
        <f>IF(G446&gt;0,C436+1,C436)</f>
        <v>0</v>
      </c>
      <c r="D446" s="2090"/>
      <c r="E446" s="2102" t="s">
        <v>6057</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5" outlineLevel="1">
      <c r="A447" s="2052" t="e">
        <f t="shared" si="63"/>
        <v>#N/A</v>
      </c>
      <c r="B447" s="2074"/>
      <c r="C447" s="2086"/>
      <c r="D447" s="2090"/>
      <c r="E447" s="2092" t="s">
        <v>6037</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ht="15" outlineLevel="1">
      <c r="A448" s="2052" t="str">
        <f t="shared" si="63"/>
        <v>Cáp đồng bọc CV120</v>
      </c>
      <c r="B448" s="2074" t="s">
        <v>32</v>
      </c>
      <c r="C448" s="2086"/>
      <c r="D448" s="2064">
        <v>0</v>
      </c>
      <c r="E448" s="2065" t="s">
        <v>6226</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ht="15" outlineLevel="1">
      <c r="A449" s="2052" t="str">
        <f t="shared" si="63"/>
        <v>Cáp đồng bọc CV25</v>
      </c>
      <c r="B449" s="2074" t="s">
        <v>1522</v>
      </c>
      <c r="C449" s="2086"/>
      <c r="D449" s="2064">
        <v>0</v>
      </c>
      <c r="E449" s="2065" t="s">
        <v>6227</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ht="15"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ht="15" outlineLevel="1">
      <c r="A451" s="2052" t="str">
        <f t="shared" si="63"/>
        <v>Cáp đồng bọc CV120</v>
      </c>
      <c r="B451" s="2074" t="s">
        <v>32</v>
      </c>
      <c r="C451" s="2071"/>
      <c r="D451" s="2064">
        <v>0</v>
      </c>
      <c r="E451" s="2065" t="s">
        <v>6228</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ht="15"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ht="15" outlineLevel="1">
      <c r="A453" s="2052" t="str">
        <f t="shared" si="63"/>
        <v>Băng keo cách điện</v>
      </c>
      <c r="B453" s="2074" t="s">
        <v>669</v>
      </c>
      <c r="C453" s="2071"/>
      <c r="D453" s="2064">
        <v>0</v>
      </c>
      <c r="E453" s="2065" t="s">
        <v>5715</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ht="15" outlineLevel="1">
      <c r="A454" s="2052" t="str">
        <f t="shared" si="63"/>
        <v>Đầu cosse ép Cu 120mm2</v>
      </c>
      <c r="B454" s="2074" t="s">
        <v>1301</v>
      </c>
      <c r="C454" s="2071"/>
      <c r="D454" s="2064" t="s">
        <v>5642</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ht="15" outlineLevel="1">
      <c r="A455" s="2052" t="str">
        <f t="shared" si="63"/>
        <v>Đầu cosse ép Cu 25mm2</v>
      </c>
      <c r="B455" s="2074" t="s">
        <v>1069</v>
      </c>
      <c r="C455" s="2071"/>
      <c r="D455" s="2064" t="s">
        <v>5638</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ht="15"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ht="15" outlineLevel="1">
      <c r="A457" s="2052" t="str">
        <f t="shared" si="63"/>
        <v>Chụp đầu cosse  25mm2</v>
      </c>
      <c r="B457" s="2074" t="s">
        <v>6058</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ht="15"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ht="15" outlineLevel="1">
      <c r="A459" s="2052" t="str">
        <f t="shared" si="63"/>
        <v>Cổ dê kẹp ống PVC Ø 114</v>
      </c>
      <c r="B459" s="2077" t="s">
        <v>1857</v>
      </c>
      <c r="C459" s="2071"/>
      <c r="D459" s="2064">
        <v>0</v>
      </c>
      <c r="E459" s="2065" t="s">
        <v>5176</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ht="15"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ht="15" outlineLevel="1">
      <c r="A461" s="2052" t="str">
        <f t="shared" si="63"/>
        <v>Lắp cổ dê</v>
      </c>
      <c r="B461" s="2077" t="s">
        <v>1127</v>
      </c>
      <c r="C461" s="2071"/>
      <c r="D461" s="2064" t="s">
        <v>5190</v>
      </c>
      <c r="E461" s="2065" t="s">
        <v>5387</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ht="15" outlineLevel="1">
      <c r="A462" s="2052" t="str">
        <f t="shared" si="63"/>
        <v>Co  90 độ PVC 90</v>
      </c>
      <c r="B462" s="2074" t="s">
        <v>69</v>
      </c>
      <c r="C462" s="2071"/>
      <c r="D462" s="2064">
        <v>0</v>
      </c>
      <c r="E462" s="2065" t="s">
        <v>5711</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ht="15"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ht="15"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ht="15"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ht="15"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ht="15" outlineLevel="1">
      <c r="A467" s="2052" t="str">
        <f t="shared" si="63"/>
        <v>Keo silicon bít miệng ống</v>
      </c>
      <c r="B467" s="2074" t="s">
        <v>487</v>
      </c>
      <c r="C467" s="2071"/>
      <c r="D467" s="2064">
        <v>0</v>
      </c>
      <c r="E467" s="2065" t="s">
        <v>3552</v>
      </c>
      <c r="F467" s="2064" t="s">
        <v>5720</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ht="15" outlineLevel="1">
      <c r="A468" s="2052" t="str">
        <f t="shared" si="63"/>
        <v>Băng keo cách điện</v>
      </c>
      <c r="B468" s="2077" t="s">
        <v>669</v>
      </c>
      <c r="C468" s="2071"/>
      <c r="D468" s="2094"/>
      <c r="E468" s="2065" t="s">
        <v>5715</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ht="15" outlineLevel="1">
      <c r="A469" s="2052" t="str">
        <f t="shared" si="63"/>
        <v>Lắp ống nhựa PVC D90</v>
      </c>
      <c r="B469" s="2074" t="s">
        <v>2177</v>
      </c>
      <c r="C469" s="2071"/>
      <c r="D469" s="2064" t="s">
        <v>5464</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ht="15" outlineLevel="1">
      <c r="A470" s="2052" t="str">
        <f t="shared" si="63"/>
        <v>Lắp cáp đồng xuống thiết bị D ≤ 150mm2</v>
      </c>
      <c r="B470" s="2077" t="s">
        <v>2001</v>
      </c>
      <c r="C470" s="2071"/>
      <c r="D470" s="2064" t="s">
        <v>5488</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ht="15" outlineLevel="1">
      <c r="A471" s="2052" t="str">
        <f t="shared" si="63"/>
        <v>Bảng tên trạm, bảng báo nguy hiểm + đinh vít</v>
      </c>
      <c r="B471" s="2074" t="s">
        <v>288</v>
      </c>
      <c r="C471" s="2104">
        <f>IF(G471&gt;0,C446+1,C446)</f>
        <v>0</v>
      </c>
      <c r="D471" s="2105"/>
      <c r="E471" s="2065" t="s">
        <v>5627</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ht="15" outlineLevel="1">
      <c r="A472" s="2052" t="e">
        <f t="shared" si="63"/>
        <v>#N/A</v>
      </c>
      <c r="B472" s="2074"/>
      <c r="C472" s="2109"/>
      <c r="D472" s="2110"/>
      <c r="E472" s="2083"/>
      <c r="F472" s="2566"/>
      <c r="G472" s="2566"/>
      <c r="H472" s="2566"/>
      <c r="I472" s="2566"/>
      <c r="J472" s="2602" t="s">
        <v>6035</v>
      </c>
      <c r="K472" s="2602"/>
      <c r="L472" s="2111">
        <f>SUM(L392:L471)</f>
        <v>0</v>
      </c>
      <c r="M472" s="2111"/>
      <c r="N472" s="2111">
        <f>SUM(N392:N471)</f>
        <v>0</v>
      </c>
      <c r="O472" s="2111">
        <f>SUM(O392:O471)</f>
        <v>0</v>
      </c>
      <c r="P472" s="2114"/>
    </row>
    <row r="473" spans="1:16" s="2049" customFormat="1" ht="13.9" customHeight="1">
      <c r="A473" s="2093" t="str">
        <f>IF(G478&lt;&gt;0,1,"")</f>
        <v/>
      </c>
      <c r="B473" s="2074"/>
      <c r="C473" s="2567"/>
      <c r="D473" s="2571"/>
      <c r="E473" s="2133"/>
    </row>
    <row r="474" spans="1:16" s="2049" customFormat="1" ht="15"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ht="15" outlineLevel="1">
      <c r="A475" s="2052" t="e">
        <f t="shared" si="67"/>
        <v>#N/A</v>
      </c>
      <c r="B475" s="2074" t="s">
        <v>6016</v>
      </c>
      <c r="C475" s="2592" t="s">
        <v>1704</v>
      </c>
      <c r="D475" s="2593" t="s">
        <v>2589</v>
      </c>
      <c r="E475" s="2595" t="s">
        <v>2590</v>
      </c>
      <c r="F475" s="2592" t="s">
        <v>2585</v>
      </c>
      <c r="G475" s="2053" t="s">
        <v>6017</v>
      </c>
      <c r="H475" s="2056" t="s">
        <v>6018</v>
      </c>
      <c r="I475" s="2563"/>
      <c r="J475" s="2563"/>
      <c r="K475" s="2564"/>
      <c r="L475" s="2056" t="s">
        <v>6019</v>
      </c>
      <c r="M475" s="2563"/>
      <c r="N475" s="2563"/>
      <c r="O475" s="2564"/>
      <c r="P475" s="2592" t="s">
        <v>2591</v>
      </c>
    </row>
    <row r="476" spans="1:16" s="2049" customFormat="1" ht="15" outlineLevel="1">
      <c r="A476" s="2052" t="e">
        <f t="shared" si="67"/>
        <v>#N/A</v>
      </c>
      <c r="B476" s="2074"/>
      <c r="C476" s="2592"/>
      <c r="D476" s="2594"/>
      <c r="E476" s="2596"/>
      <c r="F476" s="2592"/>
      <c r="G476" s="2055" t="s">
        <v>2280</v>
      </c>
      <c r="H476" s="2056" t="s">
        <v>6020</v>
      </c>
      <c r="I476" s="2056" t="s">
        <v>6021</v>
      </c>
      <c r="J476" s="2056" t="s">
        <v>6022</v>
      </c>
      <c r="K476" s="2056" t="s">
        <v>6023</v>
      </c>
      <c r="L476" s="2056" t="s">
        <v>6020</v>
      </c>
      <c r="M476" s="2056" t="s">
        <v>6021</v>
      </c>
      <c r="N476" s="2056" t="s">
        <v>6022</v>
      </c>
      <c r="O476" s="2056" t="s">
        <v>6023</v>
      </c>
      <c r="P476" s="2592"/>
    </row>
    <row r="477" spans="1:16" s="2049" customFormat="1" ht="15"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ht="15" outlineLevel="1">
      <c r="A478" s="2052" t="str">
        <f t="shared" si="67"/>
        <v>Máy biến áp 12,7/0,22-0,44kV  100kVA</v>
      </c>
      <c r="B478" s="2062" t="s">
        <v>501</v>
      </c>
      <c r="C478" s="2063">
        <f>IF(G478&gt;0,1,0)</f>
        <v>0</v>
      </c>
      <c r="D478" s="2064" t="s">
        <v>5501</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ht="15" outlineLevel="1">
      <c r="A479" s="2052" t="str">
        <f t="shared" si="67"/>
        <v>FCO 24kV - 100A</v>
      </c>
      <c r="B479" s="2062" t="str">
        <f>"FCO100-"&amp;$F$8</f>
        <v>FCO100-22</v>
      </c>
      <c r="C479" s="2063">
        <f t="shared" ref="C479:C486" si="72">IF(G479&gt;0,C478+1,C478)</f>
        <v>0</v>
      </c>
      <c r="D479" s="2064" t="s">
        <v>5513</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ht="15"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ht="15" outlineLevel="1">
      <c r="A481" s="2052" t="str">
        <f t="shared" si="67"/>
        <v>Chống sét van LA-18KV-10KA</v>
      </c>
      <c r="B481" s="2075" t="str">
        <f>"LA"&amp;$F$6</f>
        <v>LA18</v>
      </c>
      <c r="C481" s="2063">
        <f t="shared" si="72"/>
        <v>0</v>
      </c>
      <c r="D481" s="2064" t="s">
        <v>5517</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ht="15"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ht="15" outlineLevel="1">
      <c r="A483" s="2052" t="str">
        <f t="shared" si="67"/>
        <v xml:space="preserve">MCCB 3 cực 600V -250A - 36KA </v>
      </c>
      <c r="B483" s="2103" t="s">
        <v>707</v>
      </c>
      <c r="C483" s="2063">
        <f t="shared" si="72"/>
        <v>0</v>
      </c>
      <c r="D483" s="2064">
        <v>0</v>
      </c>
      <c r="E483" s="2065" t="s">
        <v>5597</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ht="15"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ht="15"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ht="15"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ht="15" outlineLevel="1">
      <c r="A487" s="2052" t="e">
        <f t="shared" si="67"/>
        <v>#N/A</v>
      </c>
      <c r="B487" s="2074"/>
      <c r="C487" s="2079"/>
      <c r="D487" s="2080"/>
      <c r="E487" s="2061"/>
      <c r="F487" s="2079"/>
      <c r="G487" s="2136"/>
      <c r="H487" s="2079"/>
      <c r="I487" s="2079"/>
      <c r="J487" s="2061" t="s">
        <v>6025</v>
      </c>
      <c r="K487" s="2079"/>
      <c r="L487" s="2061">
        <f>SUM(L478:L486)</f>
        <v>0</v>
      </c>
      <c r="M487" s="2061"/>
      <c r="N487" s="2061">
        <f>SUM(N478:N486)</f>
        <v>0</v>
      </c>
      <c r="O487" s="2061">
        <f>SUM(O478:O486)</f>
        <v>0</v>
      </c>
      <c r="P487" s="2114"/>
    </row>
    <row r="488" spans="1:18" s="2049" customFormat="1" ht="15"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ht="15"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ht="15" outlineLevel="1">
      <c r="A490" s="2052" t="e">
        <f t="shared" si="67"/>
        <v>#N/A</v>
      </c>
      <c r="B490" s="2074"/>
      <c r="C490" s="2089">
        <f>IF(G490&gt;0,C489+1,C489)</f>
        <v>0</v>
      </c>
      <c r="D490" s="2090"/>
      <c r="E490" s="2091" t="s">
        <v>6042</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5" outlineLevel="1">
      <c r="A491" s="2052" t="e">
        <f t="shared" si="67"/>
        <v>#N/A</v>
      </c>
      <c r="B491" s="2074"/>
      <c r="C491" s="2086"/>
      <c r="D491" s="2090"/>
      <c r="E491" s="2092" t="s">
        <v>6037</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ht="15"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ht="15"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ht="15"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ht="15"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5" outlineLevel="1">
      <c r="A496" s="2052" t="e">
        <f t="shared" si="67"/>
        <v>#N/A</v>
      </c>
      <c r="B496" s="2074"/>
      <c r="C496" s="2086"/>
      <c r="D496" s="2090"/>
      <c r="E496" s="2092" t="s">
        <v>6037</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ht="15" outlineLevel="1">
      <c r="A497" s="2052" t="str">
        <f t="shared" si="67"/>
        <v>Đà cản BTCT 1,2m</v>
      </c>
      <c r="B497" s="2077" t="s">
        <v>633</v>
      </c>
      <c r="C497" s="2071"/>
      <c r="D497" s="2064" t="s">
        <v>4965</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ht="15" outlineLevel="1">
      <c r="A498" s="2052" t="str">
        <f t="shared" si="67"/>
        <v>Boulon 22x650+ 2 long đền vuông D24-50x50x3/Zn</v>
      </c>
      <c r="B498" s="2077" t="s">
        <v>564</v>
      </c>
      <c r="C498" s="2071"/>
      <c r="D498" s="2064">
        <v>0</v>
      </c>
      <c r="E498" s="2065" t="s">
        <v>4990</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ht="15" outlineLevel="1">
      <c r="A499" s="2052" t="str">
        <f t="shared" si="67"/>
        <v>Đào hố móng đất cấp 3 sâu &gt;1m</v>
      </c>
      <c r="B499" s="2077" t="s">
        <v>636</v>
      </c>
      <c r="C499" s="2071"/>
      <c r="D499" s="2064" t="s">
        <v>1742</v>
      </c>
      <c r="E499" s="2065" t="s">
        <v>5241</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ht="15" outlineLevel="1">
      <c r="A500" s="2052" t="str">
        <f t="shared" si="67"/>
        <v>Đắp đất hố móng, độ chặt k=0,95</v>
      </c>
      <c r="B500" s="2077" t="s">
        <v>21</v>
      </c>
      <c r="C500" s="2071"/>
      <c r="D500" s="2064" t="s">
        <v>5242</v>
      </c>
      <c r="E500" s="2065" t="s">
        <v>5243</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ht="15"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5" outlineLevel="1">
      <c r="A502" s="2052" t="e">
        <f t="shared" si="67"/>
        <v>#N/A</v>
      </c>
      <c r="B502" s="2074"/>
      <c r="C502" s="2086"/>
      <c r="D502" s="2090"/>
      <c r="E502" s="2116" t="s">
        <v>6037</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ht="15" outlineLevel="1">
      <c r="A503" s="2052" t="str">
        <f t="shared" si="67"/>
        <v>Đà Composite 110x80x5x800</v>
      </c>
      <c r="B503" s="2077" t="s">
        <v>5075</v>
      </c>
      <c r="C503" s="2071"/>
      <c r="D503" s="2064">
        <v>0</v>
      </c>
      <c r="E503" s="2065" t="s">
        <v>4784</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ht="15" outlineLevel="1">
      <c r="A504" s="2052" t="str">
        <f t="shared" si="67"/>
        <v>Chống Composite 40x10x710</v>
      </c>
      <c r="B504" s="2077" t="s">
        <v>5079</v>
      </c>
      <c r="C504" s="2071"/>
      <c r="D504" s="2094"/>
      <c r="E504" s="2065" t="s">
        <v>5080</v>
      </c>
      <c r="F504" s="2064" t="s">
        <v>5078</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ht="15" outlineLevel="1">
      <c r="A505" s="2052" t="str">
        <f t="shared" si="67"/>
        <v>Bass LL bắt FCO, LA</v>
      </c>
      <c r="B505" s="2077" t="s">
        <v>6059</v>
      </c>
      <c r="C505" s="2071"/>
      <c r="D505" s="2094"/>
      <c r="E505" s="2065" t="s">
        <v>4996</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ht="15"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ht="15"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ht="15" outlineLevel="1">
      <c r="A508" s="2052" t="str">
        <f t="shared" si="77"/>
        <v>Lắp xà đỡ 15kg</v>
      </c>
      <c r="B508" s="2074" t="s">
        <v>5293</v>
      </c>
      <c r="C508" s="2071"/>
      <c r="D508" s="2094"/>
      <c r="E508" s="2065" t="s">
        <v>5294</v>
      </c>
      <c r="F508" s="2064" t="s">
        <v>2433</v>
      </c>
      <c r="G508" s="2135">
        <f>G506</f>
        <v>0</v>
      </c>
      <c r="H508" s="2067">
        <v>0</v>
      </c>
      <c r="I508" s="2072"/>
      <c r="J508" s="2097" t="s">
        <v>6229</v>
      </c>
      <c r="K508" s="2067">
        <v>0</v>
      </c>
      <c r="L508" s="2073">
        <f>H508*G508</f>
        <v>0</v>
      </c>
      <c r="M508" s="2073">
        <f>I508*G508</f>
        <v>0</v>
      </c>
      <c r="N508" s="2073">
        <v>0</v>
      </c>
      <c r="O508" s="2072">
        <f>K508*G508</f>
        <v>0</v>
      </c>
      <c r="P508" s="2099"/>
    </row>
    <row r="509" spans="1:18" s="2049" customFormat="1" ht="15"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5" outlineLevel="1">
      <c r="A510" s="2052" t="e">
        <f t="shared" si="77"/>
        <v>#N/A</v>
      </c>
      <c r="B510" s="2074"/>
      <c r="C510" s="2071"/>
      <c r="D510" s="2094"/>
      <c r="E510" s="2116" t="s">
        <v>6037</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ht="15"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ht="15" outlineLevel="1">
      <c r="A512" s="2052" t="str">
        <f t="shared" si="77"/>
        <v>Cọc tiếp đất Þ 16- 2,4m + kẹp cọc mạ đồng</v>
      </c>
      <c r="B512" s="2077" t="s">
        <v>1504</v>
      </c>
      <c r="C512" s="2071"/>
      <c r="D512" s="2064">
        <v>0</v>
      </c>
      <c r="E512" s="2065" t="s">
        <v>5081</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ht="15" outlineLevel="1">
      <c r="A513" s="2052" t="str">
        <f t="shared" si="77"/>
        <v>Ông sắt tráng kẽm D21</v>
      </c>
      <c r="B513" s="2077" t="s">
        <v>5217</v>
      </c>
      <c r="C513" s="2071"/>
      <c r="D513" s="2064" t="s">
        <v>5218</v>
      </c>
      <c r="E513" s="2065" t="s">
        <v>5219</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ht="15" outlineLevel="1">
      <c r="A514" s="2052" t="str">
        <f t="shared" si="77"/>
        <v>Cut PVC 21</v>
      </c>
      <c r="B514" s="2077" t="s">
        <v>6054</v>
      </c>
      <c r="C514" s="2071"/>
      <c r="D514" s="2064">
        <v>0</v>
      </c>
      <c r="E514" s="2065" t="s">
        <v>5710</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ht="15"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ht="15"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ht="15" outlineLevel="1">
      <c r="A517" s="2052" t="str">
        <f t="shared" si="77"/>
        <v>Đầu cosse ép Cu 35mm2</v>
      </c>
      <c r="B517" s="2074" t="s">
        <v>376</v>
      </c>
      <c r="C517" s="2071"/>
      <c r="D517" s="2064" t="s">
        <v>5639</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ht="15"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ht="15" outlineLevel="1">
      <c r="A519" s="2052" t="str">
        <f t="shared" si="77"/>
        <v>Đai thép Inox</v>
      </c>
      <c r="B519" s="2074" t="s">
        <v>5099</v>
      </c>
      <c r="C519" s="2071"/>
      <c r="D519" s="2064">
        <v>0</v>
      </c>
      <c r="E519" s="2065" t="s">
        <v>5100</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ht="15" outlineLevel="1">
      <c r="A520" s="2052" t="str">
        <f t="shared" si="77"/>
        <v>Khóa đai Inox</v>
      </c>
      <c r="B520" s="2074" t="s">
        <v>5101</v>
      </c>
      <c r="C520" s="2071"/>
      <c r="D520" s="2064">
        <v>0</v>
      </c>
      <c r="E520" s="2065" t="s">
        <v>5102</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ht="15" outlineLevel="1">
      <c r="A521" s="2052" t="str">
        <f t="shared" si="77"/>
        <v>Cổ dê kẹp ống PVC  21</v>
      </c>
      <c r="B521" s="2077" t="s">
        <v>523</v>
      </c>
      <c r="C521" s="2071"/>
      <c r="D521" s="2064">
        <v>0</v>
      </c>
      <c r="E521" s="2065" t="s">
        <v>5170</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ht="15" outlineLevel="1">
      <c r="A522" s="2052" t="str">
        <f t="shared" si="77"/>
        <v>Giếng tiếp địa khoan đất</v>
      </c>
      <c r="B522" s="2074" t="s">
        <v>6055</v>
      </c>
      <c r="C522" s="2071"/>
      <c r="D522" s="2064">
        <v>0</v>
      </c>
      <c r="E522" s="2065" t="s">
        <v>5628</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ht="15" outlineLevel="1">
      <c r="A523" s="2052" t="str">
        <f t="shared" si="77"/>
        <v>Kéo dây tiếp địa trong TBA</v>
      </c>
      <c r="B523" s="2074" t="s">
        <v>2178</v>
      </c>
      <c r="C523" s="2071"/>
      <c r="D523" s="2064" t="s">
        <v>5263</v>
      </c>
      <c r="E523" s="2065" t="s">
        <v>5264</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ht="15" outlineLevel="1">
      <c r="A524" s="2052" t="str">
        <f t="shared" si="77"/>
        <v>Đóng cọc tiếp địa trong TBA</v>
      </c>
      <c r="B524" s="2077" t="s">
        <v>899</v>
      </c>
      <c r="C524" s="2071"/>
      <c r="D524" s="2064" t="s">
        <v>5268</v>
      </c>
      <c r="E524" s="2065" t="s">
        <v>5269</v>
      </c>
      <c r="F524" s="2064" t="s">
        <v>2272</v>
      </c>
      <c r="G524" s="2135">
        <f>G512</f>
        <v>0</v>
      </c>
      <c r="H524" s="2067">
        <v>0</v>
      </c>
      <c r="I524" s="2072"/>
      <c r="J524" s="2067" t="s">
        <v>6219</v>
      </c>
      <c r="K524" s="2067">
        <v>1573.075</v>
      </c>
      <c r="L524" s="2073">
        <f t="shared" si="73"/>
        <v>0</v>
      </c>
      <c r="M524" s="2073">
        <f t="shared" si="74"/>
        <v>0</v>
      </c>
      <c r="N524" s="2067">
        <v>0</v>
      </c>
      <c r="O524" s="2072">
        <f t="shared" si="76"/>
        <v>0</v>
      </c>
      <c r="P524" s="2099"/>
    </row>
    <row r="525" spans="1:16" s="2049" customFormat="1" ht="15" outlineLevel="1">
      <c r="A525" s="2052" t="str">
        <f t="shared" si="77"/>
        <v>Đào rãnh tiếp địa đất cấp 3</v>
      </c>
      <c r="B525" s="2074" t="s">
        <v>1051</v>
      </c>
      <c r="C525" s="2071"/>
      <c r="D525" s="2064" t="s">
        <v>5253</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ht="15" outlineLevel="1">
      <c r="A526" s="2052" t="str">
        <f t="shared" si="77"/>
        <v>Đắp đất rãnh tiếp độ chặt k=0,85</v>
      </c>
      <c r="B526" s="2077" t="s">
        <v>1052</v>
      </c>
      <c r="C526" s="2071"/>
      <c r="D526" s="2064" t="s">
        <v>5242</v>
      </c>
      <c r="E526" s="2065" t="s">
        <v>5254</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ht="15"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5" outlineLevel="1">
      <c r="A528" s="2052" t="e">
        <f t="shared" si="77"/>
        <v>#N/A</v>
      </c>
      <c r="B528" s="2074"/>
      <c r="C528" s="2086"/>
      <c r="D528" s="2090"/>
      <c r="E528" s="2116" t="s">
        <v>6037</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ht="15" outlineLevel="1">
      <c r="A529" s="2052" t="str">
        <f t="shared" si="77"/>
        <v>Tủ MCCB trạm treo 1 pha</v>
      </c>
      <c r="B529" s="2125" t="s">
        <v>5569</v>
      </c>
      <c r="C529" s="2071"/>
      <c r="D529" s="2064" t="s">
        <v>5570</v>
      </c>
      <c r="E529" s="2065" t="s">
        <v>5571</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ht="15" outlineLevel="1">
      <c r="A530" s="2052" t="str">
        <f t="shared" si="77"/>
        <v>Cổ dê CDĐKĐT( bắt thùng điện kế)</v>
      </c>
      <c r="B530" s="2074" t="s">
        <v>318</v>
      </c>
      <c r="C530" s="2071"/>
      <c r="D530" s="2064">
        <v>0</v>
      </c>
      <c r="E530" s="2065" t="s">
        <v>5187</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ht="15" outlineLevel="1">
      <c r="A531" s="2052" t="str">
        <f t="shared" si="77"/>
        <v xml:space="preserve">Bakelit 550x450 dầy 10mm </v>
      </c>
      <c r="B531" s="2074" t="s">
        <v>877</v>
      </c>
      <c r="C531" s="2071"/>
      <c r="D531" s="2064">
        <v>0</v>
      </c>
      <c r="E531" s="2065" t="s">
        <v>5713</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ht="15" outlineLevel="1">
      <c r="A532" s="2052" t="e">
        <f t="shared" si="77"/>
        <v>#N/A</v>
      </c>
      <c r="B532" s="2074"/>
      <c r="C532" s="2086">
        <f>IF(G532&gt;0,C527+1,C527)</f>
        <v>0</v>
      </c>
      <c r="D532" s="2090"/>
      <c r="E532" s="2115" t="s">
        <v>6043</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5" outlineLevel="1">
      <c r="A533" s="2052" t="e">
        <f t="shared" si="77"/>
        <v>#N/A</v>
      </c>
      <c r="B533" s="2074"/>
      <c r="C533" s="2086"/>
      <c r="D533" s="2090"/>
      <c r="E533" s="2116" t="s">
        <v>6037</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ht="15" outlineLevel="1">
      <c r="A534" s="2052" t="str">
        <f t="shared" si="77"/>
        <v>Cáp 24KV C/XLPE/PVC 25mm2</v>
      </c>
      <c r="B534" s="2077" t="s">
        <v>694</v>
      </c>
      <c r="C534" s="2071"/>
      <c r="D534" s="2064">
        <v>0</v>
      </c>
      <c r="E534" s="2065" t="s">
        <v>5005</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ht="15"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ht="15"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ht="15" outlineLevel="1">
      <c r="A537" s="2052" t="str">
        <f t="shared" si="77"/>
        <v>Nắp che đầu cực FCO</v>
      </c>
      <c r="B537" s="2062" t="s">
        <v>6029</v>
      </c>
      <c r="C537" s="2071"/>
      <c r="D537" s="2064">
        <v>0</v>
      </c>
      <c r="E537" s="2138" t="s">
        <v>5615</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ht="15" outlineLevel="1">
      <c r="A538" s="2052" t="str">
        <f t="shared" ref="A538:A561" si="79">VLOOKUP(B538,DonGia,3,0)</f>
        <v>Nắp che đầu cực LA</v>
      </c>
      <c r="B538" s="2062" t="s">
        <v>5620</v>
      </c>
      <c r="C538" s="2071"/>
      <c r="D538" s="2064">
        <v>0</v>
      </c>
      <c r="E538" s="2138" t="s">
        <v>5621</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ht="15" outlineLevel="1">
      <c r="A539" s="2052" t="str">
        <f t="shared" si="79"/>
        <v>Nắp che đầu sứ MBA</v>
      </c>
      <c r="B539" s="2062" t="s">
        <v>5622</v>
      </c>
      <c r="C539" s="2071"/>
      <c r="D539" s="2064">
        <v>0</v>
      </c>
      <c r="E539" s="2138" t="s">
        <v>5623</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ht="15" outlineLevel="1">
      <c r="A540" s="2052" t="str">
        <f t="shared" si="79"/>
        <v>Chụp cách điện kẹp quai</v>
      </c>
      <c r="B540" s="2062" t="s">
        <v>6060</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ht="15" outlineLevel="1">
      <c r="A541" s="2052" t="str">
        <f t="shared" si="79"/>
        <v>Lắp cáp đồng xuống thiết bị D ≤ 95mm2</v>
      </c>
      <c r="B541" s="2062" t="s">
        <v>1521</v>
      </c>
      <c r="C541" s="2071"/>
      <c r="D541" s="2064" t="s">
        <v>5487</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ht="15" outlineLevel="1">
      <c r="A542" s="2052" t="e">
        <f t="shared" si="79"/>
        <v>#N/A</v>
      </c>
      <c r="B542" s="2074"/>
      <c r="C542" s="2086">
        <f>IF(G542&gt;0,C532+1,C532)</f>
        <v>0</v>
      </c>
      <c r="D542" s="2090"/>
      <c r="E542" s="2102" t="s">
        <v>6061</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5" outlineLevel="1">
      <c r="A543" s="2052" t="e">
        <f t="shared" si="79"/>
        <v>#N/A</v>
      </c>
      <c r="B543" s="2074"/>
      <c r="C543" s="2086"/>
      <c r="D543" s="2090"/>
      <c r="E543" s="2092" t="s">
        <v>6037</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ht="15" outlineLevel="1">
      <c r="A544" s="2052" t="str">
        <f t="shared" si="79"/>
        <v>Cáp đồng bọc CV150</v>
      </c>
      <c r="B544" s="2074" t="s">
        <v>6062</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ht="15"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ht="15"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ht="15" outlineLevel="1">
      <c r="A547" s="2052" t="str">
        <f t="shared" si="79"/>
        <v>Đầu cosse ép Cu 150mm2</v>
      </c>
      <c r="B547" s="2074" t="s">
        <v>0</v>
      </c>
      <c r="C547" s="2071"/>
      <c r="D547" s="2064" t="s">
        <v>5643</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ht="15" outlineLevel="1">
      <c r="A548" s="2052" t="str">
        <f t="shared" si="79"/>
        <v>Đầu cosse ép Cu 120mm2</v>
      </c>
      <c r="B548" s="2074" t="str">
        <f>IF(G542=1,"Cos"&amp;RIGHT(B$545,3),"Cos"&amp;RIGHT(B$545,3))</f>
        <v>Cos120</v>
      </c>
      <c r="C548" s="2071"/>
      <c r="D548" s="2064" t="s">
        <v>5642</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ht="15"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ht="15"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ht="15"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ht="15" outlineLevel="1">
      <c r="A552" s="2052" t="str">
        <f t="shared" si="79"/>
        <v>Cổ dê kẹp ống PVC Ø 90</v>
      </c>
      <c r="B552" s="2077" t="s">
        <v>275</v>
      </c>
      <c r="C552" s="2071"/>
      <c r="D552" s="2064">
        <v>0</v>
      </c>
      <c r="E552" s="2065" t="s">
        <v>5175</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ht="15" outlineLevel="1">
      <c r="A553" s="2052" t="str">
        <f t="shared" si="79"/>
        <v>Co  90 độ PVC 90</v>
      </c>
      <c r="B553" s="2074" t="s">
        <v>69</v>
      </c>
      <c r="C553" s="2071"/>
      <c r="D553" s="2064">
        <v>0</v>
      </c>
      <c r="E553" s="2065" t="s">
        <v>5711</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ht="15"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ht="15"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ht="15" outlineLevel="1">
      <c r="A556" s="2052" t="str">
        <f t="shared" si="79"/>
        <v>Keo silicon bít miệng ống</v>
      </c>
      <c r="B556" s="2074" t="s">
        <v>487</v>
      </c>
      <c r="C556" s="2071"/>
      <c r="D556" s="2064">
        <v>0</v>
      </c>
      <c r="E556" s="2065" t="s">
        <v>3552</v>
      </c>
      <c r="F556" s="2064" t="s">
        <v>5720</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ht="15" outlineLevel="1">
      <c r="A557" s="2052" t="str">
        <f t="shared" si="79"/>
        <v>Băng keo cách điện</v>
      </c>
      <c r="B557" s="2077" t="s">
        <v>669</v>
      </c>
      <c r="C557" s="2071"/>
      <c r="D557" s="2094"/>
      <c r="E557" s="2065" t="s">
        <v>5715</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ht="15" outlineLevel="1">
      <c r="A558" s="2052" t="str">
        <f t="shared" si="79"/>
        <v>Lắp ống nhựa PVC D90</v>
      </c>
      <c r="B558" s="2074" t="s">
        <v>2177</v>
      </c>
      <c r="C558" s="2071"/>
      <c r="D558" s="2064" t="s">
        <v>5464</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ht="15" outlineLevel="1">
      <c r="A559" s="2052" t="str">
        <f t="shared" si="79"/>
        <v>Lắp cáp đồng xuống thiết bị D ≤ 150mm2</v>
      </c>
      <c r="B559" s="2077" t="s">
        <v>2001</v>
      </c>
      <c r="C559" s="2071"/>
      <c r="D559" s="2064" t="s">
        <v>5488</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ht="15" outlineLevel="1">
      <c r="A560" s="2052" t="str">
        <f t="shared" si="79"/>
        <v>Bảng tên trạm, bảng báo nguy hiểm + đinh vít</v>
      </c>
      <c r="B560" s="2074" t="s">
        <v>288</v>
      </c>
      <c r="C560" s="2104">
        <f>IF(G560&gt;0,C542+1,C542)</f>
        <v>0</v>
      </c>
      <c r="D560" s="2105"/>
      <c r="E560" s="2065" t="s">
        <v>5627</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ht="15" outlineLevel="1">
      <c r="A561" s="2052" t="e">
        <f t="shared" si="79"/>
        <v>#N/A</v>
      </c>
      <c r="B561" s="2074"/>
      <c r="C561" s="2109"/>
      <c r="D561" s="2110"/>
      <c r="E561" s="2083"/>
      <c r="F561" s="2566"/>
      <c r="G561" s="2566"/>
      <c r="H561" s="2566"/>
      <c r="I561" s="2566"/>
      <c r="J561" s="2602" t="s">
        <v>6035</v>
      </c>
      <c r="K561" s="2602"/>
      <c r="L561" s="2111">
        <f>SUM(L489:L560)</f>
        <v>0</v>
      </c>
      <c r="M561" s="2111"/>
      <c r="N561" s="2111">
        <f>SUM(N489:N560)</f>
        <v>0</v>
      </c>
      <c r="O561" s="2111">
        <f>SUM(O489:O560)</f>
        <v>0</v>
      </c>
      <c r="P561" s="2114"/>
    </row>
    <row r="562" spans="1:16" s="2049" customFormat="1" ht="13.9" customHeight="1">
      <c r="A562" s="2093" t="str">
        <f>IF(G567&lt;&gt;0,1,"")</f>
        <v/>
      </c>
      <c r="B562" s="2074"/>
      <c r="C562" s="2567"/>
      <c r="D562" s="2571"/>
      <c r="E562" s="2133"/>
    </row>
    <row r="563" spans="1:16" s="2049" customFormat="1" ht="15"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ht="15" outlineLevel="1">
      <c r="A564" s="2052" t="e">
        <f t="shared" si="83"/>
        <v>#N/A</v>
      </c>
      <c r="B564" s="2074" t="s">
        <v>6016</v>
      </c>
      <c r="C564" s="2592" t="s">
        <v>1704</v>
      </c>
      <c r="D564" s="2593" t="s">
        <v>2589</v>
      </c>
      <c r="E564" s="2595" t="s">
        <v>2590</v>
      </c>
      <c r="F564" s="2592" t="s">
        <v>2585</v>
      </c>
      <c r="G564" s="2053" t="s">
        <v>6017</v>
      </c>
      <c r="H564" s="2056" t="s">
        <v>6018</v>
      </c>
      <c r="I564" s="2563"/>
      <c r="J564" s="2563"/>
      <c r="K564" s="2564"/>
      <c r="L564" s="2056" t="s">
        <v>6019</v>
      </c>
      <c r="M564" s="2563"/>
      <c r="N564" s="2563"/>
      <c r="O564" s="2564"/>
      <c r="P564" s="2592" t="s">
        <v>2591</v>
      </c>
    </row>
    <row r="565" spans="1:16" s="2049" customFormat="1" ht="15" outlineLevel="1">
      <c r="A565" s="2052" t="e">
        <f t="shared" si="83"/>
        <v>#N/A</v>
      </c>
      <c r="B565" s="2074"/>
      <c r="C565" s="2592"/>
      <c r="D565" s="2594"/>
      <c r="E565" s="2596"/>
      <c r="F565" s="2592"/>
      <c r="G565" s="2055" t="s">
        <v>2280</v>
      </c>
      <c r="H565" s="2056" t="s">
        <v>6020</v>
      </c>
      <c r="I565" s="2056" t="s">
        <v>6021</v>
      </c>
      <c r="J565" s="2056" t="s">
        <v>6022</v>
      </c>
      <c r="K565" s="2056" t="s">
        <v>6023</v>
      </c>
      <c r="L565" s="2056" t="s">
        <v>6020</v>
      </c>
      <c r="M565" s="2056" t="s">
        <v>6021</v>
      </c>
      <c r="N565" s="2056" t="s">
        <v>6022</v>
      </c>
      <c r="O565" s="2056" t="s">
        <v>6023</v>
      </c>
      <c r="P565" s="2592"/>
    </row>
    <row r="566" spans="1:16" s="2049" customFormat="1" ht="15"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ht="15" outlineLevel="1">
      <c r="A567" s="2052" t="str">
        <f t="shared" si="83"/>
        <v>Máy biến áp 12,7/0,22-0,44kV  15kVA</v>
      </c>
      <c r="B567" s="2062" t="str">
        <f>IF($F$8=22,"TR151","TR15")</f>
        <v>TR151</v>
      </c>
      <c r="C567" s="2063">
        <f>IF(G567&gt;0,1,0)</f>
        <v>0</v>
      </c>
      <c r="D567" s="2064" t="s">
        <v>5498</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ht="15" outlineLevel="1">
      <c r="A568" s="2052" t="str">
        <f t="shared" si="83"/>
        <v>FCO 24kV - 100A</v>
      </c>
      <c r="B568" s="2062" t="str">
        <f>"FCO100-"&amp;$F$8</f>
        <v>FCO100-22</v>
      </c>
      <c r="C568" s="2071">
        <f>IF(G568&gt;0,C567+1,C567)</f>
        <v>0</v>
      </c>
      <c r="D568" s="2064" t="s">
        <v>5513</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ht="15"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ht="15" outlineLevel="1">
      <c r="A570" s="2052" t="str">
        <f t="shared" si="83"/>
        <v>Chống sét van LA-18KV-10KA</v>
      </c>
      <c r="B570" s="2074" t="str">
        <f>"LA"&amp;$F$6</f>
        <v>LA18</v>
      </c>
      <c r="C570" s="2071">
        <f>IF(G570&gt;0,C569+1,C569)</f>
        <v>0</v>
      </c>
      <c r="D570" s="2064" t="s">
        <v>5517</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ht="15" outlineLevel="1">
      <c r="A571" s="2052" t="str">
        <f t="shared" si="83"/>
        <v>MCCB 3 cực 400V-75A - 10KA</v>
      </c>
      <c r="B571" s="2076" t="s">
        <v>81</v>
      </c>
      <c r="C571" s="2071">
        <f>IF(G571&gt;0,C570+1,C570)</f>
        <v>0</v>
      </c>
      <c r="D571" s="2064">
        <v>0</v>
      </c>
      <c r="E571" s="2065" t="s">
        <v>5594</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ht="15"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ht="15" outlineLevel="1">
      <c r="A573" s="2052" t="e">
        <f t="shared" si="83"/>
        <v>#N/A</v>
      </c>
      <c r="B573" s="2074"/>
      <c r="C573" s="2079"/>
      <c r="D573" s="2140"/>
      <c r="E573" s="2061"/>
      <c r="F573" s="2079"/>
      <c r="G573" s="2079"/>
      <c r="H573" s="2079"/>
      <c r="I573" s="2079"/>
      <c r="J573" s="2061" t="s">
        <v>6025</v>
      </c>
      <c r="K573" s="2079"/>
      <c r="L573" s="2061">
        <f>SUM(L567:L572)</f>
        <v>0</v>
      </c>
      <c r="M573" s="2061"/>
      <c r="N573" s="2061">
        <f>SUM(N567:N572)</f>
        <v>0</v>
      </c>
      <c r="O573" s="2061">
        <f>SUM(O567:O572)</f>
        <v>0</v>
      </c>
      <c r="P573" s="2141"/>
    </row>
    <row r="574" spans="1:16" s="2049" customFormat="1" ht="15"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ht="15"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5" outlineLevel="1">
      <c r="A576" s="2052" t="e">
        <f t="shared" si="83"/>
        <v>#N/A</v>
      </c>
      <c r="B576" s="2074"/>
      <c r="C576" s="2086"/>
      <c r="D576" s="2146"/>
      <c r="E576" s="2116" t="s">
        <v>6037</v>
      </c>
      <c r="F576" s="2071"/>
      <c r="G576" s="2071"/>
      <c r="H576" s="2147"/>
      <c r="I576" s="2147"/>
      <c r="J576" s="2147"/>
      <c r="K576" s="2147"/>
      <c r="L576" s="2147"/>
      <c r="M576" s="2147"/>
      <c r="N576" s="2147"/>
      <c r="O576" s="2148"/>
      <c r="P576" s="2099"/>
    </row>
    <row r="577" spans="1:18" s="2049" customFormat="1" ht="15" outlineLevel="1">
      <c r="A577" s="2052" t="str">
        <f t="shared" si="83"/>
        <v>Giá chùm treo máy biến áp 3x15</v>
      </c>
      <c r="B577" s="2077" t="s">
        <v>1582</v>
      </c>
      <c r="C577" s="2086"/>
      <c r="D577" s="2064">
        <v>0</v>
      </c>
      <c r="E577" s="2065" t="s">
        <v>5629</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ht="15"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ht="15"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ht="15" outlineLevel="1">
      <c r="A580" s="2052" t="e">
        <f t="shared" si="83"/>
        <v>#N/A</v>
      </c>
      <c r="B580" s="2074"/>
      <c r="C580" s="2089">
        <f>IF(G580&gt;0,C575+1,C575)</f>
        <v>0</v>
      </c>
      <c r="D580" s="2090"/>
      <c r="E580" s="2091" t="s">
        <v>6042</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5" outlineLevel="1">
      <c r="A581" s="2052" t="e">
        <f t="shared" si="83"/>
        <v>#N/A</v>
      </c>
      <c r="B581" s="2074"/>
      <c r="C581" s="2086"/>
      <c r="D581" s="2090"/>
      <c r="E581" s="2092" t="s">
        <v>6037</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ht="15"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ht="15"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ht="15"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ht="15"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5" outlineLevel="1">
      <c r="A586" s="2052" t="e">
        <f t="shared" si="83"/>
        <v>#N/A</v>
      </c>
      <c r="B586" s="2074"/>
      <c r="C586" s="2086"/>
      <c r="D586" s="2090"/>
      <c r="E586" s="2092" t="s">
        <v>6037</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ht="15" outlineLevel="1">
      <c r="A587" s="2052" t="str">
        <f t="shared" si="83"/>
        <v>Đà cản BTCT 1,2m</v>
      </c>
      <c r="B587" s="2077" t="s">
        <v>229</v>
      </c>
      <c r="C587" s="2071"/>
      <c r="D587" s="2064" t="s">
        <v>4965</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ht="15" outlineLevel="1">
      <c r="A588" s="2052" t="str">
        <f t="shared" si="83"/>
        <v>Boulon 22x650+ 2 long đền vuông D24-50x50x3/Zn</v>
      </c>
      <c r="B588" s="2077" t="s">
        <v>397</v>
      </c>
      <c r="C588" s="2071"/>
      <c r="D588" s="2064">
        <v>0</v>
      </c>
      <c r="E588" s="2065" t="s">
        <v>4990</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ht="15" outlineLevel="1">
      <c r="A589" s="2052" t="str">
        <f t="shared" si="83"/>
        <v>Đào hố móng đất cấp 3 sâu &gt;1m</v>
      </c>
      <c r="B589" s="2077" t="s">
        <v>636</v>
      </c>
      <c r="C589" s="2071"/>
      <c r="D589" s="2064" t="s">
        <v>1742</v>
      </c>
      <c r="E589" s="2065" t="s">
        <v>5241</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ht="15" outlineLevel="1">
      <c r="A590" s="2052" t="str">
        <f t="shared" si="83"/>
        <v>Đắp đất hố móng, độ chặt k=0,95</v>
      </c>
      <c r="B590" s="2077" t="s">
        <v>21</v>
      </c>
      <c r="C590" s="2071"/>
      <c r="D590" s="2064" t="s">
        <v>5242</v>
      </c>
      <c r="E590" s="2065" t="s">
        <v>5243</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ht="15" outlineLevel="1">
      <c r="A591" s="2052" t="e">
        <f t="shared" si="83"/>
        <v>#N/A</v>
      </c>
      <c r="B591" s="2077" t="s">
        <v>6063</v>
      </c>
      <c r="C591" s="2086">
        <f>IF(G591&gt;0,C585+1,C585)</f>
        <v>0</v>
      </c>
      <c r="D591" s="2146"/>
      <c r="E591" s="2115" t="s">
        <v>6064</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ht="15" outlineLevel="1">
      <c r="A592" s="2052" t="str">
        <f t="shared" si="83"/>
        <v>Đà Composite 110x80x5x2400</v>
      </c>
      <c r="B592" s="2077" t="s">
        <v>5069</v>
      </c>
      <c r="C592" s="2071"/>
      <c r="D592" s="2064">
        <v>0</v>
      </c>
      <c r="E592" s="2065" t="s">
        <v>5070</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ht="15" outlineLevel="1">
      <c r="A593" s="2052" t="str">
        <f t="shared" si="83"/>
        <v>Chống Composite 40x10x920</v>
      </c>
      <c r="B593" s="2077" t="s">
        <v>5076</v>
      </c>
      <c r="C593" s="2071"/>
      <c r="D593" s="2064">
        <v>0</v>
      </c>
      <c r="E593" s="2065" t="s">
        <v>5077</v>
      </c>
      <c r="F593" s="2064" t="s">
        <v>5078</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ht="15" outlineLevel="1">
      <c r="A594" s="2052" t="str">
        <f t="shared" si="83"/>
        <v>Bass LL bắt FCO, LA</v>
      </c>
      <c r="B594" s="2074" t="s">
        <v>486</v>
      </c>
      <c r="C594" s="2071"/>
      <c r="D594" s="2064">
        <v>0</v>
      </c>
      <c r="E594" s="2065" t="s">
        <v>4996</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ht="15"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ht="15"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ht="15"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ht="15" outlineLevel="1">
      <c r="A598" s="2052" t="str">
        <f t="shared" si="92"/>
        <v>Lắp xà đỡ ≤ 50kg</v>
      </c>
      <c r="B598" s="2074" t="s">
        <v>514</v>
      </c>
      <c r="C598" s="2086"/>
      <c r="D598" s="2064" t="s">
        <v>5338</v>
      </c>
      <c r="E598" s="2065" t="s">
        <v>5339</v>
      </c>
      <c r="F598" s="2064" t="s">
        <v>2433</v>
      </c>
      <c r="G598" s="2071">
        <f>G591</f>
        <v>0</v>
      </c>
      <c r="H598" s="2067">
        <v>0</v>
      </c>
      <c r="I598" s="2078"/>
      <c r="J598" s="2097" t="s">
        <v>6230</v>
      </c>
      <c r="K598" s="2067">
        <v>0</v>
      </c>
      <c r="L598" s="2073">
        <f t="shared" si="90"/>
        <v>0</v>
      </c>
      <c r="M598" s="2073">
        <f t="shared" si="88"/>
        <v>0</v>
      </c>
      <c r="N598" s="2067">
        <v>0</v>
      </c>
      <c r="O598" s="2072">
        <f t="shared" si="89"/>
        <v>0</v>
      </c>
      <c r="P598" s="2099"/>
    </row>
    <row r="599" spans="1:18" s="2049" customFormat="1" ht="15" outlineLevel="1">
      <c r="A599" s="2052" t="e">
        <f t="shared" si="92"/>
        <v>#N/A</v>
      </c>
      <c r="B599" s="2074"/>
      <c r="C599" s="2086">
        <f>IF(G599&gt;0,C585+1,C585)</f>
        <v>0</v>
      </c>
      <c r="D599" s="2146"/>
      <c r="E599" s="2115" t="s">
        <v>6065</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5" outlineLevel="1">
      <c r="A600" s="2052" t="e">
        <f t="shared" si="92"/>
        <v>#N/A</v>
      </c>
      <c r="B600" s="2074"/>
      <c r="C600" s="2086"/>
      <c r="D600" s="2146"/>
      <c r="E600" s="2116" t="s">
        <v>6037</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ht="15"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ht="15"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ht="15"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ht="15"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ht="15" outlineLevel="1">
      <c r="A605" s="2052" t="str">
        <f t="shared" si="92"/>
        <v>Lắp xà đỡ ≤ 50kg</v>
      </c>
      <c r="B605" s="2074" t="s">
        <v>514</v>
      </c>
      <c r="C605" s="2086"/>
      <c r="D605" s="2064" t="s">
        <v>5338</v>
      </c>
      <c r="E605" s="2065" t="s">
        <v>5339</v>
      </c>
      <c r="F605" s="2064" t="s">
        <v>2433</v>
      </c>
      <c r="G605" s="2071">
        <f>G599</f>
        <v>0</v>
      </c>
      <c r="H605" s="2067">
        <v>0</v>
      </c>
      <c r="I605" s="2078"/>
      <c r="J605" s="2097" t="s">
        <v>6230</v>
      </c>
      <c r="K605" s="2067">
        <v>0</v>
      </c>
      <c r="L605" s="2073">
        <f>H605*G605</f>
        <v>0</v>
      </c>
      <c r="M605" s="2073">
        <f>I605*G605</f>
        <v>0</v>
      </c>
      <c r="N605" s="2067">
        <v>0</v>
      </c>
      <c r="O605" s="2072">
        <f>K605*G605</f>
        <v>0</v>
      </c>
      <c r="P605" s="2099"/>
    </row>
    <row r="606" spans="1:18" s="2049" customFormat="1" ht="15"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5" outlineLevel="1">
      <c r="A607" s="2052" t="e">
        <f t="shared" si="92"/>
        <v>#N/A</v>
      </c>
      <c r="B607" s="2074"/>
      <c r="C607" s="2086"/>
      <c r="D607" s="2146"/>
      <c r="E607" s="2116" t="s">
        <v>6066</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ht="15"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ht="15" outlineLevel="1">
      <c r="A609" s="2052" t="str">
        <f t="shared" si="92"/>
        <v>Cọc tiếp đất Þ 16- 2,4m + kẹp cọc mạ đồng</v>
      </c>
      <c r="B609" s="2077" t="s">
        <v>1504</v>
      </c>
      <c r="C609" s="2071"/>
      <c r="D609" s="2064">
        <v>0</v>
      </c>
      <c r="E609" s="2065" t="s">
        <v>5081</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ht="15"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ht="15"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ht="15"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ht="15"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ht="15" outlineLevel="1">
      <c r="A614" s="2052" t="str">
        <f t="shared" si="92"/>
        <v>Cổ dê kẹp ống PVC  21</v>
      </c>
      <c r="B614" s="2077" t="s">
        <v>1588</v>
      </c>
      <c r="C614" s="2071"/>
      <c r="D614" s="2064">
        <v>0</v>
      </c>
      <c r="E614" s="2065" t="s">
        <v>5170</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ht="15" outlineLevel="1">
      <c r="A615" s="2052" t="str">
        <f t="shared" si="92"/>
        <v>Lắp cổ dê</v>
      </c>
      <c r="B615" s="2077" t="s">
        <v>1126</v>
      </c>
      <c r="C615" s="2071"/>
      <c r="D615" s="2064" t="s">
        <v>5190</v>
      </c>
      <c r="E615" s="2065" t="s">
        <v>5387</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ht="15" outlineLevel="1">
      <c r="A616" s="2052" t="str">
        <f t="shared" si="92"/>
        <v>Kéo dây tiếp địa trong TBA</v>
      </c>
      <c r="B616" s="2074" t="s">
        <v>388</v>
      </c>
      <c r="C616" s="2071"/>
      <c r="D616" s="2064" t="s">
        <v>5263</v>
      </c>
      <c r="E616" s="2065" t="s">
        <v>5264</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ht="15" outlineLevel="1">
      <c r="A617" s="2052" t="str">
        <f t="shared" si="92"/>
        <v>Đóng cọc tiếp địa trong TBA</v>
      </c>
      <c r="B617" s="2077" t="s">
        <v>1434</v>
      </c>
      <c r="C617" s="2071"/>
      <c r="D617" s="2064" t="s">
        <v>5268</v>
      </c>
      <c r="E617" s="2065" t="s">
        <v>5269</v>
      </c>
      <c r="F617" s="2064" t="s">
        <v>2272</v>
      </c>
      <c r="G617" s="2071">
        <f>G609</f>
        <v>0</v>
      </c>
      <c r="H617" s="2067">
        <v>0</v>
      </c>
      <c r="I617" s="2072"/>
      <c r="J617" s="2097" t="s">
        <v>6219</v>
      </c>
      <c r="K617" s="2067">
        <v>1573.075</v>
      </c>
      <c r="L617" s="2073">
        <f>H617*G617</f>
        <v>0</v>
      </c>
      <c r="M617" s="2073">
        <f>I617*G617</f>
        <v>0</v>
      </c>
      <c r="N617" s="2067">
        <v>0</v>
      </c>
      <c r="O617" s="2072">
        <f>K617*G617</f>
        <v>0</v>
      </c>
      <c r="P617" s="2099"/>
    </row>
    <row r="618" spans="1:16" s="2049" customFormat="1" ht="15" outlineLevel="1">
      <c r="A618" s="2052" t="str">
        <f t="shared" si="92"/>
        <v>Đào rãnh tiếp địa đất cấp 2</v>
      </c>
      <c r="B618" s="2074" t="s">
        <v>24</v>
      </c>
      <c r="C618" s="2071"/>
      <c r="D618" s="2064" t="s">
        <v>5252</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ht="15" outlineLevel="1">
      <c r="A619" s="2052" t="str">
        <f t="shared" si="92"/>
        <v>Đắp đất rãnh tiếp độ chặt k=0,85</v>
      </c>
      <c r="B619" s="2074" t="s">
        <v>1052</v>
      </c>
      <c r="C619" s="2071"/>
      <c r="D619" s="2064" t="s">
        <v>5242</v>
      </c>
      <c r="E619" s="2065" t="s">
        <v>5254</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ht="15"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5" outlineLevel="1">
      <c r="A621" s="2052" t="e">
        <f t="shared" si="92"/>
        <v>#N/A</v>
      </c>
      <c r="B621" s="2074"/>
      <c r="C621" s="2086"/>
      <c r="D621" s="2146"/>
      <c r="E621" s="2116" t="s">
        <v>6037</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ht="15" outlineLevel="1">
      <c r="A622" s="2052" t="str">
        <f t="shared" si="92"/>
        <v>Tủ CB trạm 1 pha + khóa + boulon</v>
      </c>
      <c r="B622" s="2077" t="s">
        <v>613</v>
      </c>
      <c r="C622" s="2071"/>
      <c r="D622" s="2064" t="s">
        <v>5570</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ht="15"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ht="15" outlineLevel="1">
      <c r="A624" s="2052" t="str">
        <f t="shared" si="92"/>
        <v>Lắp cổ dê</v>
      </c>
      <c r="B624" s="2077" t="s">
        <v>1126</v>
      </c>
      <c r="C624" s="2071"/>
      <c r="D624" s="2064" t="s">
        <v>5190</v>
      </c>
      <c r="E624" s="2065" t="s">
        <v>5387</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ht="15"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ht="15" outlineLevel="1">
      <c r="A626" s="2052" t="str">
        <f t="shared" si="92"/>
        <v xml:space="preserve">Bakelit 550x450 dầy 10mm </v>
      </c>
      <c r="B626" s="2074" t="s">
        <v>877</v>
      </c>
      <c r="C626" s="2071"/>
      <c r="D626" s="2064">
        <v>0</v>
      </c>
      <c r="E626" s="2065" t="s">
        <v>5713</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ht="15" outlineLevel="1">
      <c r="A627" s="2052" t="e">
        <f t="shared" ref="A627:A654" si="93">VLOOKUP(B627,DonGia,3,0)</f>
        <v>#N/A</v>
      </c>
      <c r="B627" s="2074"/>
      <c r="C627" s="2086">
        <f>IF(G627&gt;0,C620+1,C620)</f>
        <v>0</v>
      </c>
      <c r="D627" s="2146"/>
      <c r="E627" s="2118" t="s">
        <v>6067</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5" outlineLevel="1">
      <c r="A628" s="2052" t="e">
        <f t="shared" si="93"/>
        <v>#N/A</v>
      </c>
      <c r="B628" s="2074"/>
      <c r="C628" s="2086"/>
      <c r="D628" s="2146"/>
      <c r="E628" s="2116" t="s">
        <v>6037</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ht="15" outlineLevel="1">
      <c r="A629" s="2052" t="str">
        <f t="shared" si="93"/>
        <v>Cáp 24KV C/XLPE/PVC 25mm2</v>
      </c>
      <c r="B629" s="2077" t="s">
        <v>694</v>
      </c>
      <c r="C629" s="2071"/>
      <c r="D629" s="2064">
        <v>0</v>
      </c>
      <c r="E629" s="2065" t="s">
        <v>6231</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ht="15"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ht="15"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ht="15" outlineLevel="1">
      <c r="A632" s="2052" t="str">
        <f t="shared" si="93"/>
        <v>Nắp che đầu cực FCO</v>
      </c>
      <c r="B632" s="2062" t="s">
        <v>5614</v>
      </c>
      <c r="C632" s="2071"/>
      <c r="D632" s="2064">
        <v>0</v>
      </c>
      <c r="E632" s="2065" t="s">
        <v>5615</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ht="15" outlineLevel="1">
      <c r="A633" s="2052" t="str">
        <f t="shared" si="93"/>
        <v>Nắp che đầu cực LA</v>
      </c>
      <c r="B633" s="2062" t="s">
        <v>5620</v>
      </c>
      <c r="C633" s="2071"/>
      <c r="D633" s="2064">
        <v>0</v>
      </c>
      <c r="E633" s="2065" t="s">
        <v>5621</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ht="15" outlineLevel="1">
      <c r="A634" s="2052" t="str">
        <f t="shared" si="93"/>
        <v>Nắp che đầu sứ MBA</v>
      </c>
      <c r="B634" s="2062" t="s">
        <v>5622</v>
      </c>
      <c r="C634" s="2071"/>
      <c r="D634" s="2064">
        <v>0</v>
      </c>
      <c r="E634" s="2065" t="s">
        <v>5623</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ht="15" outlineLevel="1">
      <c r="A635" s="2052" t="str">
        <f t="shared" si="93"/>
        <v>Lắp cáp đồng xuống thiết bị D ≤ 95mm2</v>
      </c>
      <c r="B635" s="2062" t="s">
        <v>1521</v>
      </c>
      <c r="C635" s="2071"/>
      <c r="D635" s="2064" t="s">
        <v>5487</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ht="15" outlineLevel="1">
      <c r="A636" s="2052" t="e">
        <f t="shared" si="93"/>
        <v>#N/A</v>
      </c>
      <c r="B636" s="2074"/>
      <c r="C636" s="2086">
        <f>IF(G636&gt;0,C627+1,C627)</f>
        <v>0</v>
      </c>
      <c r="D636" s="2146"/>
      <c r="E636" s="2102" t="s">
        <v>6068</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5" outlineLevel="1">
      <c r="A637" s="2052" t="e">
        <f t="shared" si="93"/>
        <v>#N/A</v>
      </c>
      <c r="B637" s="2074"/>
      <c r="C637" s="2086"/>
      <c r="D637" s="2146"/>
      <c r="E637" s="2116" t="s">
        <v>6037</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ht="15"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ht="15"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ht="15" outlineLevel="1">
      <c r="A640" s="2052" t="str">
        <f t="shared" si="93"/>
        <v>Đầu cosse ép Cu 50mm2</v>
      </c>
      <c r="B640" s="2074" t="s">
        <v>1298</v>
      </c>
      <c r="C640" s="2071"/>
      <c r="D640" s="2064" t="s">
        <v>5639</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ht="15"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ht="15"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ht="15" outlineLevel="1">
      <c r="A643" s="2052" t="str">
        <f t="shared" si="93"/>
        <v>Cổ dê kẹp ống PVC Ø 90</v>
      </c>
      <c r="B643" s="2077" t="s">
        <v>1985</v>
      </c>
      <c r="C643" s="2071"/>
      <c r="D643" s="2064">
        <v>0</v>
      </c>
      <c r="E643" s="2065" t="s">
        <v>5175</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ht="15" outlineLevel="1">
      <c r="A644" s="2052" t="str">
        <f t="shared" si="93"/>
        <v>Lắp cổ dê</v>
      </c>
      <c r="B644" s="2077" t="s">
        <v>1126</v>
      </c>
      <c r="C644" s="2071"/>
      <c r="D644" s="2064" t="s">
        <v>5190</v>
      </c>
      <c r="E644" s="2065" t="s">
        <v>5387</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ht="15" outlineLevel="1">
      <c r="A645" s="2052" t="str">
        <f t="shared" si="93"/>
        <v>Co  90 độ PVC 90</v>
      </c>
      <c r="B645" s="2074" t="s">
        <v>70</v>
      </c>
      <c r="C645" s="2071"/>
      <c r="D645" s="2064">
        <v>0</v>
      </c>
      <c r="E645" s="2065" t="s">
        <v>5711</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ht="15"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ht="15"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ht="15"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ht="15" outlineLevel="1">
      <c r="A649" s="2052" t="str">
        <f t="shared" si="93"/>
        <v>Keo silicon bít miệng ống</v>
      </c>
      <c r="B649" s="2074" t="s">
        <v>1175</v>
      </c>
      <c r="C649" s="2071"/>
      <c r="D649" s="2064">
        <v>0</v>
      </c>
      <c r="E649" s="2065" t="s">
        <v>3552</v>
      </c>
      <c r="F649" s="2064" t="s">
        <v>5720</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ht="15" outlineLevel="1">
      <c r="A650" s="2052" t="str">
        <f t="shared" si="93"/>
        <v>Băng keo cách điện</v>
      </c>
      <c r="B650" s="2077" t="s">
        <v>669</v>
      </c>
      <c r="C650" s="2071"/>
      <c r="D650" s="2064">
        <v>0</v>
      </c>
      <c r="E650" s="2065" t="s">
        <v>5715</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ht="15" outlineLevel="1">
      <c r="A651" s="2052" t="str">
        <f t="shared" si="93"/>
        <v>Lắp ống nhựa PVC D90</v>
      </c>
      <c r="B651" s="2074" t="s">
        <v>550</v>
      </c>
      <c r="C651" s="2071"/>
      <c r="D651" s="2064" t="s">
        <v>5464</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ht="15" outlineLevel="1">
      <c r="A652" s="2052" t="str">
        <f t="shared" si="93"/>
        <v>Lắp cáp đồng xuống thiết bị D ≤ 95mm2</v>
      </c>
      <c r="B652" s="2077" t="s">
        <v>1521</v>
      </c>
      <c r="C652" s="2071"/>
      <c r="D652" s="2064" t="s">
        <v>5487</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ht="15" outlineLevel="1">
      <c r="A653" s="2052" t="str">
        <f t="shared" si="93"/>
        <v>Bảng tên trạm, bảng báo nguy hiểm + đinh vít</v>
      </c>
      <c r="B653" s="2074" t="s">
        <v>288</v>
      </c>
      <c r="C653" s="2104">
        <f>IF(G653&gt;0,C636+1,C636)</f>
        <v>0</v>
      </c>
      <c r="D653" s="2105"/>
      <c r="E653" s="2065" t="s">
        <v>5627</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ht="15" outlineLevel="1">
      <c r="A654" s="2052" t="e">
        <f t="shared" si="93"/>
        <v>#N/A</v>
      </c>
      <c r="B654" s="2074"/>
      <c r="C654" s="2109"/>
      <c r="D654" s="2110"/>
      <c r="E654" s="2083"/>
      <c r="F654" s="2566"/>
      <c r="G654" s="2566"/>
      <c r="H654" s="2566"/>
      <c r="I654" s="2566"/>
      <c r="J654" s="2602" t="s">
        <v>6035</v>
      </c>
      <c r="K654" s="2602"/>
      <c r="L654" s="2111">
        <f>SUM(L577:L653)</f>
        <v>0</v>
      </c>
      <c r="M654" s="2111"/>
      <c r="N654" s="2111">
        <f>SUM(N577:N653)</f>
        <v>0</v>
      </c>
      <c r="O654" s="2111">
        <f>SUM(O577:O653)</f>
        <v>0</v>
      </c>
      <c r="P654" s="2114"/>
    </row>
    <row r="655" spans="1:16" s="2049" customFormat="1" ht="13.9" customHeight="1">
      <c r="A655" s="2093" t="str">
        <f>IF(G661&lt;&gt;0,1,"")</f>
        <v/>
      </c>
      <c r="B655" s="2075"/>
      <c r="C655" s="2567"/>
      <c r="D655" s="2571"/>
    </row>
    <row r="656" spans="1:16" s="2049" customFormat="1" ht="13.9" customHeight="1">
      <c r="A656" s="2093"/>
      <c r="B656" s="2075"/>
      <c r="C656" s="2567"/>
      <c r="D656" s="2571"/>
      <c r="E656" s="2088"/>
    </row>
    <row r="657" spans="1:16" s="2049" customFormat="1" ht="15"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ht="15" outlineLevel="1">
      <c r="A658" s="2052" t="str">
        <f>A657</f>
        <v/>
      </c>
      <c r="B658" s="2074" t="s">
        <v>6016</v>
      </c>
      <c r="C658" s="2592" t="s">
        <v>1704</v>
      </c>
      <c r="D658" s="2593" t="s">
        <v>2589</v>
      </c>
      <c r="E658" s="2595" t="s">
        <v>2590</v>
      </c>
      <c r="F658" s="2592" t="s">
        <v>2585</v>
      </c>
      <c r="G658" s="2053" t="s">
        <v>6017</v>
      </c>
      <c r="H658" s="2056" t="s">
        <v>6018</v>
      </c>
      <c r="I658" s="2563"/>
      <c r="J658" s="2563"/>
      <c r="K658" s="2564"/>
      <c r="L658" s="2056" t="s">
        <v>6019</v>
      </c>
      <c r="M658" s="2563"/>
      <c r="N658" s="2563"/>
      <c r="O658" s="2564"/>
      <c r="P658" s="2592" t="s">
        <v>2591</v>
      </c>
    </row>
    <row r="659" spans="1:16" s="2049" customFormat="1" ht="15" outlineLevel="1">
      <c r="A659" s="2052" t="str">
        <f>A658</f>
        <v/>
      </c>
      <c r="B659" s="2074"/>
      <c r="C659" s="2592"/>
      <c r="D659" s="2594"/>
      <c r="E659" s="2596"/>
      <c r="F659" s="2592"/>
      <c r="G659" s="2055" t="s">
        <v>2280</v>
      </c>
      <c r="H659" s="2056" t="s">
        <v>6020</v>
      </c>
      <c r="I659" s="2056" t="s">
        <v>6021</v>
      </c>
      <c r="J659" s="2056" t="s">
        <v>6022</v>
      </c>
      <c r="K659" s="2056" t="s">
        <v>6023</v>
      </c>
      <c r="L659" s="2056" t="s">
        <v>6020</v>
      </c>
      <c r="M659" s="2056" t="s">
        <v>6021</v>
      </c>
      <c r="N659" s="2056" t="s">
        <v>6022</v>
      </c>
      <c r="O659" s="2056" t="s">
        <v>6023</v>
      </c>
      <c r="P659" s="2592"/>
    </row>
    <row r="660" spans="1:16" s="2049" customFormat="1" ht="15"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ht="15" outlineLevel="1">
      <c r="A661" s="2052">
        <f>IF(G661&lt;&gt;0,1,0)</f>
        <v>0</v>
      </c>
      <c r="B661" s="2062" t="str">
        <f>IF($F$8=22,"TR251","TR25")</f>
        <v>TR251</v>
      </c>
      <c r="C661" s="2063">
        <f>IF(G661&gt;0,1,0)</f>
        <v>0</v>
      </c>
      <c r="D661" s="2064" t="s">
        <v>5498</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ht="15" outlineLevel="1">
      <c r="A662" s="2052">
        <f t="shared" ref="A662:A731" si="98">IF(G662&lt;&gt;0,1,0)</f>
        <v>0</v>
      </c>
      <c r="B662" s="2062" t="str">
        <f>"FCO100-"&amp;$F$8</f>
        <v>FCO100-22</v>
      </c>
      <c r="C662" s="2063">
        <f t="shared" ref="C662:C667" si="99">IF(G662&gt;0,C661+1,C661)</f>
        <v>0</v>
      </c>
      <c r="D662" s="2064" t="s">
        <v>5513</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ht="15"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ht="15" outlineLevel="1">
      <c r="A664" s="2052">
        <f t="shared" si="98"/>
        <v>0</v>
      </c>
      <c r="B664" s="2075" t="str">
        <f>"LA"&amp;$F$6</f>
        <v>LA18</v>
      </c>
      <c r="C664" s="2063">
        <f t="shared" si="99"/>
        <v>0</v>
      </c>
      <c r="D664" s="2064" t="s">
        <v>5517</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ht="15" outlineLevel="1">
      <c r="A665" s="2052">
        <f t="shared" si="98"/>
        <v>0</v>
      </c>
      <c r="B665" s="2076" t="s">
        <v>1415</v>
      </c>
      <c r="C665" s="2063">
        <f t="shared" si="99"/>
        <v>0</v>
      </c>
      <c r="D665" s="2064">
        <v>0</v>
      </c>
      <c r="E665" s="2065" t="s">
        <v>5595</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ht="15"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ht="15"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ht="15" outlineLevel="1">
      <c r="A668" s="2052" t="str">
        <f>A660</f>
        <v/>
      </c>
      <c r="B668" s="2074"/>
      <c r="C668" s="2079"/>
      <c r="D668" s="2140"/>
      <c r="E668" s="2061"/>
      <c r="F668" s="2079"/>
      <c r="G668" s="2079"/>
      <c r="H668" s="2079"/>
      <c r="I668" s="2079"/>
      <c r="J668" s="2061" t="s">
        <v>6025</v>
      </c>
      <c r="K668" s="2079"/>
      <c r="L668" s="2061">
        <f>SUM(L661:L667)</f>
        <v>0</v>
      </c>
      <c r="M668" s="2061">
        <f>SUM(M661:M667)</f>
        <v>0</v>
      </c>
      <c r="N668" s="2061">
        <f>SUM(N661:N667)</f>
        <v>0</v>
      </c>
      <c r="O668" s="2061">
        <f>SUM(O661:O667)</f>
        <v>0</v>
      </c>
      <c r="P668" s="2114"/>
    </row>
    <row r="669" spans="1:16" s="2049" customFormat="1" ht="15"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ht="15"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5" outlineLevel="1">
      <c r="A671" s="2052">
        <f>A670</f>
        <v>0</v>
      </c>
      <c r="B671" s="2074"/>
      <c r="C671" s="2086"/>
      <c r="D671" s="2146"/>
      <c r="E671" s="2116" t="s">
        <v>6037</v>
      </c>
      <c r="F671" s="2071"/>
      <c r="G671" s="2071"/>
      <c r="H671" s="2147"/>
      <c r="I671" s="2147"/>
      <c r="J671" s="2147"/>
      <c r="K671" s="2147"/>
      <c r="L671" s="2147"/>
      <c r="M671" s="2147"/>
      <c r="N671" s="2147"/>
      <c r="O671" s="2148"/>
      <c r="P671" s="2099"/>
    </row>
    <row r="672" spans="1:16" s="2049" customFormat="1" ht="15" outlineLevel="1">
      <c r="A672" s="2052">
        <f t="shared" si="98"/>
        <v>0</v>
      </c>
      <c r="B672" s="2077" t="s">
        <v>996</v>
      </c>
      <c r="C672" s="2086"/>
      <c r="D672" s="2064">
        <v>0</v>
      </c>
      <c r="E672" s="2065" t="s">
        <v>5630</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ht="15"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ht="15"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ht="15" outlineLevel="1">
      <c r="A675" s="2052">
        <f>IF(G675&lt;&gt;0,1,)</f>
        <v>0</v>
      </c>
      <c r="B675" s="2074"/>
      <c r="C675" s="2089">
        <f>IF(G675&gt;0,C670+1,C670)</f>
        <v>0</v>
      </c>
      <c r="D675" s="2090"/>
      <c r="E675" s="2091" t="s">
        <v>6042</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5" outlineLevel="1">
      <c r="A676" s="2052">
        <f>A675</f>
        <v>0</v>
      </c>
      <c r="B676" s="2074"/>
      <c r="C676" s="2086"/>
      <c r="D676" s="2090"/>
      <c r="E676" s="2092" t="s">
        <v>6037</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ht="15"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ht="15"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ht="15"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ht="15"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5" outlineLevel="1">
      <c r="A681" s="2052">
        <f>A680</f>
        <v>0</v>
      </c>
      <c r="B681" s="2074"/>
      <c r="C681" s="2086"/>
      <c r="D681" s="2090"/>
      <c r="E681" s="2092" t="s">
        <v>6037</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ht="15" outlineLevel="1">
      <c r="A682" s="2052">
        <f>IF(G682&lt;&gt;0,1,)</f>
        <v>0</v>
      </c>
      <c r="B682" s="2077" t="s">
        <v>633</v>
      </c>
      <c r="C682" s="2071"/>
      <c r="D682" s="2064" t="s">
        <v>4965</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ht="15" outlineLevel="1">
      <c r="A683" s="2052">
        <f>IF(G683&lt;&gt;0,1,)</f>
        <v>0</v>
      </c>
      <c r="B683" s="2077" t="s">
        <v>564</v>
      </c>
      <c r="C683" s="2071"/>
      <c r="D683" s="2064">
        <v>0</v>
      </c>
      <c r="E683" s="2065" t="s">
        <v>4990</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ht="15" outlineLevel="1">
      <c r="A684" s="2052">
        <f>IF(G684&lt;&gt;0,1,)</f>
        <v>0</v>
      </c>
      <c r="B684" s="2077" t="s">
        <v>636</v>
      </c>
      <c r="C684" s="2071"/>
      <c r="D684" s="2064" t="s">
        <v>1742</v>
      </c>
      <c r="E684" s="2065" t="s">
        <v>5241</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ht="15" outlineLevel="1">
      <c r="A685" s="2052">
        <f>IF(G685&lt;&gt;0,1,)</f>
        <v>0</v>
      </c>
      <c r="B685" s="2077" t="s">
        <v>21</v>
      </c>
      <c r="C685" s="2071"/>
      <c r="D685" s="2064" t="s">
        <v>5242</v>
      </c>
      <c r="E685" s="2065" t="s">
        <v>5243</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ht="15" outlineLevel="1">
      <c r="A686" s="2052">
        <f t="shared" si="98"/>
        <v>0</v>
      </c>
      <c r="B686" s="2077" t="s">
        <v>6063</v>
      </c>
      <c r="C686" s="2086">
        <f>IF(G686&gt;0,C680+1,C680)</f>
        <v>0</v>
      </c>
      <c r="D686" s="2146"/>
      <c r="E686" s="2115" t="s">
        <v>6064</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5" outlineLevel="1">
      <c r="A687" s="2052">
        <f>A686</f>
        <v>0</v>
      </c>
      <c r="B687" s="2074"/>
      <c r="C687" s="2086"/>
      <c r="D687" s="2146"/>
      <c r="E687" s="2116" t="s">
        <v>6037</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ht="15" outlineLevel="1">
      <c r="A688" s="2052">
        <f t="shared" si="98"/>
        <v>0</v>
      </c>
      <c r="B688" s="2077" t="s">
        <v>5069</v>
      </c>
      <c r="C688" s="2086"/>
      <c r="D688" s="2064">
        <v>0</v>
      </c>
      <c r="E688" s="2065" t="s">
        <v>5070</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ht="15" outlineLevel="1">
      <c r="A689" s="2052">
        <f t="shared" si="98"/>
        <v>0</v>
      </c>
      <c r="B689" s="2077" t="s">
        <v>5076</v>
      </c>
      <c r="C689" s="2086"/>
      <c r="D689" s="2064">
        <v>0</v>
      </c>
      <c r="E689" s="2065" t="s">
        <v>5077</v>
      </c>
      <c r="F689" s="2064" t="s">
        <v>5078</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ht="15" outlineLevel="1">
      <c r="A690" s="2052">
        <f t="shared" si="98"/>
        <v>0</v>
      </c>
      <c r="B690" s="2074" t="s">
        <v>486</v>
      </c>
      <c r="C690" s="2086"/>
      <c r="D690" s="2064">
        <v>0</v>
      </c>
      <c r="E690" s="2065" t="s">
        <v>4996</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ht="15"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ht="15"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ht="15"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ht="15" outlineLevel="1">
      <c r="A694" s="2052">
        <f>IF(G694&lt;&gt;0,1,0)</f>
        <v>0</v>
      </c>
      <c r="B694" s="2074" t="s">
        <v>418</v>
      </c>
      <c r="C694" s="2086"/>
      <c r="D694" s="2064" t="s">
        <v>5338</v>
      </c>
      <c r="E694" s="2065" t="s">
        <v>5339</v>
      </c>
      <c r="F694" s="2064" t="s">
        <v>2433</v>
      </c>
      <c r="G694" s="2071">
        <f>G686</f>
        <v>0</v>
      </c>
      <c r="H694" s="2067">
        <v>0</v>
      </c>
      <c r="I694" s="2072"/>
      <c r="J694" s="2067" t="s">
        <v>6230</v>
      </c>
      <c r="K694" s="2067">
        <v>0</v>
      </c>
      <c r="L694" s="2073">
        <f>H694*G694</f>
        <v>0</v>
      </c>
      <c r="M694" s="2073">
        <f>I694*G694</f>
        <v>0</v>
      </c>
      <c r="N694" s="2067">
        <v>0</v>
      </c>
      <c r="O694" s="2072">
        <f>K694*G694</f>
        <v>0</v>
      </c>
      <c r="P694" s="2099"/>
    </row>
    <row r="695" spans="1:16" s="2049" customFormat="1" ht="15"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5" outlineLevel="1">
      <c r="A696" s="2052">
        <f>A695</f>
        <v>0</v>
      </c>
      <c r="B696" s="2074"/>
      <c r="C696" s="2086"/>
      <c r="D696" s="2146"/>
      <c r="E696" s="2116" t="s">
        <v>6037</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ht="15"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ht="15" outlineLevel="1">
      <c r="A698" s="2052">
        <f t="shared" si="98"/>
        <v>0</v>
      </c>
      <c r="B698" s="2077" t="s">
        <v>1504</v>
      </c>
      <c r="C698" s="2071"/>
      <c r="D698" s="2064">
        <v>0</v>
      </c>
      <c r="E698" s="2065" t="s">
        <v>5081</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ht="15"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ht="15" outlineLevel="1">
      <c r="A700" s="2052">
        <f t="shared" si="98"/>
        <v>0</v>
      </c>
      <c r="B700" s="2074" t="s">
        <v>902</v>
      </c>
      <c r="C700" s="2071"/>
      <c r="D700" s="2064">
        <v>0</v>
      </c>
      <c r="E700" s="2065" t="s">
        <v>6232</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ht="15"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ht="15" outlineLevel="1">
      <c r="A702" s="2052">
        <f t="shared" si="98"/>
        <v>0</v>
      </c>
      <c r="B702" s="2077" t="s">
        <v>523</v>
      </c>
      <c r="C702" s="2071"/>
      <c r="D702" s="2064">
        <v>0</v>
      </c>
      <c r="E702" s="2065" t="s">
        <v>5170</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ht="15" outlineLevel="1">
      <c r="A703" s="2052">
        <f>+A697</f>
        <v>0</v>
      </c>
      <c r="B703" s="2074" t="s">
        <v>2178</v>
      </c>
      <c r="C703" s="2071"/>
      <c r="D703" s="2064" t="s">
        <v>5263</v>
      </c>
      <c r="E703" s="2065" t="s">
        <v>5264</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ht="15" outlineLevel="1">
      <c r="A704" s="2052">
        <f>+A698</f>
        <v>0</v>
      </c>
      <c r="B704" s="2077" t="s">
        <v>899</v>
      </c>
      <c r="C704" s="2071"/>
      <c r="D704" s="2064" t="s">
        <v>5268</v>
      </c>
      <c r="E704" s="2065" t="s">
        <v>5269</v>
      </c>
      <c r="F704" s="2064" t="s">
        <v>2272</v>
      </c>
      <c r="G704" s="2071">
        <f>G698</f>
        <v>0</v>
      </c>
      <c r="H704" s="2067">
        <v>0</v>
      </c>
      <c r="I704" s="2072"/>
      <c r="J704" s="2067" t="s">
        <v>6219</v>
      </c>
      <c r="K704" s="2067">
        <v>1573.075</v>
      </c>
      <c r="L704" s="2073">
        <f>H704*G704</f>
        <v>0</v>
      </c>
      <c r="M704" s="2073">
        <f>I704*G704</f>
        <v>0</v>
      </c>
      <c r="N704" s="2067">
        <v>0</v>
      </c>
      <c r="O704" s="2072">
        <f>K704*G704</f>
        <v>0</v>
      </c>
      <c r="P704" s="2099"/>
    </row>
    <row r="705" spans="1:16" s="2049" customFormat="1" ht="15" outlineLevel="1">
      <c r="A705" s="2052">
        <f>IF(G705&lt;&gt;0,1,0)</f>
        <v>0</v>
      </c>
      <c r="B705" s="2074" t="s">
        <v>1051</v>
      </c>
      <c r="C705" s="2071"/>
      <c r="D705" s="2064" t="s">
        <v>5253</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ht="15" outlineLevel="1">
      <c r="A706" s="2052">
        <f>IF(G706&lt;&gt;0,1,0)</f>
        <v>0</v>
      </c>
      <c r="B706" s="2077" t="s">
        <v>1052</v>
      </c>
      <c r="C706" s="2071"/>
      <c r="D706" s="2064" t="s">
        <v>5242</v>
      </c>
      <c r="E706" s="2065" t="s">
        <v>5254</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ht="15"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5" outlineLevel="1">
      <c r="A708" s="2052">
        <f>A707</f>
        <v>0</v>
      </c>
      <c r="B708" s="2074"/>
      <c r="C708" s="2086"/>
      <c r="D708" s="2146"/>
      <c r="E708" s="2116" t="s">
        <v>6037</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ht="15" outlineLevel="1">
      <c r="A709" s="2052">
        <f t="shared" si="98"/>
        <v>0</v>
      </c>
      <c r="B709" s="2077" t="s">
        <v>613</v>
      </c>
      <c r="C709" s="2071"/>
      <c r="D709" s="2064" t="s">
        <v>5570</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ht="15"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ht="15" outlineLevel="1">
      <c r="A711" s="2052">
        <f t="shared" si="98"/>
        <v>0</v>
      </c>
      <c r="B711" s="2074" t="s">
        <v>877</v>
      </c>
      <c r="C711" s="2071"/>
      <c r="D711" s="2151"/>
      <c r="E711" s="2065" t="s">
        <v>5713</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ht="15" outlineLevel="1">
      <c r="A712" s="2052">
        <f t="shared" si="98"/>
        <v>0</v>
      </c>
      <c r="B712" s="2074"/>
      <c r="C712" s="2086">
        <f>IF(G712&gt;0,C707+1,C707)</f>
        <v>0</v>
      </c>
      <c r="D712" s="2146"/>
      <c r="E712" s="2118" t="s">
        <v>6069</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5" outlineLevel="1">
      <c r="A713" s="2052">
        <f>A712</f>
        <v>0</v>
      </c>
      <c r="B713" s="2074"/>
      <c r="C713" s="2086"/>
      <c r="D713" s="2146"/>
      <c r="E713" s="2116" t="s">
        <v>6037</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ht="15" outlineLevel="1">
      <c r="A714" s="2052">
        <f t="shared" si="98"/>
        <v>0</v>
      </c>
      <c r="B714" s="2103" t="s">
        <v>694</v>
      </c>
      <c r="C714" s="2071"/>
      <c r="D714" s="2064">
        <v>0</v>
      </c>
      <c r="E714" s="2065" t="s">
        <v>5005</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ht="15"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ht="15"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ht="15"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ht="15" outlineLevel="1">
      <c r="A718" s="2052">
        <f>IF(G718&lt;&gt;0,1,0)</f>
        <v>0</v>
      </c>
      <c r="B718" s="2062" t="s">
        <v>5614</v>
      </c>
      <c r="C718" s="2071"/>
      <c r="D718" s="2064">
        <v>0</v>
      </c>
      <c r="E718" s="2065" t="s">
        <v>5615</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ht="15" outlineLevel="1">
      <c r="A719" s="2052">
        <f>IF(G719&lt;&gt;0,1,0)</f>
        <v>0</v>
      </c>
      <c r="B719" s="2062" t="s">
        <v>5620</v>
      </c>
      <c r="C719" s="2071"/>
      <c r="D719" s="2064">
        <v>0</v>
      </c>
      <c r="E719" s="2065" t="s">
        <v>5621</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ht="15" outlineLevel="1">
      <c r="A720" s="2052">
        <f>IF(G720&lt;&gt;0,1,0)</f>
        <v>0</v>
      </c>
      <c r="B720" s="2062" t="s">
        <v>5622</v>
      </c>
      <c r="C720" s="2071"/>
      <c r="D720" s="2064">
        <v>0</v>
      </c>
      <c r="E720" s="2065" t="s">
        <v>5623</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ht="15" outlineLevel="1">
      <c r="A721" s="2052">
        <f>IF(G721&lt;&gt;0,1,0)</f>
        <v>0</v>
      </c>
      <c r="B721" s="2062" t="s">
        <v>1521</v>
      </c>
      <c r="C721" s="2071"/>
      <c r="D721" s="2064" t="s">
        <v>5487</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ht="15" outlineLevel="1">
      <c r="A722" s="2052">
        <f t="shared" si="98"/>
        <v>0</v>
      </c>
      <c r="B722" s="2074"/>
      <c r="C722" s="2086">
        <f>IF(G722&gt;0,C712+1,C712)</f>
        <v>0</v>
      </c>
      <c r="D722" s="2146"/>
      <c r="E722" s="2118" t="s">
        <v>6070</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5" outlineLevel="1">
      <c r="A723" s="2052">
        <f>A722</f>
        <v>0</v>
      </c>
      <c r="B723" s="2074"/>
      <c r="C723" s="2086"/>
      <c r="D723" s="2146"/>
      <c r="E723" s="2116" t="s">
        <v>6037</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ht="15"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ht="15"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ht="15" outlineLevel="1">
      <c r="A726" s="2052">
        <f t="shared" si="98"/>
        <v>0</v>
      </c>
      <c r="B726" s="2074" t="s">
        <v>1298</v>
      </c>
      <c r="C726" s="2071"/>
      <c r="D726" s="2064" t="s">
        <v>5639</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ht="15"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ht="15"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ht="15" outlineLevel="1">
      <c r="A729" s="2052">
        <f t="shared" si="98"/>
        <v>0</v>
      </c>
      <c r="B729" s="2077" t="s">
        <v>1985</v>
      </c>
      <c r="C729" s="2071"/>
      <c r="D729" s="2064">
        <v>0</v>
      </c>
      <c r="E729" s="2065" t="s">
        <v>5175</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ht="15" outlineLevel="1">
      <c r="A730" s="2052">
        <f t="shared" si="98"/>
        <v>0</v>
      </c>
      <c r="B730" s="2074" t="s">
        <v>69</v>
      </c>
      <c r="C730" s="2071"/>
      <c r="D730" s="2064">
        <v>0</v>
      </c>
      <c r="E730" s="2065" t="s">
        <v>5711</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ht="15"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ht="15"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ht="15"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ht="15" outlineLevel="1">
      <c r="A734" s="2052">
        <f>IF(G734&lt;&gt;0,1,0)</f>
        <v>0</v>
      </c>
      <c r="B734" s="2074" t="s">
        <v>1175</v>
      </c>
      <c r="C734" s="2071"/>
      <c r="D734" s="2064">
        <v>0</v>
      </c>
      <c r="E734" s="2065" t="s">
        <v>3552</v>
      </c>
      <c r="F734" s="2064" t="s">
        <v>5720</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ht="15" outlineLevel="1">
      <c r="A735" s="2052">
        <f>IF(G735&lt;&gt;0,1,0)</f>
        <v>0</v>
      </c>
      <c r="B735" s="2077" t="s">
        <v>669</v>
      </c>
      <c r="C735" s="2071"/>
      <c r="D735" s="2064">
        <v>0</v>
      </c>
      <c r="E735" s="2065" t="s">
        <v>5715</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ht="15" outlineLevel="1">
      <c r="A736" s="2052">
        <f>A735</f>
        <v>0</v>
      </c>
      <c r="B736" s="2074" t="s">
        <v>2177</v>
      </c>
      <c r="C736" s="2071"/>
      <c r="D736" s="2064" t="s">
        <v>5464</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ht="15" outlineLevel="1">
      <c r="A737" s="2052">
        <f>A735</f>
        <v>0</v>
      </c>
      <c r="B737" s="2077" t="s">
        <v>1521</v>
      </c>
      <c r="C737" s="2071"/>
      <c r="D737" s="2064" t="s">
        <v>5487</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ht="15" outlineLevel="1">
      <c r="A738" s="2052">
        <f>IF(G738&lt;&gt;0,1,0)</f>
        <v>0</v>
      </c>
      <c r="B738" s="2074" t="s">
        <v>288</v>
      </c>
      <c r="C738" s="2104">
        <f>IF(G738&gt;0,C722+1,C722)</f>
        <v>0</v>
      </c>
      <c r="D738" s="2105"/>
      <c r="E738" s="2155" t="s">
        <v>6071</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ht="15" outlineLevel="1">
      <c r="A739" s="2052">
        <f>A738</f>
        <v>0</v>
      </c>
      <c r="B739" s="2075"/>
      <c r="C739" s="2109"/>
      <c r="D739" s="2110"/>
      <c r="E739" s="2083"/>
      <c r="F739" s="2566"/>
      <c r="G739" s="2566"/>
      <c r="H739" s="2566"/>
      <c r="I739" s="2566"/>
      <c r="J739" s="2602" t="s">
        <v>6035</v>
      </c>
      <c r="K739" s="2602"/>
      <c r="L739" s="2111">
        <f>SUM(L672:L738)</f>
        <v>0</v>
      </c>
      <c r="M739" s="2111">
        <f>SUM(M672:M738)</f>
        <v>0</v>
      </c>
      <c r="N739" s="2111">
        <f>SUM(N672:N738)</f>
        <v>0</v>
      </c>
      <c r="O739" s="2111">
        <f>SUM(O672:O738)</f>
        <v>0</v>
      </c>
      <c r="P739" s="2114"/>
    </row>
    <row r="740" spans="1:16" s="2049" customFormat="1" ht="13.9"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ht="15"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ht="15" outlineLevel="1">
      <c r="A742" s="2052" t="str">
        <f>A741</f>
        <v/>
      </c>
      <c r="B742" s="2074" t="s">
        <v>6016</v>
      </c>
      <c r="C742" s="2592" t="s">
        <v>1704</v>
      </c>
      <c r="D742" s="2593" t="s">
        <v>2589</v>
      </c>
      <c r="E742" s="2595" t="s">
        <v>2590</v>
      </c>
      <c r="F742" s="2592" t="s">
        <v>2585</v>
      </c>
      <c r="G742" s="2053" t="s">
        <v>6017</v>
      </c>
      <c r="H742" s="2056" t="s">
        <v>6018</v>
      </c>
      <c r="I742" s="2563"/>
      <c r="J742" s="2563"/>
      <c r="K742" s="2564"/>
      <c r="L742" s="2056" t="s">
        <v>6019</v>
      </c>
      <c r="M742" s="2563"/>
      <c r="N742" s="2563"/>
      <c r="O742" s="2564"/>
      <c r="P742" s="2592" t="s">
        <v>2591</v>
      </c>
    </row>
    <row r="743" spans="1:16" s="2049" customFormat="1" ht="15" outlineLevel="1">
      <c r="A743" s="2052" t="str">
        <f>A742</f>
        <v/>
      </c>
      <c r="B743" s="2074"/>
      <c r="C743" s="2592"/>
      <c r="D743" s="2594"/>
      <c r="E743" s="2596"/>
      <c r="F743" s="2592"/>
      <c r="G743" s="2055" t="s">
        <v>2280</v>
      </c>
      <c r="H743" s="2056" t="s">
        <v>6020</v>
      </c>
      <c r="I743" s="2056" t="s">
        <v>6021</v>
      </c>
      <c r="J743" s="2056" t="s">
        <v>6022</v>
      </c>
      <c r="K743" s="2056" t="s">
        <v>6023</v>
      </c>
      <c r="L743" s="2056" t="s">
        <v>6020</v>
      </c>
      <c r="M743" s="2056" t="s">
        <v>6021</v>
      </c>
      <c r="N743" s="2056" t="s">
        <v>6022</v>
      </c>
      <c r="O743" s="2056" t="s">
        <v>6023</v>
      </c>
      <c r="P743" s="2592"/>
    </row>
    <row r="744" spans="1:16" s="2049" customFormat="1" ht="15"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ht="15" outlineLevel="1">
      <c r="A745" s="2126" t="str">
        <f>IF(G745&lt;&gt;0,1,"")</f>
        <v/>
      </c>
      <c r="B745" s="2062" t="str">
        <f>IF($F$8=22,"TR371","TR37")</f>
        <v>TR371</v>
      </c>
      <c r="C745" s="2063">
        <f>IF(G745&gt;0,1,0)</f>
        <v>0</v>
      </c>
      <c r="D745" s="2064" t="s">
        <v>5499</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ht="15" outlineLevel="1">
      <c r="A746" s="2126" t="str">
        <f t="shared" ref="A746:A752" si="108">IF(G746&lt;&gt;0,1,"")</f>
        <v/>
      </c>
      <c r="B746" s="2062" t="str">
        <f>"FCO100-"&amp;$F$8</f>
        <v>FCO100-22</v>
      </c>
      <c r="C746" s="2063">
        <f>IF(G746&gt;0,C745+1,C745)</f>
        <v>0</v>
      </c>
      <c r="D746" s="2064" t="s">
        <v>5513</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ht="15"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ht="15" outlineLevel="1">
      <c r="A748" s="2126" t="str">
        <f t="shared" si="108"/>
        <v/>
      </c>
      <c r="B748" s="2075" t="str">
        <f>"LA"&amp;$F$6</f>
        <v>LA18</v>
      </c>
      <c r="C748" s="2063">
        <f t="shared" si="109"/>
        <v>0</v>
      </c>
      <c r="D748" s="2064" t="s">
        <v>5517</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ht="15" outlineLevel="1">
      <c r="A749" s="2126" t="str">
        <f t="shared" si="108"/>
        <v/>
      </c>
      <c r="B749" s="2076" t="s">
        <v>4844</v>
      </c>
      <c r="C749" s="2063">
        <f t="shared" si="109"/>
        <v>0</v>
      </c>
      <c r="D749" s="2064">
        <v>0</v>
      </c>
      <c r="E749" s="2065" t="s">
        <v>5596</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ht="15"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ht="15"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ht="15"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ht="15" outlineLevel="1">
      <c r="A753" s="2126" t="str">
        <f>+A741</f>
        <v/>
      </c>
      <c r="B753" s="2074"/>
      <c r="C753" s="2061"/>
      <c r="D753" s="2140"/>
      <c r="E753" s="2159"/>
      <c r="F753" s="2572"/>
      <c r="G753" s="2570"/>
      <c r="H753" s="2572"/>
      <c r="I753" s="2160"/>
      <c r="J753" s="2061" t="s">
        <v>6025</v>
      </c>
      <c r="K753" s="2159"/>
      <c r="L753" s="2160">
        <f>SUM(L745:L752)</f>
        <v>0</v>
      </c>
      <c r="M753" s="2160">
        <f>SUM(M745:M752)</f>
        <v>0</v>
      </c>
      <c r="N753" s="2160">
        <f>SUM(N745:N752)</f>
        <v>0</v>
      </c>
      <c r="O753" s="2160">
        <f>SUM(O745:O752)</f>
        <v>0</v>
      </c>
      <c r="P753" s="2160"/>
    </row>
    <row r="754" spans="1:18" s="2049" customFormat="1" ht="15"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ht="15"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5" outlineLevel="1">
      <c r="A756" s="2052" t="str">
        <f>A755</f>
        <v/>
      </c>
      <c r="B756" s="2074"/>
      <c r="C756" s="2086"/>
      <c r="D756" s="2168"/>
      <c r="E756" s="2169" t="s">
        <v>6037</v>
      </c>
      <c r="F756" s="2152"/>
      <c r="G756" s="2128"/>
      <c r="H756" s="2170"/>
      <c r="I756" s="2170"/>
      <c r="J756" s="2170"/>
      <c r="K756" s="2170"/>
      <c r="L756" s="2170"/>
      <c r="M756" s="2170"/>
      <c r="N756" s="2170"/>
      <c r="O756" s="2171"/>
      <c r="P756" s="2099"/>
    </row>
    <row r="757" spans="1:18" s="2049" customFormat="1" ht="15" outlineLevel="1">
      <c r="A757" s="2052" t="str">
        <f>A756</f>
        <v/>
      </c>
      <c r="B757" s="2077" t="s">
        <v>1583</v>
      </c>
      <c r="C757" s="2086"/>
      <c r="D757" s="2064">
        <v>0</v>
      </c>
      <c r="E757" s="2065" t="s">
        <v>5631</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ht="15"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ht="15"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5338</v>
      </c>
      <c r="E760" s="2065" t="s">
        <v>5339</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8.5" outlineLevel="1">
      <c r="A761" s="2052">
        <f>IF(G761&lt;&gt;0,1,)</f>
        <v>0</v>
      </c>
      <c r="B761" s="2074"/>
      <c r="C761" s="2086">
        <f>IF(G761&gt;0,C755+1,C755)</f>
        <v>0</v>
      </c>
      <c r="D761" s="2090"/>
      <c r="E761" s="2172" t="s">
        <v>6072</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ht="15" outlineLevel="1">
      <c r="A762" s="2052">
        <f t="shared" ref="A762:A767" si="114">IF(G762&lt;&gt;0,1,)</f>
        <v>0</v>
      </c>
      <c r="B762" s="2175" t="s">
        <v>5749</v>
      </c>
      <c r="C762" s="2071"/>
      <c r="D762" s="2064">
        <v>0</v>
      </c>
      <c r="E762" s="2065" t="s">
        <v>5750</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ht="15"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ht="15" outlineLevel="1">
      <c r="A764" s="2052">
        <f t="shared" si="114"/>
        <v>0</v>
      </c>
      <c r="B764" s="2175" t="s">
        <v>6073</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ht="15" outlineLevel="1">
      <c r="A765" s="2052">
        <f t="shared" si="114"/>
        <v>0</v>
      </c>
      <c r="B765" s="2175" t="s">
        <v>6074</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ht="15"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ht="15" outlineLevel="1">
      <c r="A767" s="2052">
        <f t="shared" si="114"/>
        <v>0</v>
      </c>
      <c r="B767" s="2175" t="s">
        <v>514</v>
      </c>
      <c r="C767" s="2071"/>
      <c r="D767" s="2064" t="s">
        <v>5338</v>
      </c>
      <c r="E767" s="2065" t="s">
        <v>5339</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ht="15" outlineLevel="1">
      <c r="A768" s="2052">
        <f>IF(G768&lt;&gt;0,1,)</f>
        <v>0</v>
      </c>
      <c r="B768" s="2074"/>
      <c r="C768" s="2086">
        <f>IF(G768&gt;0,C761+1,C761)</f>
        <v>0</v>
      </c>
      <c r="D768" s="2090"/>
      <c r="E768" s="2177" t="s">
        <v>6075</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ht="15"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ht="15"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ht="15"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5" outlineLevel="1">
      <c r="A772" s="2052">
        <f>A771</f>
        <v>0</v>
      </c>
      <c r="B772" s="2074"/>
      <c r="C772" s="2086"/>
      <c r="D772" s="2090"/>
      <c r="E772" s="2092" t="s">
        <v>6037</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ht="15" outlineLevel="1">
      <c r="A773" s="2052">
        <f>IF(G773&lt;&gt;0,1,)</f>
        <v>0</v>
      </c>
      <c r="B773" s="2077" t="s">
        <v>633</v>
      </c>
      <c r="C773" s="2071"/>
      <c r="D773" s="2064" t="s">
        <v>4965</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ht="15" outlineLevel="1">
      <c r="A774" s="2052">
        <f>IF(G774&lt;&gt;0,1,)</f>
        <v>0</v>
      </c>
      <c r="B774" s="2077" t="s">
        <v>564</v>
      </c>
      <c r="C774" s="2071"/>
      <c r="D774" s="2064">
        <v>0</v>
      </c>
      <c r="E774" s="2065" t="s">
        <v>4990</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ht="15" outlineLevel="1">
      <c r="A775" s="2052">
        <f>IF(G775&lt;&gt;0,1,)</f>
        <v>0</v>
      </c>
      <c r="B775" s="2077" t="s">
        <v>636</v>
      </c>
      <c r="C775" s="2071"/>
      <c r="D775" s="2064" t="s">
        <v>1742</v>
      </c>
      <c r="E775" s="2065" t="s">
        <v>5241</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ht="15" outlineLevel="1">
      <c r="A776" s="2052">
        <f>IF(G776&lt;&gt;0,1,)</f>
        <v>0</v>
      </c>
      <c r="B776" s="2077" t="s">
        <v>21</v>
      </c>
      <c r="C776" s="2071"/>
      <c r="D776" s="2064" t="s">
        <v>5242</v>
      </c>
      <c r="E776" s="2065" t="s">
        <v>5243</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ht="15" outlineLevel="1">
      <c r="A777" s="2052"/>
      <c r="B777" s="2077"/>
      <c r="C777" s="2086">
        <f>IF(G777&gt;0,C771+1,C771)</f>
        <v>0</v>
      </c>
      <c r="D777" s="2179"/>
      <c r="E777" s="2180" t="s">
        <v>6076</v>
      </c>
      <c r="F777" s="2181" t="s">
        <v>2379</v>
      </c>
      <c r="G777" s="2131"/>
      <c r="H777" s="2067"/>
      <c r="I777" s="2067"/>
      <c r="J777" s="2067"/>
      <c r="K777" s="2067"/>
      <c r="L777" s="2073"/>
      <c r="M777" s="2073"/>
      <c r="N777" s="2073"/>
      <c r="O777" s="2072"/>
      <c r="P777" s="2071"/>
      <c r="R777" s="2093"/>
    </row>
    <row r="778" spans="1:18" s="2191" customFormat="1" ht="15" outlineLevel="1">
      <c r="A778" s="2182">
        <f t="shared" ref="A778:A787" si="115">IF(G778&lt;&gt;0,1,)</f>
        <v>0</v>
      </c>
      <c r="B778" s="2183" t="s">
        <v>5154</v>
      </c>
      <c r="C778" s="2184"/>
      <c r="D778" s="2185">
        <v>0</v>
      </c>
      <c r="E778" s="2186" t="s">
        <v>5155</v>
      </c>
      <c r="F778" s="2185" t="s">
        <v>5092</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6077</v>
      </c>
      <c r="R778" s="2192"/>
    </row>
    <row r="779" spans="1:18" s="2191" customFormat="1" ht="15" outlineLevel="1">
      <c r="A779" s="2182">
        <f t="shared" si="115"/>
        <v>0</v>
      </c>
      <c r="B779" s="2183" t="s">
        <v>5146</v>
      </c>
      <c r="C779" s="2184"/>
      <c r="D779" s="2185">
        <v>0</v>
      </c>
      <c r="E779" s="2186" t="s">
        <v>6078</v>
      </c>
      <c r="F779" s="2185" t="s">
        <v>5092</v>
      </c>
      <c r="G779" s="2187"/>
      <c r="H779" s="2188"/>
      <c r="I779" s="2188"/>
      <c r="J779" s="2188">
        <v>0</v>
      </c>
      <c r="K779" s="2188">
        <v>0</v>
      </c>
      <c r="L779" s="2189">
        <f t="shared" si="116"/>
        <v>0</v>
      </c>
      <c r="M779" s="2189">
        <f t="shared" si="117"/>
        <v>0</v>
      </c>
      <c r="N779" s="2189">
        <f t="shared" si="118"/>
        <v>0</v>
      </c>
      <c r="O779" s="2190">
        <f t="shared" si="119"/>
        <v>0</v>
      </c>
      <c r="P779" s="2184" t="s">
        <v>6077</v>
      </c>
      <c r="R779" s="2192"/>
    </row>
    <row r="780" spans="1:18" s="2191" customFormat="1" ht="15"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6077</v>
      </c>
      <c r="R780" s="2192"/>
    </row>
    <row r="781" spans="1:18" s="2191" customFormat="1" ht="15"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6077</v>
      </c>
      <c r="R781" s="2192"/>
    </row>
    <row r="782" spans="1:18" s="2191" customFormat="1" ht="15"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6077</v>
      </c>
      <c r="R782" s="2192"/>
    </row>
    <row r="783" spans="1:18" s="2049" customFormat="1" ht="15" outlineLevel="1">
      <c r="A783" s="2052">
        <f>IF(G783&lt;&gt;0,1,)</f>
        <v>0</v>
      </c>
      <c r="B783" s="2193" t="s">
        <v>1993</v>
      </c>
      <c r="C783" s="2071"/>
      <c r="D783" s="2064" t="s">
        <v>5345</v>
      </c>
      <c r="E783" s="2065" t="s">
        <v>5346</v>
      </c>
      <c r="F783" s="2064" t="s">
        <v>2433</v>
      </c>
      <c r="G783" s="2128"/>
      <c r="H783" s="2067">
        <v>0</v>
      </c>
      <c r="I783" s="2067"/>
      <c r="J783" s="2067" t="s">
        <v>6233</v>
      </c>
      <c r="K783" s="2067">
        <v>0</v>
      </c>
      <c r="L783" s="2073">
        <f>H783*G783</f>
        <v>0</v>
      </c>
      <c r="M783" s="2073">
        <f>I783*G783</f>
        <v>0</v>
      </c>
      <c r="N783" s="2073">
        <v>0</v>
      </c>
      <c r="O783" s="2072">
        <f>K783*G783</f>
        <v>0</v>
      </c>
      <c r="P783" s="2071"/>
      <c r="R783" s="2093"/>
    </row>
    <row r="784" spans="1:18" s="2049" customFormat="1" ht="15" outlineLevel="1">
      <c r="A784" s="2052">
        <f>IF(G784&lt;&gt;0,1,)</f>
        <v>0</v>
      </c>
      <c r="B784" s="2194"/>
      <c r="C784" s="2086">
        <f>IF(G784&gt;0,C777+1,C777)</f>
        <v>0</v>
      </c>
      <c r="D784" s="2064"/>
      <c r="E784" s="2180" t="s">
        <v>6079</v>
      </c>
      <c r="F784" s="2181" t="s">
        <v>2433</v>
      </c>
      <c r="G784" s="2131"/>
      <c r="H784" s="2067"/>
      <c r="I784" s="2067"/>
      <c r="J784" s="2067"/>
      <c r="K784" s="2067"/>
      <c r="L784" s="2073"/>
      <c r="M784" s="2073">
        <f>I784*G784</f>
        <v>0</v>
      </c>
      <c r="N784" s="2073"/>
      <c r="O784" s="2072"/>
      <c r="P784" s="2071"/>
      <c r="R784" s="2093"/>
    </row>
    <row r="785" spans="1:18" s="2191" customFormat="1" ht="15"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6077</v>
      </c>
      <c r="R785" s="2192"/>
    </row>
    <row r="786" spans="1:18" s="2191" customFormat="1" ht="15"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6077</v>
      </c>
      <c r="R786" s="2192"/>
    </row>
    <row r="787" spans="1:18" s="2049" customFormat="1" ht="15" outlineLevel="1">
      <c r="A787" s="2052">
        <f t="shared" si="115"/>
        <v>0</v>
      </c>
      <c r="B787" s="2196" t="s">
        <v>1561</v>
      </c>
      <c r="C787" s="2071"/>
      <c r="D787" s="2064" t="s">
        <v>5477</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ht="15" outlineLevel="1">
      <c r="A788" s="2052">
        <f>IF(G788&lt;&gt;0,1,0)</f>
        <v>0</v>
      </c>
      <c r="B788" s="2077" t="s">
        <v>6063</v>
      </c>
      <c r="C788" s="2086">
        <f>IF(G788&gt;0,C784+1,C784)</f>
        <v>0</v>
      </c>
      <c r="D788" s="2146"/>
      <c r="E788" s="2115" t="s">
        <v>6064</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5" outlineLevel="1">
      <c r="A789" s="2052">
        <f>A788</f>
        <v>0</v>
      </c>
      <c r="B789" s="2074"/>
      <c r="C789" s="2086"/>
      <c r="D789" s="2146"/>
      <c r="E789" s="2116" t="s">
        <v>6037</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ht="15" outlineLevel="1">
      <c r="A790" s="2052">
        <f t="shared" ref="A790:A795" si="120">IF(G790&lt;&gt;0,1,0)</f>
        <v>0</v>
      </c>
      <c r="B790" s="2077" t="s">
        <v>5069</v>
      </c>
      <c r="C790" s="2086"/>
      <c r="D790" s="2064">
        <v>0</v>
      </c>
      <c r="E790" s="2065" t="s">
        <v>5070</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ht="15" outlineLevel="1">
      <c r="A791" s="2052">
        <f t="shared" si="120"/>
        <v>0</v>
      </c>
      <c r="B791" s="2077" t="s">
        <v>5076</v>
      </c>
      <c r="C791" s="2086"/>
      <c r="D791" s="2064">
        <v>0</v>
      </c>
      <c r="E791" s="2065" t="s">
        <v>5077</v>
      </c>
      <c r="F791" s="2064" t="s">
        <v>5078</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ht="15" outlineLevel="1">
      <c r="A792" s="2052">
        <f t="shared" si="120"/>
        <v>0</v>
      </c>
      <c r="B792" s="2074" t="s">
        <v>486</v>
      </c>
      <c r="C792" s="2086"/>
      <c r="D792" s="2064">
        <v>0</v>
      </c>
      <c r="E792" s="2065" t="s">
        <v>4996</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ht="15"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ht="15"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ht="15"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ht="15" outlineLevel="1">
      <c r="A796" s="2052">
        <f>IF(G796&lt;&gt;0,1,0)</f>
        <v>0</v>
      </c>
      <c r="B796" s="2124" t="s">
        <v>5289</v>
      </c>
      <c r="C796" s="2086"/>
      <c r="D796" s="2064" t="s">
        <v>5066</v>
      </c>
      <c r="E796" s="2065" t="s">
        <v>5290</v>
      </c>
      <c r="F796" s="2064" t="s">
        <v>2433</v>
      </c>
      <c r="G796" s="2128">
        <f>G788</f>
        <v>0</v>
      </c>
      <c r="H796" s="2067">
        <v>0</v>
      </c>
      <c r="I796" s="2072"/>
      <c r="J796" s="2067" t="s">
        <v>6234</v>
      </c>
      <c r="K796" s="2067">
        <v>0</v>
      </c>
      <c r="L796" s="2073">
        <f>H796*G796</f>
        <v>0</v>
      </c>
      <c r="M796" s="2073">
        <f>I796*G796</f>
        <v>0</v>
      </c>
      <c r="N796" s="2067">
        <v>0</v>
      </c>
      <c r="O796" s="2072">
        <f>K796*G796</f>
        <v>0</v>
      </c>
      <c r="P796" s="2099"/>
    </row>
    <row r="797" spans="1:18" s="2049" customFormat="1" ht="15" outlineLevel="1">
      <c r="A797" s="2052">
        <f>IF(G797&lt;&gt;0,1,)</f>
        <v>0</v>
      </c>
      <c r="B797" s="2074"/>
      <c r="C797" s="2086">
        <f>IF(G797&gt;0,C788+1,C788)</f>
        <v>0</v>
      </c>
      <c r="D797" s="2168"/>
      <c r="E797" s="2115" t="s">
        <v>6080</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5" outlineLevel="1">
      <c r="A798" s="2052">
        <f>A799</f>
        <v>0</v>
      </c>
      <c r="B798" s="2074"/>
      <c r="C798" s="2162"/>
      <c r="D798" s="2198"/>
      <c r="E798" s="2169" t="s">
        <v>6037</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ht="15"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ht="15"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ht="15"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ht="15"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ht="15" outlineLevel="1">
      <c r="A803" s="2052">
        <f>IF(G803&lt;&gt;0,1,)</f>
        <v>0</v>
      </c>
      <c r="B803" s="2074" t="s">
        <v>514</v>
      </c>
      <c r="C803" s="2086"/>
      <c r="D803" s="2064" t="s">
        <v>5338</v>
      </c>
      <c r="E803" s="2065" t="s">
        <v>5339</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ht="15"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5" outlineLevel="1">
      <c r="A805" s="2052" t="str">
        <f>A804</f>
        <v/>
      </c>
      <c r="B805" s="2074"/>
      <c r="C805" s="2086"/>
      <c r="D805" s="2200"/>
      <c r="E805" s="2169" t="s">
        <v>6037</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ht="15" outlineLevel="1">
      <c r="A806" s="2126" t="str">
        <f t="shared" si="121"/>
        <v/>
      </c>
      <c r="B806" s="2074" t="s">
        <v>1029</v>
      </c>
      <c r="C806" s="2086"/>
      <c r="D806" s="2064">
        <v>0</v>
      </c>
      <c r="E806" s="2065" t="s">
        <v>6235</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ht="15" outlineLevel="1">
      <c r="A807" s="2126" t="str">
        <f t="shared" si="121"/>
        <v/>
      </c>
      <c r="B807" s="2077" t="s">
        <v>1504</v>
      </c>
      <c r="C807" s="2086"/>
      <c r="D807" s="2064">
        <v>0</v>
      </c>
      <c r="E807" s="2065" t="s">
        <v>5081</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ht="15" outlineLevel="1">
      <c r="A808" s="2126" t="str">
        <f>IF(G808&lt;&gt;0,1,"")</f>
        <v/>
      </c>
      <c r="B808" s="2077" t="s">
        <v>1581</v>
      </c>
      <c r="C808" s="2071"/>
      <c r="D808" s="2064">
        <v>0</v>
      </c>
      <c r="E808" s="2065" t="s">
        <v>5628</v>
      </c>
      <c r="F808" s="2064" t="s">
        <v>3430</v>
      </c>
      <c r="G808" s="2071">
        <f>+L3*G804</f>
        <v>0</v>
      </c>
      <c r="H808" s="2067">
        <v>0</v>
      </c>
      <c r="I808" s="2067" t="s">
        <v>6081</v>
      </c>
      <c r="J808" s="2067" t="s">
        <v>6236</v>
      </c>
      <c r="K808" s="2067">
        <v>0</v>
      </c>
      <c r="L808" s="2073">
        <f>H808*G808</f>
        <v>0</v>
      </c>
      <c r="M808" s="2072">
        <v>0</v>
      </c>
      <c r="N808" s="2067">
        <v>0</v>
      </c>
      <c r="O808" s="2072">
        <f>K808*G808</f>
        <v>0</v>
      </c>
      <c r="P808" s="2099"/>
    </row>
    <row r="809" spans="1:16" s="2049" customFormat="1" ht="15"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ht="15"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ht="15"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ht="15" outlineLevel="1">
      <c r="A812" s="2126" t="str">
        <f>IF(G812&lt;&gt;0,1,"")</f>
        <v/>
      </c>
      <c r="B812" s="2074" t="s">
        <v>6047</v>
      </c>
      <c r="C812" s="2071"/>
      <c r="D812" s="2064" t="s">
        <v>5639</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ht="15" outlineLevel="1">
      <c r="A813" s="2126" t="str">
        <f t="shared" si="121"/>
        <v/>
      </c>
      <c r="B813" s="2074" t="s">
        <v>6082</v>
      </c>
      <c r="C813" s="2071"/>
      <c r="D813" s="2064" t="s">
        <v>5640</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ht="15"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ht="15" outlineLevel="1">
      <c r="A815" s="2126" t="str">
        <f t="shared" si="121"/>
        <v/>
      </c>
      <c r="B815" s="2077" t="s">
        <v>523</v>
      </c>
      <c r="C815" s="2086"/>
      <c r="D815" s="2064">
        <v>0</v>
      </c>
      <c r="E815" s="2065" t="s">
        <v>5170</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ht="15" outlineLevel="1">
      <c r="A816" s="2126" t="str">
        <f t="shared" si="121"/>
        <v/>
      </c>
      <c r="B816" s="2074" t="s">
        <v>2178</v>
      </c>
      <c r="C816" s="2071"/>
      <c r="D816" s="2064" t="s">
        <v>5263</v>
      </c>
      <c r="E816" s="2065" t="s">
        <v>5264</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ht="15" outlineLevel="1">
      <c r="A817" s="2126" t="str">
        <f t="shared" si="121"/>
        <v/>
      </c>
      <c r="B817" s="2077" t="s">
        <v>899</v>
      </c>
      <c r="C817" s="2071"/>
      <c r="D817" s="2064" t="s">
        <v>5268</v>
      </c>
      <c r="E817" s="2065" t="s">
        <v>5269</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ht="15" outlineLevel="1">
      <c r="A818" s="2126" t="str">
        <f t="shared" si="121"/>
        <v/>
      </c>
      <c r="B818" s="2074" t="s">
        <v>1051</v>
      </c>
      <c r="C818" s="2071"/>
      <c r="D818" s="2064" t="s">
        <v>5253</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ht="15"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5" outlineLevel="1">
      <c r="A820" s="2052">
        <f t="shared" si="122"/>
        <v>0</v>
      </c>
      <c r="B820" s="2074"/>
      <c r="C820" s="2086"/>
      <c r="D820" s="2200"/>
      <c r="E820" s="2169" t="s">
        <v>6037</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ht="15" outlineLevel="1">
      <c r="A821" s="2052">
        <f t="shared" si="122"/>
        <v>0</v>
      </c>
      <c r="B821" s="2124" t="s">
        <v>5572</v>
      </c>
      <c r="C821" s="2086"/>
      <c r="D821" s="2064" t="s">
        <v>5548</v>
      </c>
      <c r="E821" s="2065" t="s">
        <v>5573</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ht="15"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ht="15" outlineLevel="1">
      <c r="A823" s="2052">
        <f t="shared" si="122"/>
        <v>0</v>
      </c>
      <c r="B823" s="2074" t="s">
        <v>877</v>
      </c>
      <c r="C823" s="2086"/>
      <c r="D823" s="2200"/>
      <c r="E823" s="2065" t="s">
        <v>5713</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ht="15"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5" outlineLevel="1">
      <c r="A825" s="2052">
        <f>A824</f>
        <v>0</v>
      </c>
      <c r="B825" s="2205"/>
      <c r="C825" s="2202"/>
      <c r="D825" s="2203"/>
      <c r="E825" s="2211" t="s">
        <v>6037</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ht="15" outlineLevel="1">
      <c r="A826" s="2126" t="str">
        <f>IF(G826&lt;&gt;0,1,"")</f>
        <v/>
      </c>
      <c r="B826" s="2205" t="s">
        <v>650</v>
      </c>
      <c r="C826" s="2212"/>
      <c r="D826" s="2096">
        <v>0</v>
      </c>
      <c r="E826" s="2138" t="s">
        <v>5207</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ht="15"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ht="15"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ht="15" outlineLevel="1">
      <c r="A829" s="2126" t="str">
        <f>IF(G829&lt;&gt;0,1,"")</f>
        <v/>
      </c>
      <c r="B829" s="2205" t="s">
        <v>651</v>
      </c>
      <c r="C829" s="2212"/>
      <c r="D829" s="2096" t="s">
        <v>5388</v>
      </c>
      <c r="E829" s="2138" t="s">
        <v>5391</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ht="15"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5" outlineLevel="1">
      <c r="A831" s="2126" t="str">
        <f>A830</f>
        <v/>
      </c>
      <c r="B831" s="2205"/>
      <c r="C831" s="2202"/>
      <c r="D831" s="2203"/>
      <c r="E831" s="2218" t="s">
        <v>6037</v>
      </c>
      <c r="F831" s="2202"/>
      <c r="G831" s="2207"/>
      <c r="H831" s="2208"/>
      <c r="I831" s="2208"/>
      <c r="J831" s="2208"/>
      <c r="K831" s="2208"/>
      <c r="L831" s="2208"/>
      <c r="M831" s="2208"/>
      <c r="N831" s="2208"/>
      <c r="O831" s="2208"/>
      <c r="P831" s="2209"/>
      <c r="Q831" s="2210"/>
      <c r="R831" s="2210"/>
      <c r="S831" s="2210"/>
    </row>
    <row r="832" spans="1:20" s="2049" customFormat="1" ht="15"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ht="15" outlineLevel="1">
      <c r="A833" s="2126" t="str">
        <f>IF(G833&lt;&gt;0,1,"")</f>
        <v/>
      </c>
      <c r="B833" s="2205" t="s">
        <v>86</v>
      </c>
      <c r="C833" s="2212"/>
      <c r="D833" s="2096">
        <v>0</v>
      </c>
      <c r="E833" s="2138" t="s">
        <v>5711</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ht="15" outlineLevel="1">
      <c r="A834" s="2052">
        <f>IF(G834&lt;&gt;0,1,0)</f>
        <v>0</v>
      </c>
      <c r="B834" s="2074"/>
      <c r="C834" s="2086">
        <f>IF(G834&gt;0,C830+1,C830)</f>
        <v>0</v>
      </c>
      <c r="D834" s="2200"/>
      <c r="E834" s="2219" t="s">
        <v>6069</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5" outlineLevel="1">
      <c r="A835" s="2052">
        <f>A834</f>
        <v>0</v>
      </c>
      <c r="B835" s="2074"/>
      <c r="C835" s="2086"/>
      <c r="D835" s="2200"/>
      <c r="E835" s="2169" t="s">
        <v>6037</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ht="15" outlineLevel="1">
      <c r="A836" s="2052">
        <f>A835</f>
        <v>0</v>
      </c>
      <c r="B836" s="2103" t="s">
        <v>694</v>
      </c>
      <c r="C836" s="2086"/>
      <c r="D836" s="2064">
        <v>0</v>
      </c>
      <c r="E836" s="2065" t="s">
        <v>5005</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ht="15"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ht="15"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ht="15" outlineLevel="1">
      <c r="A839" s="2052">
        <f>IF(G839&lt;&gt;0,1,0)</f>
        <v>0</v>
      </c>
      <c r="B839" s="2124" t="s">
        <v>5619</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ht="15" outlineLevel="1">
      <c r="A840" s="2052">
        <f>IF(G840&lt;&gt;0,1,0)</f>
        <v>0</v>
      </c>
      <c r="B840" s="2062" t="s">
        <v>5614</v>
      </c>
      <c r="C840" s="2071"/>
      <c r="D840" s="2064">
        <v>0</v>
      </c>
      <c r="E840" s="2065" t="s">
        <v>5615</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ht="15" outlineLevel="1">
      <c r="A841" s="2052">
        <f>IF(G841&lt;&gt;0,1,0)</f>
        <v>0</v>
      </c>
      <c r="B841" s="2062" t="s">
        <v>5620</v>
      </c>
      <c r="C841" s="2071"/>
      <c r="D841" s="2064">
        <v>0</v>
      </c>
      <c r="E841" s="2065" t="s">
        <v>5621</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ht="15" outlineLevel="1">
      <c r="A842" s="2052">
        <f>IF(G842&lt;&gt;0,1,0)</f>
        <v>0</v>
      </c>
      <c r="B842" s="2062" t="s">
        <v>5622</v>
      </c>
      <c r="C842" s="2071"/>
      <c r="D842" s="2064">
        <v>0</v>
      </c>
      <c r="E842" s="2065" t="s">
        <v>5623</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ht="15" outlineLevel="1">
      <c r="A843" s="2126" t="str">
        <f>IF(G843&lt;&gt;0,1,"")</f>
        <v/>
      </c>
      <c r="B843" s="2074" t="s">
        <v>6047</v>
      </c>
      <c r="C843" s="2071"/>
      <c r="D843" s="2064" t="s">
        <v>5639</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ht="15" outlineLevel="1">
      <c r="A844" s="2126" t="str">
        <f>IF(G844&lt;&gt;0,1,"")</f>
        <v/>
      </c>
      <c r="B844" s="2074" t="s">
        <v>6082</v>
      </c>
      <c r="C844" s="2071"/>
      <c r="D844" s="2064" t="s">
        <v>5640</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ht="15" outlineLevel="1">
      <c r="A845" s="2126" t="str">
        <f>IF(G845&lt;&gt;0,1,"")</f>
        <v/>
      </c>
      <c r="B845" s="2074" t="s">
        <v>6083</v>
      </c>
      <c r="C845" s="2071"/>
      <c r="D845" s="2064" t="s">
        <v>5639</v>
      </c>
      <c r="E845" s="2065" t="s">
        <v>5674</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ht="15" outlineLevel="1">
      <c r="A846" s="2126" t="str">
        <f>IF(G846&lt;&gt;0,1,"")</f>
        <v/>
      </c>
      <c r="B846" s="2074" t="s">
        <v>6084</v>
      </c>
      <c r="C846" s="2071"/>
      <c r="D846" s="2064" t="s">
        <v>5640</v>
      </c>
      <c r="E846" s="2065" t="s">
        <v>5676</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ht="15" outlineLevel="1">
      <c r="A847" s="2052">
        <f>A838</f>
        <v>0</v>
      </c>
      <c r="B847" s="2062" t="s">
        <v>1521</v>
      </c>
      <c r="C847" s="2086"/>
      <c r="D847" s="2064" t="s">
        <v>5487</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ht="15" outlineLevel="1">
      <c r="A848" s="2126" t="str">
        <f>IF(G848&lt;&gt;0,1,"")</f>
        <v/>
      </c>
      <c r="B848" s="2074"/>
      <c r="C848" s="2086">
        <f>IF(G848&gt;0,C834+1,C834)</f>
        <v>0</v>
      </c>
      <c r="D848" s="2200"/>
      <c r="E848" s="2220" t="s">
        <v>6085</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5" outlineLevel="1">
      <c r="A849" s="2052" t="str">
        <f>A848</f>
        <v/>
      </c>
      <c r="B849" s="2074"/>
      <c r="C849" s="2086"/>
      <c r="D849" s="2200"/>
      <c r="E849" s="2221" t="s">
        <v>6037</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30" outlineLevel="1">
      <c r="A850" s="2126" t="str">
        <f t="shared" ref="A850:A879" si="123">IF(G850&lt;&gt;0,1,"")</f>
        <v/>
      </c>
      <c r="B850" s="2074" t="s">
        <v>32</v>
      </c>
      <c r="C850" s="2071"/>
      <c r="D850" s="2064">
        <v>0</v>
      </c>
      <c r="E850" s="2222" t="s">
        <v>6237</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ht="15" outlineLevel="1">
      <c r="A851" s="2126" t="str">
        <f t="shared" si="123"/>
        <v/>
      </c>
      <c r="B851" s="2074" t="s">
        <v>1402</v>
      </c>
      <c r="C851" s="2071"/>
      <c r="D851" s="2064">
        <v>0</v>
      </c>
      <c r="E851" s="2065" t="s">
        <v>6238</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ht="15" outlineLevel="1">
      <c r="A852" s="2126" t="str">
        <f t="shared" si="123"/>
        <v/>
      </c>
      <c r="B852" s="2074" t="s">
        <v>6086</v>
      </c>
      <c r="C852" s="2071"/>
      <c r="D852" s="2064">
        <v>0</v>
      </c>
      <c r="E852" s="2065" t="s">
        <v>6239</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ht="15"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ht="15" outlineLevel="1">
      <c r="A854" s="2126" t="str">
        <f t="shared" si="123"/>
        <v/>
      </c>
      <c r="B854" s="2074" t="s">
        <v>6087</v>
      </c>
      <c r="C854" s="2071"/>
      <c r="D854" s="2064" t="s">
        <v>5642</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ht="15" outlineLevel="1">
      <c r="A855" s="2126" t="str">
        <f t="shared" si="123"/>
        <v/>
      </c>
      <c r="B855" s="2074" t="s">
        <v>2138</v>
      </c>
      <c r="C855" s="2071"/>
      <c r="D855" s="2064" t="s">
        <v>5642</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ht="15" outlineLevel="1">
      <c r="A856" s="2126" t="str">
        <f t="shared" si="123"/>
        <v/>
      </c>
      <c r="B856" s="2074" t="s">
        <v>6046</v>
      </c>
      <c r="C856" s="2071"/>
      <c r="D856" s="2064" t="s">
        <v>5638</v>
      </c>
      <c r="E856" s="2065" t="s">
        <v>5651</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ht="15" outlineLevel="1">
      <c r="A857" s="2126" t="str">
        <f t="shared" si="123"/>
        <v/>
      </c>
      <c r="B857" s="2074" t="s">
        <v>6088</v>
      </c>
      <c r="C857" s="2071"/>
      <c r="D857" s="2064" t="s">
        <v>5641</v>
      </c>
      <c r="E857" s="2065" t="s">
        <v>5678</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ht="15" outlineLevel="1">
      <c r="A858" s="2126" t="str">
        <f t="shared" si="123"/>
        <v/>
      </c>
      <c r="B858" s="2074" t="s">
        <v>6089</v>
      </c>
      <c r="C858" s="2071"/>
      <c r="D858" s="2064" t="s">
        <v>5642</v>
      </c>
      <c r="E858" s="2065" t="s">
        <v>5680</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ht="15" outlineLevel="1">
      <c r="A859" s="2126" t="str">
        <f t="shared" si="123"/>
        <v/>
      </c>
      <c r="B859" s="2074" t="s">
        <v>6090</v>
      </c>
      <c r="C859" s="2071"/>
      <c r="D859" s="2064" t="s">
        <v>5638</v>
      </c>
      <c r="E859" s="2065" t="s">
        <v>5672</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ht="15"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ht="15"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ht="15" outlineLevel="1">
      <c r="A862" s="2126" t="str">
        <f t="shared" si="123"/>
        <v/>
      </c>
      <c r="B862" s="2077" t="s">
        <v>669</v>
      </c>
      <c r="C862" s="2071"/>
      <c r="D862" s="2064">
        <v>0</v>
      </c>
      <c r="E862" s="2065" t="s">
        <v>5715</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ht="15"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ht="15"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ht="15"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ht="15" outlineLevel="1">
      <c r="A866" s="2126" t="str">
        <f t="shared" si="123"/>
        <v/>
      </c>
      <c r="B866" s="2124" t="s">
        <v>5716</v>
      </c>
      <c r="C866" s="2071"/>
      <c r="D866" s="2064">
        <v>0</v>
      </c>
      <c r="E866" s="2065" t="s">
        <v>5717</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ht="15"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ht="15" outlineLevel="1">
      <c r="A868" s="2126" t="str">
        <f t="shared" si="123"/>
        <v/>
      </c>
      <c r="B868" s="2124" t="s">
        <v>1735</v>
      </c>
      <c r="C868" s="2071"/>
      <c r="D868" s="2064">
        <v>0</v>
      </c>
      <c r="E868" s="2065" t="s">
        <v>5709</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ht="15"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ht="15"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ht="15" outlineLevel="1">
      <c r="A871" s="2126" t="str">
        <f t="shared" si="123"/>
        <v/>
      </c>
      <c r="B871" s="2077" t="s">
        <v>1857</v>
      </c>
      <c r="C871" s="2071"/>
      <c r="D871" s="2064">
        <v>0</v>
      </c>
      <c r="E871" s="2065" t="s">
        <v>5176</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ht="15"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ht="15"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ht="15"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ht="15" outlineLevel="1">
      <c r="A875" s="2126" t="str">
        <f t="shared" si="123"/>
        <v/>
      </c>
      <c r="B875" s="2074" t="s">
        <v>1175</v>
      </c>
      <c r="C875" s="2071"/>
      <c r="D875" s="2064">
        <v>0</v>
      </c>
      <c r="E875" s="2065" t="s">
        <v>3552</v>
      </c>
      <c r="F875" s="2064" t="s">
        <v>5720</v>
      </c>
      <c r="G875" s="2128"/>
      <c r="H875" s="2067">
        <v>45000</v>
      </c>
      <c r="I875" s="2072"/>
      <c r="J875" s="2067">
        <v>0</v>
      </c>
      <c r="K875" s="2067">
        <v>0</v>
      </c>
      <c r="L875" s="2153">
        <f>H875*G875</f>
        <v>0</v>
      </c>
      <c r="M875" s="2153">
        <f>I875*G875</f>
        <v>0</v>
      </c>
      <c r="N875" s="2153">
        <f>J875*G875</f>
        <v>0</v>
      </c>
      <c r="O875" s="2154">
        <f>K875*G875</f>
        <v>0</v>
      </c>
      <c r="P875" s="2099"/>
    </row>
    <row r="876" spans="1:16" s="2049" customFormat="1" ht="15" outlineLevel="1">
      <c r="A876" s="2126" t="str">
        <f t="shared" si="123"/>
        <v/>
      </c>
      <c r="B876" s="2074" t="s">
        <v>1858</v>
      </c>
      <c r="C876" s="2071"/>
      <c r="D876" s="2064" t="s">
        <v>5465</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ht="15" outlineLevel="1">
      <c r="A877" s="2126" t="str">
        <f t="shared" si="123"/>
        <v/>
      </c>
      <c r="B877" s="2077" t="s">
        <v>1521</v>
      </c>
      <c r="C877" s="2071"/>
      <c r="D877" s="2064" t="s">
        <v>5487</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ht="15" outlineLevel="1">
      <c r="A878" s="2126" t="str">
        <f t="shared" si="123"/>
        <v/>
      </c>
      <c r="B878" s="2077" t="s">
        <v>6091</v>
      </c>
      <c r="C878" s="2071"/>
      <c r="D878" s="2064" t="s">
        <v>5410</v>
      </c>
      <c r="E878" s="2065" t="s">
        <v>5418</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ht="14.25" outlineLevel="1">
      <c r="A879" s="2223" t="str">
        <f t="shared" si="123"/>
        <v/>
      </c>
      <c r="B879" s="2224" t="s">
        <v>288</v>
      </c>
      <c r="C879" s="2104">
        <f>IF(G879&gt;0,C848+1,C848)</f>
        <v>0</v>
      </c>
      <c r="D879" s="2225"/>
      <c r="E879" s="2226" t="s">
        <v>5627</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ht="15" outlineLevel="1">
      <c r="A880" s="2126"/>
      <c r="B880" s="2074"/>
      <c r="C880" s="2104">
        <f>C879+1</f>
        <v>1</v>
      </c>
      <c r="D880" s="2233"/>
      <c r="E880" s="2226" t="s">
        <v>6092</v>
      </c>
      <c r="F880" s="2064"/>
      <c r="G880" s="2234"/>
      <c r="H880" s="2067"/>
      <c r="I880" s="2107"/>
      <c r="J880" s="2067"/>
      <c r="K880" s="2067"/>
      <c r="L880" s="2235"/>
      <c r="M880" s="2235"/>
      <c r="N880" s="2235"/>
      <c r="O880" s="2236"/>
      <c r="P880" s="2099"/>
    </row>
    <row r="881" spans="1:16" s="2049" customFormat="1" ht="15" outlineLevel="1">
      <c r="A881" s="2126" t="str">
        <f t="shared" ref="A881:A887" si="124">IF(G881&lt;&gt;0,1,"")</f>
        <v/>
      </c>
      <c r="B881" s="2237" t="s">
        <v>5118</v>
      </c>
      <c r="C881" s="2104"/>
      <c r="D881" s="2233"/>
      <c r="E881" s="2238" t="s">
        <v>4681</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ht="15" outlineLevel="1">
      <c r="A882" s="2126" t="str">
        <f t="shared" si="124"/>
        <v/>
      </c>
      <c r="B882" s="2239" t="s">
        <v>6093</v>
      </c>
      <c r="C882" s="2104"/>
      <c r="D882" s="2233"/>
      <c r="E882" s="2065" t="s">
        <v>4993</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ht="15" outlineLevel="1">
      <c r="A883" s="2126" t="str">
        <f t="shared" si="124"/>
        <v/>
      </c>
      <c r="B883" s="2216" t="s">
        <v>5146</v>
      </c>
      <c r="C883" s="2104"/>
      <c r="D883" s="2233"/>
      <c r="E883" s="2065" t="s">
        <v>5147</v>
      </c>
      <c r="F883" s="2064" t="s">
        <v>5092</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ht="15" outlineLevel="1">
      <c r="A884" s="2126" t="str">
        <f t="shared" si="124"/>
        <v/>
      </c>
      <c r="B884" s="2237" t="s">
        <v>5118</v>
      </c>
      <c r="C884" s="2104"/>
      <c r="D884" s="2233"/>
      <c r="E884" s="2238" t="s">
        <v>4681</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ht="15" outlineLevel="1">
      <c r="A885" s="2126" t="str">
        <f t="shared" si="124"/>
        <v/>
      </c>
      <c r="B885" s="2239" t="s">
        <v>523</v>
      </c>
      <c r="C885" s="2104"/>
      <c r="D885" s="2233"/>
      <c r="E885" s="2065" t="s">
        <v>5170</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ht="15" outlineLevel="1">
      <c r="A886" s="2126" t="str">
        <f t="shared" si="124"/>
        <v/>
      </c>
      <c r="B886" s="2216" t="s">
        <v>5146</v>
      </c>
      <c r="C886" s="2104"/>
      <c r="D886" s="2233"/>
      <c r="E886" s="2065" t="s">
        <v>5147</v>
      </c>
      <c r="F886" s="2064" t="s">
        <v>5092</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30" outlineLevel="1">
      <c r="A887" s="2126" t="str">
        <f t="shared" si="124"/>
        <v/>
      </c>
      <c r="B887" s="2074" t="s">
        <v>36</v>
      </c>
      <c r="C887" s="2104"/>
      <c r="D887" s="2233"/>
      <c r="E887" s="2222" t="s">
        <v>6240</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ht="15" outlineLevel="1">
      <c r="A888" s="2126"/>
      <c r="B888" s="2074"/>
      <c r="C888" s="2104">
        <f>C880+1</f>
        <v>2</v>
      </c>
      <c r="D888" s="2233"/>
      <c r="E888" s="2226" t="s">
        <v>6094</v>
      </c>
      <c r="F888" s="2064"/>
      <c r="G888" s="2234"/>
      <c r="H888" s="2067"/>
      <c r="I888" s="2107"/>
      <c r="J888" s="2067"/>
      <c r="K888" s="2067"/>
      <c r="L888" s="2235"/>
      <c r="M888" s="2235"/>
      <c r="N888" s="2235"/>
      <c r="O888" s="2236"/>
      <c r="P888" s="2099"/>
    </row>
    <row r="889" spans="1:16" s="2049" customFormat="1" ht="15"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ht="15"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ht="15" outlineLevel="1">
      <c r="A891" s="2126" t="str">
        <f t="shared" si="129"/>
        <v/>
      </c>
      <c r="B891" s="2077" t="s">
        <v>1564</v>
      </c>
      <c r="C891" s="2104"/>
      <c r="D891" s="2233"/>
      <c r="E891" s="2065" t="s">
        <v>5145</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ht="15" outlineLevel="1">
      <c r="A892" s="2126" t="str">
        <f t="shared" si="129"/>
        <v/>
      </c>
      <c r="B892" s="2077" t="s">
        <v>6053</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ht="15" outlineLevel="1">
      <c r="A893" s="2126" t="str">
        <f t="shared" si="129"/>
        <v/>
      </c>
      <c r="B893" s="2077" t="s">
        <v>6095</v>
      </c>
      <c r="C893" s="2104"/>
      <c r="D893" s="2233"/>
      <c r="E893" s="2065" t="s">
        <v>5169</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ht="15"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ht="15"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ht="15" outlineLevel="1">
      <c r="A896" s="2126" t="str">
        <f t="shared" si="129"/>
        <v/>
      </c>
      <c r="B896" s="2074" t="s">
        <v>669</v>
      </c>
      <c r="C896" s="2104"/>
      <c r="D896" s="2233"/>
      <c r="E896" s="2065" t="s">
        <v>5715</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ht="15" outlineLevel="1">
      <c r="A897" s="2126" t="str">
        <f t="shared" si="129"/>
        <v/>
      </c>
      <c r="B897" s="2077" t="s">
        <v>686</v>
      </c>
      <c r="C897" s="2104"/>
      <c r="D897" s="2064" t="s">
        <v>5486</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ht="15" outlineLevel="1">
      <c r="A898" s="2126" t="str">
        <f t="shared" si="129"/>
        <v/>
      </c>
      <c r="B898" s="2077" t="s">
        <v>450</v>
      </c>
      <c r="C898" s="2104"/>
      <c r="D898" s="2064" t="s">
        <v>5485</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ht="15" outlineLevel="1">
      <c r="A899" s="2126" t="str">
        <f t="shared" si="129"/>
        <v/>
      </c>
      <c r="B899" s="2077" t="s">
        <v>1890</v>
      </c>
      <c r="C899" s="2104"/>
      <c r="D899" s="2064" t="s">
        <v>5484</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ht="15" outlineLevel="1">
      <c r="A900" s="2052"/>
      <c r="B900" s="2156"/>
      <c r="C900" s="2079"/>
      <c r="D900" s="2080"/>
      <c r="E900" s="2161"/>
      <c r="F900" s="2573"/>
      <c r="G900" s="2573"/>
      <c r="H900" s="2573"/>
      <c r="I900" s="2573"/>
      <c r="J900" s="2601" t="s">
        <v>6035</v>
      </c>
      <c r="K900" s="2601"/>
      <c r="L900" s="2242">
        <f>SUM(L757:M899)</f>
        <v>0</v>
      </c>
      <c r="M900" s="2242"/>
      <c r="N900" s="2242">
        <f>SUM(N757:O899)</f>
        <v>296544.75</v>
      </c>
      <c r="O900" s="2242">
        <f>SUM(O757:P899)</f>
        <v>0</v>
      </c>
      <c r="P900" s="2243"/>
    </row>
    <row r="901" spans="1:16" s="2049" customFormat="1" ht="15"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ht="15" outlineLevel="1">
      <c r="A902" s="2093"/>
      <c r="B902" s="2156"/>
      <c r="C902" s="2093"/>
      <c r="D902" s="2244"/>
      <c r="E902" s="2088" t="s">
        <v>6096</v>
      </c>
      <c r="F902" s="2574"/>
      <c r="G902" s="2574"/>
      <c r="H902" s="2574"/>
      <c r="I902" s="2574"/>
      <c r="J902" s="2245"/>
      <c r="K902" s="2245"/>
      <c r="L902" s="2246"/>
      <c r="M902" s="2246"/>
      <c r="N902" s="2246"/>
      <c r="O902" s="2246"/>
    </row>
    <row r="903" spans="1:16" s="2049" customFormat="1" ht="15"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ht="15" outlineLevel="1">
      <c r="A904" s="2052" t="str">
        <f>A903</f>
        <v/>
      </c>
      <c r="B904" s="2074" t="s">
        <v>6016</v>
      </c>
      <c r="C904" s="2592" t="s">
        <v>1704</v>
      </c>
      <c r="D904" s="2593" t="s">
        <v>2589</v>
      </c>
      <c r="E904" s="2595" t="s">
        <v>2590</v>
      </c>
      <c r="F904" s="2592" t="s">
        <v>2585</v>
      </c>
      <c r="G904" s="2053" t="s">
        <v>6017</v>
      </c>
      <c r="H904" s="2056" t="s">
        <v>6018</v>
      </c>
      <c r="I904" s="2563"/>
      <c r="J904" s="2563"/>
      <c r="K904" s="2564"/>
      <c r="L904" s="2056" t="s">
        <v>6019</v>
      </c>
      <c r="M904" s="2563"/>
      <c r="N904" s="2563"/>
      <c r="O904" s="2564"/>
      <c r="P904" s="2592" t="s">
        <v>2591</v>
      </c>
    </row>
    <row r="905" spans="1:16" s="2049" customFormat="1" ht="15" outlineLevel="1">
      <c r="A905" s="2052" t="str">
        <f>A904</f>
        <v/>
      </c>
      <c r="B905" s="2074"/>
      <c r="C905" s="2592"/>
      <c r="D905" s="2594"/>
      <c r="E905" s="2596"/>
      <c r="F905" s="2592"/>
      <c r="G905" s="2055" t="s">
        <v>2280</v>
      </c>
      <c r="H905" s="2056" t="s">
        <v>6020</v>
      </c>
      <c r="I905" s="2056" t="s">
        <v>6021</v>
      </c>
      <c r="J905" s="2056" t="s">
        <v>6022</v>
      </c>
      <c r="K905" s="2056" t="s">
        <v>6023</v>
      </c>
      <c r="L905" s="2056" t="s">
        <v>6020</v>
      </c>
      <c r="M905" s="2056" t="s">
        <v>6021</v>
      </c>
      <c r="N905" s="2056" t="s">
        <v>6022</v>
      </c>
      <c r="O905" s="2056" t="s">
        <v>6023</v>
      </c>
      <c r="P905" s="2592"/>
    </row>
    <row r="906" spans="1:16" s="2049" customFormat="1" ht="15"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ht="15" outlineLevel="1">
      <c r="A907" s="2052" t="str">
        <f>IF(G907&lt;&gt;0,1,"")</f>
        <v/>
      </c>
      <c r="B907" s="2062" t="str">
        <f>IF($F$8=22,"TR501","TR50")</f>
        <v>TR501</v>
      </c>
      <c r="C907" s="2063">
        <f>IF(G907&gt;0,1,0)</f>
        <v>0</v>
      </c>
      <c r="D907" s="2064" t="s">
        <v>5499</v>
      </c>
      <c r="E907" s="2065" t="s">
        <v>5502</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ht="15" outlineLevel="1">
      <c r="A908" s="2052" t="str">
        <f t="shared" ref="A908:A914" si="138">IF(G908&lt;&gt;0,1,"")</f>
        <v/>
      </c>
      <c r="B908" s="2062" t="str">
        <f>"FCO100-"&amp;$F$8</f>
        <v>FCO100-22</v>
      </c>
      <c r="C908" s="2063">
        <f t="shared" ref="C908:C914" si="139">IF(G908&gt;0,C907+1,C907)</f>
        <v>0</v>
      </c>
      <c r="D908" s="2064" t="s">
        <v>5513</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ht="15"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ht="15" outlineLevel="1">
      <c r="A910" s="2052" t="str">
        <f t="shared" si="138"/>
        <v/>
      </c>
      <c r="B910" s="2074" t="str">
        <f>IF($F$6=12,"LA12","LA18")</f>
        <v>LA18</v>
      </c>
      <c r="C910" s="2063">
        <f t="shared" si="139"/>
        <v>0</v>
      </c>
      <c r="D910" s="2064" t="s">
        <v>5517</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ht="15" outlineLevel="1">
      <c r="A911" s="2052" t="str">
        <f t="shared" si="138"/>
        <v/>
      </c>
      <c r="B911" s="2062" t="s">
        <v>707</v>
      </c>
      <c r="C911" s="2063">
        <f t="shared" si="139"/>
        <v>0</v>
      </c>
      <c r="D911" s="2064">
        <v>0</v>
      </c>
      <c r="E911" s="2065" t="s">
        <v>5597</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ht="15"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ht="15"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ht="15"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ht="15" outlineLevel="1">
      <c r="A915" s="2052" t="str">
        <f>A914</f>
        <v/>
      </c>
      <c r="B915" s="2074"/>
      <c r="C915" s="2252"/>
      <c r="D915" s="2253"/>
      <c r="E915" s="2254"/>
      <c r="F915" s="2252"/>
      <c r="G915" s="2572"/>
      <c r="H915" s="2252"/>
      <c r="I915" s="2252"/>
      <c r="J915" s="2061" t="s">
        <v>6025</v>
      </c>
      <c r="K915" s="2252"/>
      <c r="L915" s="2254">
        <f>SUM(L907:L914)</f>
        <v>0</v>
      </c>
      <c r="M915" s="2254"/>
      <c r="N915" s="2254">
        <f>SUM(N907:N914)</f>
        <v>0</v>
      </c>
      <c r="O915" s="2254">
        <f>SUM(O907:O914)</f>
        <v>0</v>
      </c>
      <c r="P915" s="2243"/>
    </row>
    <row r="916" spans="1:18" s="2049" customFormat="1" ht="15"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ht="15"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5" outlineLevel="1">
      <c r="A918" s="2052" t="str">
        <f>A917</f>
        <v/>
      </c>
      <c r="B918" s="2074"/>
      <c r="C918" s="2089"/>
      <c r="D918" s="2262"/>
      <c r="E918" s="2263" t="s">
        <v>6037</v>
      </c>
      <c r="F918" s="2063"/>
      <c r="G918" s="2264"/>
      <c r="H918" s="2265"/>
      <c r="I918" s="2265"/>
      <c r="J918" s="2265"/>
      <c r="K918" s="2265"/>
      <c r="L918" s="2265"/>
      <c r="M918" s="2265"/>
      <c r="N918" s="2265"/>
      <c r="O918" s="2266"/>
      <c r="P918" s="2099"/>
    </row>
    <row r="919" spans="1:18" s="2049" customFormat="1" ht="15" outlineLevel="1">
      <c r="A919" s="2052" t="str">
        <f>IF(G919&lt;&gt;0,1,"")</f>
        <v/>
      </c>
      <c r="B919" s="2077" t="s">
        <v>1037</v>
      </c>
      <c r="C919" s="2089"/>
      <c r="D919" s="2064">
        <v>0</v>
      </c>
      <c r="E919" s="2065" t="s">
        <v>5632</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ht="15"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ht="15"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ht="15" outlineLevel="1">
      <c r="A922" s="2052" t="str">
        <f>IF(G922&lt;&gt;0,1,"")</f>
        <v/>
      </c>
      <c r="B922" s="2077" t="s">
        <v>5634</v>
      </c>
      <c r="C922" s="2089"/>
      <c r="D922" s="2064" t="s">
        <v>5343</v>
      </c>
      <c r="E922" s="2065" t="s">
        <v>5635</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ht="15" outlineLevel="1">
      <c r="A923" s="2052">
        <f>IF(G923&lt;&gt;0,1,)</f>
        <v>0</v>
      </c>
      <c r="B923" s="2074"/>
      <c r="C923" s="2089">
        <f>IF(G923&gt;0,C917+1,C917)</f>
        <v>0</v>
      </c>
      <c r="D923" s="2090"/>
      <c r="E923" s="2091" t="s">
        <v>6042</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5" outlineLevel="1">
      <c r="A924" s="2052">
        <f>A923</f>
        <v>0</v>
      </c>
      <c r="B924" s="2074"/>
      <c r="C924" s="2086"/>
      <c r="D924" s="2090"/>
      <c r="E924" s="2092" t="s">
        <v>6037</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ht="15"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ht="15"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ht="15"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ht="15"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5" outlineLevel="1">
      <c r="A929" s="2052">
        <f>A928</f>
        <v>0</v>
      </c>
      <c r="B929" s="2074"/>
      <c r="C929" s="2086"/>
      <c r="D929" s="2090"/>
      <c r="E929" s="2092" t="s">
        <v>6037</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ht="15" outlineLevel="1">
      <c r="A930" s="2052">
        <f>IF(G930&lt;&gt;0,1,)</f>
        <v>0</v>
      </c>
      <c r="B930" s="2077" t="s">
        <v>633</v>
      </c>
      <c r="C930" s="2071"/>
      <c r="D930" s="2064" t="s">
        <v>4965</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ht="15" outlineLevel="1">
      <c r="A931" s="2052">
        <f>IF(G931&lt;&gt;0,1,)</f>
        <v>0</v>
      </c>
      <c r="B931" s="2077" t="s">
        <v>564</v>
      </c>
      <c r="C931" s="2071"/>
      <c r="D931" s="2064">
        <v>0</v>
      </c>
      <c r="E931" s="2065" t="s">
        <v>4990</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ht="15" outlineLevel="1">
      <c r="A932" s="2052">
        <f>IF(G932&lt;&gt;0,1,)</f>
        <v>0</v>
      </c>
      <c r="B932" s="2077" t="s">
        <v>636</v>
      </c>
      <c r="C932" s="2071"/>
      <c r="D932" s="2064" t="s">
        <v>1742</v>
      </c>
      <c r="E932" s="2065" t="s">
        <v>5241</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ht="15" outlineLevel="1">
      <c r="A933" s="2052">
        <f>IF(G933&lt;&gt;0,1,)</f>
        <v>0</v>
      </c>
      <c r="B933" s="2077" t="s">
        <v>21</v>
      </c>
      <c r="C933" s="2071"/>
      <c r="D933" s="2064" t="s">
        <v>5242</v>
      </c>
      <c r="E933" s="2065" t="s">
        <v>5243</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ht="15" outlineLevel="1">
      <c r="A934" s="2052">
        <f>IF(G934&lt;&gt;0,1,0)</f>
        <v>0</v>
      </c>
      <c r="B934" s="2077" t="s">
        <v>6063</v>
      </c>
      <c r="C934" s="2086">
        <f>IF(G934&gt;0,C928+1,C928)</f>
        <v>0</v>
      </c>
      <c r="D934" s="2146"/>
      <c r="E934" s="2115" t="s">
        <v>6064</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5" outlineLevel="1">
      <c r="A935" s="2052">
        <f>A934</f>
        <v>0</v>
      </c>
      <c r="B935" s="2074"/>
      <c r="C935" s="2086"/>
      <c r="D935" s="2146"/>
      <c r="E935" s="2116" t="s">
        <v>6037</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ht="15" outlineLevel="1">
      <c r="A936" s="2052">
        <f t="shared" ref="A936:A941" si="144">IF(G936&lt;&gt;0,1,0)</f>
        <v>0</v>
      </c>
      <c r="B936" s="2077" t="s">
        <v>5069</v>
      </c>
      <c r="C936" s="2086"/>
      <c r="D936" s="2064">
        <v>0</v>
      </c>
      <c r="E936" s="2065" t="s">
        <v>5070</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ht="15" outlineLevel="1">
      <c r="A937" s="2052">
        <f t="shared" si="144"/>
        <v>0</v>
      </c>
      <c r="B937" s="2077" t="s">
        <v>5076</v>
      </c>
      <c r="C937" s="2086"/>
      <c r="D937" s="2064">
        <v>0</v>
      </c>
      <c r="E937" s="2065" t="s">
        <v>5077</v>
      </c>
      <c r="F937" s="2064" t="s">
        <v>5078</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ht="15" outlineLevel="1">
      <c r="A938" s="2052">
        <f t="shared" si="144"/>
        <v>0</v>
      </c>
      <c r="B938" s="2074" t="s">
        <v>486</v>
      </c>
      <c r="C938" s="2086"/>
      <c r="D938" s="2064">
        <v>0</v>
      </c>
      <c r="E938" s="2065" t="s">
        <v>4996</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ht="15"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ht="15"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ht="15"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ht="15" outlineLevel="1">
      <c r="A942" s="2052">
        <f>IF(G942&lt;&gt;0,1,0)</f>
        <v>0</v>
      </c>
      <c r="B942" s="2124" t="s">
        <v>5289</v>
      </c>
      <c r="C942" s="2086"/>
      <c r="D942" s="2064" t="s">
        <v>5066</v>
      </c>
      <c r="E942" s="2065" t="s">
        <v>5290</v>
      </c>
      <c r="F942" s="2064" t="s">
        <v>2433</v>
      </c>
      <c r="G942" s="2135">
        <f>G934</f>
        <v>0</v>
      </c>
      <c r="H942" s="2067">
        <v>0</v>
      </c>
      <c r="I942" s="2072"/>
      <c r="J942" s="2067" t="s">
        <v>6241</v>
      </c>
      <c r="K942" s="2067">
        <v>0</v>
      </c>
      <c r="L942" s="2073">
        <f>H942*G942</f>
        <v>0</v>
      </c>
      <c r="M942" s="2073">
        <f>I942*G942</f>
        <v>0</v>
      </c>
      <c r="N942" s="2067">
        <v>0</v>
      </c>
      <c r="O942" s="2072">
        <f>K942*G942</f>
        <v>0</v>
      </c>
      <c r="P942" s="2099"/>
    </row>
    <row r="943" spans="1:18" s="2049" customFormat="1" ht="15"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5" outlineLevel="1">
      <c r="A944" s="2052">
        <f>A943</f>
        <v>0</v>
      </c>
      <c r="B944" s="2074"/>
      <c r="C944" s="2089"/>
      <c r="D944" s="2262"/>
      <c r="E944" s="2263" t="s">
        <v>6037</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ht="15"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ht="15" outlineLevel="1">
      <c r="A946" s="2052" t="str">
        <f t="shared" si="145"/>
        <v/>
      </c>
      <c r="B946" s="2077" t="s">
        <v>1504</v>
      </c>
      <c r="C946" s="2063"/>
      <c r="D946" s="2064">
        <v>0</v>
      </c>
      <c r="E946" s="2065" t="s">
        <v>5081</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ht="15"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ht="15" outlineLevel="1">
      <c r="A948" s="2052" t="str">
        <f>IF(G948&lt;&gt;0,1,"")</f>
        <v/>
      </c>
      <c r="B948" s="2077" t="s">
        <v>6054</v>
      </c>
      <c r="C948" s="2071"/>
      <c r="D948" s="2064">
        <v>0</v>
      </c>
      <c r="E948" s="2065" t="s">
        <v>5710</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ht="15"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ht="15"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ht="15" outlineLevel="1">
      <c r="A951" s="2052" t="str">
        <f>IF(G951&lt;&gt;0,1,"")</f>
        <v/>
      </c>
      <c r="B951" s="2074" t="s">
        <v>6097</v>
      </c>
      <c r="C951" s="2063"/>
      <c r="D951" s="2064" t="s">
        <v>5639</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ht="15" outlineLevel="1">
      <c r="A952" s="2052" t="str">
        <f>IF(G952&lt;&gt;0,1,"")</f>
        <v/>
      </c>
      <c r="B952" s="2074" t="s">
        <v>6098</v>
      </c>
      <c r="C952" s="2063"/>
      <c r="D952" s="2064" t="s">
        <v>5640</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ht="15"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ht="15" outlineLevel="1">
      <c r="A954" s="2052" t="str">
        <f>IF(G954&lt;&gt;0,1,"")</f>
        <v/>
      </c>
      <c r="B954" s="2074" t="s">
        <v>5099</v>
      </c>
      <c r="C954" s="2063"/>
      <c r="D954" s="2064">
        <v>0</v>
      </c>
      <c r="E954" s="2065" t="s">
        <v>5100</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ht="15" outlineLevel="1">
      <c r="A955" s="2052" t="str">
        <f>IF(G955&lt;&gt;0,1,"")</f>
        <v/>
      </c>
      <c r="B955" s="2074" t="s">
        <v>5101</v>
      </c>
      <c r="C955" s="2063"/>
      <c r="D955" s="2064">
        <v>0</v>
      </c>
      <c r="E955" s="2065" t="s">
        <v>5102</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ht="15" outlineLevel="1">
      <c r="A956" s="2052" t="str">
        <f t="shared" si="145"/>
        <v/>
      </c>
      <c r="B956" s="2077" t="s">
        <v>523</v>
      </c>
      <c r="C956" s="2063"/>
      <c r="D956" s="2064">
        <v>0</v>
      </c>
      <c r="E956" s="2065" t="s">
        <v>5170</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ht="15" outlineLevel="1">
      <c r="A957" s="2052" t="str">
        <f>IF(G957&lt;&gt;0,1,"")</f>
        <v/>
      </c>
      <c r="B957" s="2074" t="s">
        <v>6055</v>
      </c>
      <c r="C957" s="2063"/>
      <c r="D957" s="2064">
        <v>0</v>
      </c>
      <c r="E957" s="2065" t="s">
        <v>5628</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ht="15" outlineLevel="1">
      <c r="A958" s="2052" t="str">
        <f>IF(G958&lt;&gt;0,1,"")</f>
        <v/>
      </c>
      <c r="B958" s="2074" t="s">
        <v>2178</v>
      </c>
      <c r="C958" s="2063"/>
      <c r="D958" s="2064" t="s">
        <v>5263</v>
      </c>
      <c r="E958" s="2065" t="s">
        <v>5264</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ht="15" outlineLevel="1">
      <c r="A959" s="2052" t="str">
        <f>IF(G959&lt;&gt;0,1,"")</f>
        <v/>
      </c>
      <c r="B959" s="2077" t="s">
        <v>899</v>
      </c>
      <c r="C959" s="2063"/>
      <c r="D959" s="2064" t="s">
        <v>5268</v>
      </c>
      <c r="E959" s="2065" t="s">
        <v>5269</v>
      </c>
      <c r="F959" s="2064" t="s">
        <v>2272</v>
      </c>
      <c r="G959" s="2135">
        <f>G946</f>
        <v>0</v>
      </c>
      <c r="H959" s="2067">
        <v>0</v>
      </c>
      <c r="I959" s="2067"/>
      <c r="J959" s="2073" t="s">
        <v>6216</v>
      </c>
      <c r="K959" s="2073">
        <v>0</v>
      </c>
      <c r="L959" s="2073">
        <f>H959*$G959</f>
        <v>0</v>
      </c>
      <c r="M959" s="2073">
        <f>I959*$G959</f>
        <v>0</v>
      </c>
      <c r="N959" s="2073">
        <v>0</v>
      </c>
      <c r="O959" s="2249">
        <f>K959*G959</f>
        <v>0</v>
      </c>
      <c r="P959" s="2099"/>
    </row>
    <row r="960" spans="1:16" s="2049" customFormat="1" ht="15" outlineLevel="1">
      <c r="A960" s="2052" t="str">
        <f>IF(G960&lt;&gt;0,1,"")</f>
        <v/>
      </c>
      <c r="B960" s="2074" t="s">
        <v>1051</v>
      </c>
      <c r="C960" s="2063"/>
      <c r="D960" s="2064" t="s">
        <v>5253</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ht="15" outlineLevel="1">
      <c r="A961" s="2270">
        <f>+IF(G961&gt;0,1,0)</f>
        <v>0</v>
      </c>
      <c r="B961" s="2270"/>
      <c r="C961" s="2271">
        <f>IF(G961&gt;0,C943+1,C943)</f>
        <v>0</v>
      </c>
      <c r="D961" s="2272"/>
      <c r="E961" s="2273" t="s">
        <v>6099</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ht="15" outlineLevel="1">
      <c r="A962" s="2052" t="str">
        <f>IF(G962&lt;&gt;0,1,"")</f>
        <v/>
      </c>
      <c r="B962" s="2124" t="s">
        <v>5572</v>
      </c>
      <c r="C962" s="2281"/>
      <c r="D962" s="2064" t="s">
        <v>5548</v>
      </c>
      <c r="E962" s="2065" t="s">
        <v>5573</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ht="15" outlineLevel="1">
      <c r="A963" s="2052" t="str">
        <f>IF(G963&lt;&gt;0,1,"")</f>
        <v/>
      </c>
      <c r="B963" s="2074" t="s">
        <v>318</v>
      </c>
      <c r="C963" s="2063"/>
      <c r="D963" s="2064">
        <v>0</v>
      </c>
      <c r="E963" s="2065" t="s">
        <v>5187</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ht="15" outlineLevel="1">
      <c r="A964" s="2052" t="str">
        <f>IF(G964&lt;&gt;0,1,"")</f>
        <v/>
      </c>
      <c r="B964" s="2074" t="s">
        <v>877</v>
      </c>
      <c r="C964" s="2063"/>
      <c r="D964" s="2282"/>
      <c r="E964" s="2065" t="s">
        <v>5713</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ht="15" outlineLevel="1">
      <c r="A965" s="2270">
        <f>+IF(G965&gt;0,1,0)</f>
        <v>0</v>
      </c>
      <c r="B965" s="2074"/>
      <c r="C965" s="2089">
        <f>IF(G965&gt;0,C961+1,C961)</f>
        <v>0</v>
      </c>
      <c r="D965" s="2262"/>
      <c r="E965" s="2283" t="s">
        <v>6069</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5" outlineLevel="1">
      <c r="A966" s="2052">
        <f>A965</f>
        <v>0</v>
      </c>
      <c r="B966" s="2074"/>
      <c r="C966" s="2089"/>
      <c r="D966" s="2262"/>
      <c r="E966" s="2263" t="s">
        <v>6037</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ht="15" outlineLevel="1">
      <c r="A967" s="2052" t="str">
        <f>IF(G967&lt;&gt;0,1,"")</f>
        <v/>
      </c>
      <c r="B967" s="2077" t="s">
        <v>694</v>
      </c>
      <c r="C967" s="2063"/>
      <c r="D967" s="2064">
        <v>0</v>
      </c>
      <c r="E967" s="2065" t="s">
        <v>5005</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ht="15"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ht="15"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ht="15"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ht="15" outlineLevel="1">
      <c r="A971" s="2052">
        <f>IF(G971&lt;&gt;0,1,0)</f>
        <v>0</v>
      </c>
      <c r="B971" s="2062" t="s">
        <v>5614</v>
      </c>
      <c r="C971" s="2071"/>
      <c r="D971" s="2064">
        <v>0</v>
      </c>
      <c r="E971" s="2065" t="s">
        <v>5615</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ht="15" outlineLevel="1">
      <c r="A972" s="2052">
        <f>IF(G972&lt;&gt;0,1,0)</f>
        <v>0</v>
      </c>
      <c r="B972" s="2062" t="s">
        <v>5620</v>
      </c>
      <c r="C972" s="2071"/>
      <c r="D972" s="2064">
        <v>0</v>
      </c>
      <c r="E972" s="2065" t="s">
        <v>5621</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ht="15" outlineLevel="1">
      <c r="A973" s="2052">
        <f>IF(G973&lt;&gt;0,1,0)</f>
        <v>0</v>
      </c>
      <c r="B973" s="2062" t="s">
        <v>5622</v>
      </c>
      <c r="C973" s="2071"/>
      <c r="D973" s="2064">
        <v>0</v>
      </c>
      <c r="E973" s="2065" t="s">
        <v>5623</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ht="15" outlineLevel="1">
      <c r="A974" s="2052">
        <f>IF(G974&lt;&gt;0,1,0)</f>
        <v>0</v>
      </c>
      <c r="B974" s="2062" t="s">
        <v>6060</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ht="15" outlineLevel="1">
      <c r="A975" s="2052" t="str">
        <f>IF(G975&lt;&gt;0,1,"")</f>
        <v/>
      </c>
      <c r="B975" s="2062" t="s">
        <v>1521</v>
      </c>
      <c r="C975" s="2063"/>
      <c r="D975" s="2064" t="s">
        <v>5487</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ht="15" outlineLevel="1">
      <c r="A976" s="2052" t="str">
        <f>A970</f>
        <v/>
      </c>
      <c r="B976" s="2074"/>
      <c r="C976" s="2089">
        <f>IF(G976&gt;0,C965+1,C965)</f>
        <v>0</v>
      </c>
      <c r="D976" s="2262"/>
      <c r="E976" s="2284" t="s">
        <v>6100</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5" outlineLevel="1">
      <c r="A977" s="2052" t="str">
        <f>A976</f>
        <v/>
      </c>
      <c r="B977" s="2074"/>
      <c r="C977" s="2089"/>
      <c r="D977" s="2262"/>
      <c r="E977" s="2285" t="s">
        <v>6037</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ht="15" outlineLevel="1">
      <c r="A978" s="2052" t="str">
        <f>IF(G978&lt;&gt;0,1,"")</f>
        <v/>
      </c>
      <c r="B978" s="2074" t="s">
        <v>6062</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ht="15"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ht="15"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ht="15" outlineLevel="1">
      <c r="A981" s="2052" t="str">
        <f t="shared" si="150"/>
        <v/>
      </c>
      <c r="B981" s="2074" t="s">
        <v>6101</v>
      </c>
      <c r="C981" s="2063"/>
      <c r="D981" s="2064" t="s">
        <v>5643</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ht="15" outlineLevel="1">
      <c r="A982" s="2052" t="str">
        <f t="shared" si="150"/>
        <v/>
      </c>
      <c r="B982" s="2074" t="s">
        <v>6102</v>
      </c>
      <c r="C982" s="2063"/>
      <c r="D982" s="2064" t="s">
        <v>5639</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ht="15" outlineLevel="1">
      <c r="A983" s="2052" t="str">
        <f t="shared" si="150"/>
        <v/>
      </c>
      <c r="B983" s="2074" t="s">
        <v>6103</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ht="15"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ht="15"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ht="15" outlineLevel="1">
      <c r="A986" s="2052" t="str">
        <f t="shared" si="150"/>
        <v/>
      </c>
      <c r="B986" s="2077" t="s">
        <v>1857</v>
      </c>
      <c r="C986" s="2063"/>
      <c r="D986" s="2064">
        <v>0</v>
      </c>
      <c r="E986" s="2065" t="s">
        <v>5176</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ht="15" outlineLevel="1">
      <c r="A987" s="2052" t="str">
        <f t="shared" si="150"/>
        <v/>
      </c>
      <c r="B987" s="2074" t="s">
        <v>70</v>
      </c>
      <c r="C987" s="2063"/>
      <c r="D987" s="2064">
        <v>0</v>
      </c>
      <c r="E987" s="2065" t="s">
        <v>5711</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ht="15"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ht="15"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ht="15"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ht="15" outlineLevel="1">
      <c r="A991" s="2052" t="str">
        <f t="shared" si="150"/>
        <v/>
      </c>
      <c r="B991" s="2074" t="s">
        <v>487</v>
      </c>
      <c r="C991" s="2063"/>
      <c r="D991" s="2064">
        <v>0</v>
      </c>
      <c r="E991" s="2065" t="s">
        <v>3552</v>
      </c>
      <c r="F991" s="2064" t="s">
        <v>5720</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ht="15" outlineLevel="1">
      <c r="A992" s="2052" t="str">
        <f t="shared" si="150"/>
        <v/>
      </c>
      <c r="B992" s="2077" t="s">
        <v>669</v>
      </c>
      <c r="C992" s="2063"/>
      <c r="D992" s="2064">
        <v>0</v>
      </c>
      <c r="E992" s="2065" t="s">
        <v>5715</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ht="15" outlineLevel="1">
      <c r="A993" s="2052" t="str">
        <f t="shared" si="150"/>
        <v/>
      </c>
      <c r="B993" s="2074" t="s">
        <v>2177</v>
      </c>
      <c r="C993" s="2071"/>
      <c r="D993" s="2064" t="s">
        <v>5464</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ht="15" outlineLevel="1">
      <c r="A994" s="2052" t="str">
        <f t="shared" si="150"/>
        <v/>
      </c>
      <c r="B994" s="2077" t="s">
        <v>1521</v>
      </c>
      <c r="C994" s="2071"/>
      <c r="D994" s="2064" t="s">
        <v>5487</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ht="15" outlineLevel="1">
      <c r="A995" s="2052" t="str">
        <f t="shared" si="150"/>
        <v/>
      </c>
      <c r="B995" s="2074" t="s">
        <v>288</v>
      </c>
      <c r="C995" s="2286">
        <f>IF(G995&gt;0,C976+1,C976)</f>
        <v>0</v>
      </c>
      <c r="D995" s="2287"/>
      <c r="E995" s="2065" t="s">
        <v>5627</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ht="15" outlineLevel="1">
      <c r="A996" s="2052" t="str">
        <f>A995</f>
        <v/>
      </c>
      <c r="B996" s="2074"/>
      <c r="C996" s="2290"/>
      <c r="D996" s="2291"/>
      <c r="E996" s="2257"/>
      <c r="F996" s="2575"/>
      <c r="G996" s="2575"/>
      <c r="H996" s="2575"/>
      <c r="I996" s="2575"/>
      <c r="J996" s="2600" t="s">
        <v>6035</v>
      </c>
      <c r="K996" s="2600"/>
      <c r="L996" s="2292">
        <f>SUM(L919:L995)</f>
        <v>0</v>
      </c>
      <c r="M996" s="2292"/>
      <c r="N996" s="2292">
        <f>SUM(N919:N995)</f>
        <v>0</v>
      </c>
      <c r="O996" s="2292">
        <f>SUM(O919:O995)</f>
        <v>0</v>
      </c>
      <c r="P996" s="2293"/>
    </row>
    <row r="997" spans="1:18" s="2049" customFormat="1" ht="15" outlineLevel="1">
      <c r="A997" s="2052"/>
      <c r="B997" s="2074"/>
      <c r="C997" s="2294"/>
      <c r="D997" s="2294"/>
      <c r="E997" s="2295"/>
      <c r="F997" s="2576"/>
      <c r="G997" s="2576"/>
      <c r="H997" s="2576"/>
      <c r="I997" s="2576"/>
      <c r="J997" s="2295"/>
      <c r="K997" s="2295"/>
      <c r="L997" s="2296"/>
      <c r="M997" s="2296"/>
      <c r="N997" s="2296"/>
      <c r="O997" s="2296"/>
    </row>
    <row r="998" spans="1:18" s="2049" customFormat="1" ht="15"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ht="15" outlineLevel="1">
      <c r="A999" s="2093"/>
      <c r="B999" s="2156"/>
      <c r="C999" s="2093"/>
      <c r="D999" s="2244"/>
      <c r="E999" s="2088" t="s">
        <v>6104</v>
      </c>
      <c r="F999" s="2574"/>
      <c r="G999" s="2574"/>
      <c r="H999" s="2574"/>
      <c r="I999" s="2574"/>
      <c r="J999" s="2245"/>
      <c r="K999" s="2245"/>
      <c r="L999" s="2246"/>
      <c r="M999" s="2246"/>
      <c r="N999" s="2246"/>
      <c r="O999" s="2246"/>
    </row>
    <row r="1000" spans="1:18" s="2049" customFormat="1" ht="15"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ht="15" outlineLevel="1">
      <c r="A1001" s="2052" t="str">
        <f>A1000</f>
        <v/>
      </c>
      <c r="B1001" s="2074" t="s">
        <v>6016</v>
      </c>
      <c r="C1001" s="2592" t="s">
        <v>1704</v>
      </c>
      <c r="D1001" s="2593" t="s">
        <v>2589</v>
      </c>
      <c r="E1001" s="2595" t="s">
        <v>2590</v>
      </c>
      <c r="F1001" s="2592" t="s">
        <v>2585</v>
      </c>
      <c r="G1001" s="2053" t="s">
        <v>6017</v>
      </c>
      <c r="H1001" s="2056" t="s">
        <v>6018</v>
      </c>
      <c r="I1001" s="2563"/>
      <c r="J1001" s="2563"/>
      <c r="K1001" s="2564"/>
      <c r="L1001" s="2056" t="s">
        <v>6019</v>
      </c>
      <c r="M1001" s="2563"/>
      <c r="N1001" s="2563"/>
      <c r="O1001" s="2564"/>
      <c r="P1001" s="2592" t="s">
        <v>2591</v>
      </c>
    </row>
    <row r="1002" spans="1:18" s="2049" customFormat="1" ht="15" outlineLevel="1">
      <c r="A1002" s="2052" t="str">
        <f>A1001</f>
        <v/>
      </c>
      <c r="B1002" s="2074"/>
      <c r="C1002" s="2592"/>
      <c r="D1002" s="2594"/>
      <c r="E1002" s="2596"/>
      <c r="F1002" s="2592"/>
      <c r="G1002" s="2055" t="s">
        <v>2280</v>
      </c>
      <c r="H1002" s="2056" t="s">
        <v>6020</v>
      </c>
      <c r="I1002" s="2056" t="s">
        <v>6021</v>
      </c>
      <c r="J1002" s="2056" t="s">
        <v>6022</v>
      </c>
      <c r="K1002" s="2056" t="s">
        <v>6023</v>
      </c>
      <c r="L1002" s="2056" t="s">
        <v>6020</v>
      </c>
      <c r="M1002" s="2056" t="s">
        <v>6021</v>
      </c>
      <c r="N1002" s="2056" t="s">
        <v>6022</v>
      </c>
      <c r="O1002" s="2056" t="s">
        <v>6023</v>
      </c>
      <c r="P1002" s="2592"/>
    </row>
    <row r="1003" spans="1:18" s="2049" customFormat="1" ht="15"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ht="15" outlineLevel="1">
      <c r="A1004" s="2052" t="str">
        <f t="shared" ref="A1004:A1013" si="151">IF(G1004&lt;&gt;0,1,"")</f>
        <v/>
      </c>
      <c r="B1004" s="2062" t="s">
        <v>6105</v>
      </c>
      <c r="C1004" s="2063">
        <f>IF(G1004&gt;0,1,0)</f>
        <v>0</v>
      </c>
      <c r="D1004" s="2064" t="s">
        <v>5501</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6077</v>
      </c>
    </row>
    <row r="1005" spans="1:18" s="2049" customFormat="1" ht="15" outlineLevel="1">
      <c r="A1005" s="2052" t="str">
        <f t="shared" si="151"/>
        <v/>
      </c>
      <c r="B1005" s="2062" t="str">
        <f>"FCO100-"&amp;$F$8</f>
        <v>FCO100-22</v>
      </c>
      <c r="C1005" s="2063">
        <f t="shared" ref="C1005:C1013" si="156">IF(G1005&gt;0,C1004+1,C1004)</f>
        <v>0</v>
      </c>
      <c r="D1005" s="2064" t="s">
        <v>5513</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30" outlineLevel="1">
      <c r="A1006" s="2126" t="str">
        <f>IF(G1006&lt;&gt;0,1,"")</f>
        <v/>
      </c>
      <c r="B1006" s="2301" t="str">
        <f>"FCO100-"&amp;$F$8</f>
        <v>FCO100-22</v>
      </c>
      <c r="C1006" s="2212">
        <f>IF(G1006&gt;0,C1005+1,C1005)</f>
        <v>0</v>
      </c>
      <c r="D1006" s="2096" t="s">
        <v>5513</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6106</v>
      </c>
      <c r="R1006" s="2049"/>
    </row>
    <row r="1007" spans="1:18" s="2049" customFormat="1" ht="15"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ht="15" outlineLevel="1">
      <c r="A1008" s="2052" t="str">
        <f t="shared" si="151"/>
        <v/>
      </c>
      <c r="B1008" s="2074" t="str">
        <f>IF($F$6=12,"LA12","LA18")</f>
        <v>LA18</v>
      </c>
      <c r="C1008" s="2063">
        <f t="shared" si="156"/>
        <v>0</v>
      </c>
      <c r="D1008" s="2064" t="s">
        <v>5517</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5" outlineLevel="1">
      <c r="A1009" s="2126" t="str">
        <f>IF(G1009&lt;&gt;0,1,"")</f>
        <v/>
      </c>
      <c r="B1009" s="2205" t="str">
        <f>IF($F$6=12,"LA12","LA18")</f>
        <v>LA18</v>
      </c>
      <c r="C1009" s="2212">
        <f>IF(G1009&gt;0,C1008+1,C1008)</f>
        <v>0</v>
      </c>
      <c r="D1009" s="2096" t="s">
        <v>5517</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6107</v>
      </c>
      <c r="R1009" s="2049"/>
    </row>
    <row r="1010" spans="1:18" s="2049" customFormat="1" ht="15" outlineLevel="1">
      <c r="A1010" s="2093" t="str">
        <f t="shared" si="151"/>
        <v/>
      </c>
      <c r="B1010" s="2217" t="s">
        <v>1455</v>
      </c>
      <c r="C1010" s="2063">
        <f>IF(G1010&gt;0,C1008+1,C1008)</f>
        <v>0</v>
      </c>
      <c r="D1010" s="2064">
        <v>0</v>
      </c>
      <c r="E1010" s="2065" t="s">
        <v>5602</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ht="15"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ht="15" outlineLevel="1">
      <c r="A1012" s="2052" t="str">
        <f t="shared" si="151"/>
        <v/>
      </c>
      <c r="B1012" s="2103" t="s">
        <v>6108</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ht="15"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ht="15" outlineLevel="1">
      <c r="A1014" s="2052" t="str">
        <f>A1004</f>
        <v/>
      </c>
      <c r="B1014" s="2074"/>
      <c r="C1014" s="2252"/>
      <c r="D1014" s="2253"/>
      <c r="E1014" s="2254"/>
      <c r="F1014" s="2252"/>
      <c r="G1014" s="2312"/>
      <c r="H1014" s="2252"/>
      <c r="I1014" s="2252"/>
      <c r="J1014" s="2061" t="s">
        <v>6025</v>
      </c>
      <c r="K1014" s="2252"/>
      <c r="L1014" s="2254">
        <f>SUM(L1004:L1013)</f>
        <v>0</v>
      </c>
      <c r="M1014" s="2254"/>
      <c r="N1014" s="2254">
        <f>SUM(N1004:N1013)</f>
        <v>0</v>
      </c>
      <c r="O1014" s="2254">
        <f>SUM(O1004:O1013)</f>
        <v>0</v>
      </c>
      <c r="P1014" s="2313"/>
    </row>
    <row r="1015" spans="1:18" s="2049" customFormat="1" ht="15"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ht="15"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6077</v>
      </c>
    </row>
    <row r="1017" spans="1:18" s="2049" customFormat="1" ht="15" outlineLevel="1">
      <c r="A1017" s="2052" t="str">
        <f>A1016</f>
        <v/>
      </c>
      <c r="B1017" s="2074"/>
      <c r="C1017" s="2089"/>
      <c r="D1017" s="2262"/>
      <c r="E1017" s="2263" t="s">
        <v>6037</v>
      </c>
      <c r="F1017" s="2063"/>
      <c r="G1017" s="2307"/>
      <c r="H1017" s="2265"/>
      <c r="I1017" s="2265"/>
      <c r="J1017" s="2265"/>
      <c r="K1017" s="2265"/>
      <c r="L1017" s="2265"/>
      <c r="M1017" s="2265"/>
      <c r="N1017" s="2265"/>
      <c r="O1017" s="2266"/>
      <c r="P1017" s="2317"/>
    </row>
    <row r="1018" spans="1:18" s="2049" customFormat="1" ht="15" outlineLevel="1">
      <c r="A1018" s="2052" t="str">
        <f>IF(G1018&lt;&gt;0,1,"")</f>
        <v/>
      </c>
      <c r="B1018" s="2077" t="s">
        <v>5636</v>
      </c>
      <c r="C1018" s="2089"/>
      <c r="D1018" s="2064" t="s">
        <v>688</v>
      </c>
      <c r="E1018" s="2065" t="s">
        <v>5637</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ht="15"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ht="15"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ht="15" outlineLevel="1">
      <c r="A1021" s="2052">
        <f>IF(G1021&lt;&gt;0,1,)</f>
        <v>0</v>
      </c>
      <c r="B1021" s="2074"/>
      <c r="C1021" s="2089">
        <f>IF(G1021&gt;0,C1016+1,C1016)</f>
        <v>0</v>
      </c>
      <c r="D1021" s="2090"/>
      <c r="E1021" s="2091" t="s">
        <v>6042</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5" outlineLevel="1">
      <c r="A1022" s="2052">
        <f>A1021</f>
        <v>0</v>
      </c>
      <c r="B1022" s="2074"/>
      <c r="C1022" s="2086"/>
      <c r="D1022" s="2090"/>
      <c r="E1022" s="2092" t="s">
        <v>6037</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ht="15"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ht="15"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ht="15"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ht="15"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5" outlineLevel="1">
      <c r="A1027" s="2052">
        <f>A1026</f>
        <v>0</v>
      </c>
      <c r="B1027" s="2074"/>
      <c r="C1027" s="2086"/>
      <c r="D1027" s="2090"/>
      <c r="E1027" s="2092" t="s">
        <v>6037</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ht="15" outlineLevel="1">
      <c r="A1028" s="2052">
        <f>IF(G1028&lt;&gt;0,1,)</f>
        <v>0</v>
      </c>
      <c r="B1028" s="2077" t="s">
        <v>633</v>
      </c>
      <c r="C1028" s="2071"/>
      <c r="D1028" s="2064" t="s">
        <v>4965</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ht="15" outlineLevel="1">
      <c r="A1029" s="2052">
        <f>IF(G1029&lt;&gt;0,1,)</f>
        <v>0</v>
      </c>
      <c r="B1029" s="2077" t="s">
        <v>564</v>
      </c>
      <c r="C1029" s="2071"/>
      <c r="D1029" s="2064">
        <v>0</v>
      </c>
      <c r="E1029" s="2065" t="s">
        <v>4990</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ht="15" outlineLevel="1">
      <c r="A1030" s="2052">
        <f>IF(G1030&lt;&gt;0,1,)</f>
        <v>0</v>
      </c>
      <c r="B1030" s="2077" t="s">
        <v>636</v>
      </c>
      <c r="C1030" s="2071"/>
      <c r="D1030" s="2064" t="s">
        <v>1742</v>
      </c>
      <c r="E1030" s="2065" t="s">
        <v>5241</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ht="15" outlineLevel="1">
      <c r="A1031" s="2052">
        <f>IF(G1031&lt;&gt;0,1,)</f>
        <v>0</v>
      </c>
      <c r="B1031" s="2077" t="s">
        <v>21</v>
      </c>
      <c r="C1031" s="2071"/>
      <c r="D1031" s="2064" t="s">
        <v>5242</v>
      </c>
      <c r="E1031" s="2065" t="s">
        <v>5243</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ht="15" outlineLevel="1">
      <c r="A1032" s="2052">
        <f>IF(G1032&lt;&gt;0,1,0)</f>
        <v>0</v>
      </c>
      <c r="B1032" s="2077" t="s">
        <v>6063</v>
      </c>
      <c r="C1032" s="2086">
        <f>IF(G1032&gt;0,C1026+1,C1026)</f>
        <v>0</v>
      </c>
      <c r="D1032" s="2146"/>
      <c r="E1032" s="2115" t="s">
        <v>6064</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6109</v>
      </c>
    </row>
    <row r="1033" spans="1:18" s="2049" customFormat="1" ht="15" outlineLevel="1">
      <c r="A1033" s="2052">
        <f>A1032</f>
        <v>0</v>
      </c>
      <c r="B1033" s="2074"/>
      <c r="C1033" s="2086"/>
      <c r="D1033" s="2146"/>
      <c r="E1033" s="2116" t="s">
        <v>6037</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ht="15" outlineLevel="1">
      <c r="A1034" s="2052">
        <f t="shared" ref="A1034:A1039" si="161">IF(G1034&lt;&gt;0,1,0)</f>
        <v>0</v>
      </c>
      <c r="B1034" s="2077" t="s">
        <v>5069</v>
      </c>
      <c r="C1034" s="2086"/>
      <c r="D1034" s="2064">
        <v>0</v>
      </c>
      <c r="E1034" s="2065" t="s">
        <v>5070</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ht="15" outlineLevel="1">
      <c r="A1035" s="2052">
        <f t="shared" si="161"/>
        <v>0</v>
      </c>
      <c r="B1035" s="2077" t="s">
        <v>5076</v>
      </c>
      <c r="C1035" s="2086"/>
      <c r="D1035" s="2064">
        <v>0</v>
      </c>
      <c r="E1035" s="2065" t="s">
        <v>5077</v>
      </c>
      <c r="F1035" s="2064" t="s">
        <v>5078</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ht="15" outlineLevel="1">
      <c r="A1036" s="2052">
        <f t="shared" si="161"/>
        <v>0</v>
      </c>
      <c r="B1036" s="2074" t="s">
        <v>486</v>
      </c>
      <c r="C1036" s="2086"/>
      <c r="D1036" s="2064">
        <v>0</v>
      </c>
      <c r="E1036" s="2065" t="s">
        <v>4996</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ht="15"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ht="15"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ht="15"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ht="15" outlineLevel="1">
      <c r="A1040" s="2052">
        <f>IF(G1040&lt;&gt;0,1,0)</f>
        <v>0</v>
      </c>
      <c r="B1040" s="2074" t="s">
        <v>418</v>
      </c>
      <c r="C1040" s="2086"/>
      <c r="D1040" s="2064" t="s">
        <v>5338</v>
      </c>
      <c r="E1040" s="2065" t="s">
        <v>5339</v>
      </c>
      <c r="F1040" s="2064" t="s">
        <v>2433</v>
      </c>
      <c r="G1040" s="2319">
        <f>G1032*0</f>
        <v>0</v>
      </c>
      <c r="H1040" s="2067">
        <v>0</v>
      </c>
      <c r="I1040" s="2072"/>
      <c r="J1040" s="2067" t="s">
        <v>6230</v>
      </c>
      <c r="K1040" s="2067">
        <v>0</v>
      </c>
      <c r="L1040" s="2073">
        <f t="shared" si="157"/>
        <v>0</v>
      </c>
      <c r="M1040" s="2073">
        <f>I1040*G1040</f>
        <v>0</v>
      </c>
      <c r="N1040" s="2067">
        <v>0</v>
      </c>
      <c r="O1040" s="2072">
        <f t="shared" si="160"/>
        <v>0</v>
      </c>
      <c r="P1040" s="2317"/>
    </row>
    <row r="1041" spans="1:16" s="2049" customFormat="1" ht="15"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6109</v>
      </c>
    </row>
    <row r="1042" spans="1:16" s="2049" customFormat="1" ht="15" outlineLevel="1">
      <c r="A1042" s="2052">
        <f>A1041</f>
        <v>0</v>
      </c>
      <c r="B1042" s="2074"/>
      <c r="C1042" s="2089"/>
      <c r="D1042" s="2262"/>
      <c r="E1042" s="2263" t="s">
        <v>6037</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ht="15"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6110</v>
      </c>
    </row>
    <row r="1044" spans="1:16" s="2049" customFormat="1" ht="15" outlineLevel="1">
      <c r="A1044" s="2052" t="str">
        <f t="shared" si="163"/>
        <v/>
      </c>
      <c r="B1044" s="2077" t="s">
        <v>1504</v>
      </c>
      <c r="C1044" s="2063"/>
      <c r="D1044" s="2064">
        <v>0</v>
      </c>
      <c r="E1044" s="2065" t="s">
        <v>5081</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ht="15" outlineLevel="1">
      <c r="A1045" s="2052" t="str">
        <f t="shared" si="163"/>
        <v/>
      </c>
      <c r="B1045" s="2077" t="s">
        <v>6111</v>
      </c>
      <c r="C1045" s="2063"/>
      <c r="D1045" s="2064">
        <v>0</v>
      </c>
      <c r="E1045" s="2065" t="s">
        <v>5628</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ht="15"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ht="15"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6110</v>
      </c>
    </row>
    <row r="1048" spans="1:16" s="2049" customFormat="1" ht="15" outlineLevel="1">
      <c r="A1048" s="2052" t="str">
        <f t="shared" si="163"/>
        <v/>
      </c>
      <c r="B1048" s="2074" t="s">
        <v>6112</v>
      </c>
      <c r="C1048" s="2063"/>
      <c r="D1048" s="2064" t="s">
        <v>5639</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6110</v>
      </c>
    </row>
    <row r="1049" spans="1:16" s="2049" customFormat="1" ht="15"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6110</v>
      </c>
    </row>
    <row r="1050" spans="1:16" s="2049" customFormat="1" ht="15" outlineLevel="1">
      <c r="A1050" s="2052" t="str">
        <f t="shared" si="163"/>
        <v/>
      </c>
      <c r="B1050" s="2077" t="s">
        <v>523</v>
      </c>
      <c r="C1050" s="2063"/>
      <c r="D1050" s="2064">
        <v>0</v>
      </c>
      <c r="E1050" s="2065" t="s">
        <v>5170</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ht="15" outlineLevel="1">
      <c r="A1051" s="2052" t="str">
        <f t="shared" si="163"/>
        <v/>
      </c>
      <c r="B1051" s="2077" t="s">
        <v>791</v>
      </c>
      <c r="C1051" s="2063"/>
      <c r="D1051" s="2064" t="s">
        <v>5253</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ht="15" outlineLevel="1">
      <c r="A1052" s="2052" t="str">
        <f t="shared" si="163"/>
        <v/>
      </c>
      <c r="B1052" s="2077" t="s">
        <v>795</v>
      </c>
      <c r="C1052" s="2063"/>
      <c r="D1052" s="2064" t="s">
        <v>5242</v>
      </c>
      <c r="E1052" s="2065" t="s">
        <v>5254</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ht="15" outlineLevel="1">
      <c r="A1053" s="2052" t="str">
        <f t="shared" si="163"/>
        <v/>
      </c>
      <c r="B1053" s="2077" t="s">
        <v>899</v>
      </c>
      <c r="C1053" s="2063"/>
      <c r="D1053" s="2064" t="s">
        <v>5268</v>
      </c>
      <c r="E1053" s="2065" t="s">
        <v>5269</v>
      </c>
      <c r="F1053" s="2064" t="s">
        <v>2272</v>
      </c>
      <c r="G1053" s="2199">
        <f>G1044</f>
        <v>0</v>
      </c>
      <c r="H1053" s="2067">
        <v>0</v>
      </c>
      <c r="I1053" s="2067"/>
      <c r="J1053" s="2073" t="s">
        <v>6216</v>
      </c>
      <c r="K1053" s="2073">
        <v>0</v>
      </c>
      <c r="L1053" s="2073">
        <f>H1053*$G1053</f>
        <v>0</v>
      </c>
      <c r="M1053" s="2073">
        <f>I1053*$G1053</f>
        <v>0</v>
      </c>
      <c r="N1053" s="2073">
        <v>0</v>
      </c>
      <c r="O1053" s="2249">
        <f t="shared" si="160"/>
        <v>0</v>
      </c>
      <c r="P1053" s="2099"/>
    </row>
    <row r="1054" spans="1:16" s="2049" customFormat="1" ht="15" outlineLevel="1">
      <c r="A1054" s="2052" t="str">
        <f t="shared" si="163"/>
        <v/>
      </c>
      <c r="B1054" s="2077" t="s">
        <v>1433</v>
      </c>
      <c r="C1054" s="2063"/>
      <c r="D1054" s="2064" t="s">
        <v>5263</v>
      </c>
      <c r="E1054" s="2065" t="s">
        <v>5264</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ht="15" outlineLevel="1">
      <c r="A1055" s="2270">
        <f>+IF(G1055&gt;0,1,0)</f>
        <v>0</v>
      </c>
      <c r="B1055" s="2205"/>
      <c r="C1055" s="2202">
        <f>IF(G1055&gt;0,C1049+4,C1049)</f>
        <v>0</v>
      </c>
      <c r="D1055" s="2203"/>
      <c r="E1055" s="2320" t="s">
        <v>6113</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6109</v>
      </c>
    </row>
    <row r="1056" spans="1:16" s="2049" customFormat="1" ht="15" outlineLevel="1">
      <c r="A1056" s="2052">
        <f>A1055</f>
        <v>0</v>
      </c>
      <c r="B1056" s="2205"/>
      <c r="C1056" s="2202"/>
      <c r="D1056" s="2203"/>
      <c r="E1056" s="2211" t="s">
        <v>6037</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ht="15" outlineLevel="1">
      <c r="A1057" s="2052" t="str">
        <f>IF(G1057&lt;&gt;0,1,"")</f>
        <v/>
      </c>
      <c r="B1057" s="2065" t="s">
        <v>5572</v>
      </c>
      <c r="C1057" s="2212"/>
      <c r="D1057" s="2096" t="s">
        <v>5548</v>
      </c>
      <c r="E1057" s="2138" t="s">
        <v>5573</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ht="15" outlineLevel="1">
      <c r="A1058" s="2052" t="str">
        <f>IF(G1058&lt;&gt;0,1,"")</f>
        <v/>
      </c>
      <c r="B1058" s="2205" t="s">
        <v>877</v>
      </c>
      <c r="C1058" s="2202"/>
      <c r="D1058" s="2096">
        <v>0</v>
      </c>
      <c r="E1058" s="2138" t="s">
        <v>5713</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ht="15" outlineLevel="1">
      <c r="A1059" s="2052" t="str">
        <f>IF(G1059&lt;&gt;0,1,"")</f>
        <v/>
      </c>
      <c r="B1059" s="2205" t="s">
        <v>288</v>
      </c>
      <c r="C1059" s="2202"/>
      <c r="D1059" s="2096">
        <v>0</v>
      </c>
      <c r="E1059" s="2138" t="s">
        <v>5627</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ht="15"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ht="15" outlineLevel="1">
      <c r="A1061" s="2052" t="str">
        <f t="shared" si="168"/>
        <v/>
      </c>
      <c r="B1061" s="2205"/>
      <c r="C1061" s="2202">
        <f>IF(G1061&gt;0,C1054+1,C1054)</f>
        <v>0</v>
      </c>
      <c r="D1061" s="2203"/>
      <c r="E1061" s="2320" t="s">
        <v>6114</v>
      </c>
      <c r="F1061" s="2202" t="s">
        <v>2379</v>
      </c>
      <c r="G1061" s="2323">
        <f>G1004/3*0</f>
        <v>0</v>
      </c>
      <c r="H1061" s="2067"/>
      <c r="I1061" s="2072"/>
      <c r="J1061" s="2067"/>
      <c r="K1061" s="2067"/>
      <c r="L1061" s="2248"/>
      <c r="M1061" s="2248"/>
      <c r="N1061" s="2248"/>
      <c r="O1061" s="2249"/>
      <c r="P1061" s="2099"/>
    </row>
    <row r="1062" spans="1:18" s="2049" customFormat="1" ht="15" outlineLevel="1">
      <c r="A1062" s="2052" t="str">
        <f t="shared" si="168"/>
        <v/>
      </c>
      <c r="B1062" s="2205"/>
      <c r="C1062" s="2202"/>
      <c r="D1062" s="2203"/>
      <c r="E1062" s="2211" t="s">
        <v>6037</v>
      </c>
      <c r="F1062" s="2212"/>
      <c r="G1062" s="2322"/>
      <c r="H1062" s="2067"/>
      <c r="I1062" s="2072"/>
      <c r="J1062" s="2067"/>
      <c r="K1062" s="2067"/>
      <c r="L1062" s="2248"/>
      <c r="M1062" s="2248"/>
      <c r="N1062" s="2248"/>
      <c r="O1062" s="2249"/>
      <c r="P1062" s="2099"/>
    </row>
    <row r="1063" spans="1:18" s="2049" customFormat="1" ht="15" outlineLevel="1">
      <c r="A1063" s="2052" t="str">
        <f t="shared" si="168"/>
        <v/>
      </c>
      <c r="B1063" s="2065" t="s">
        <v>835</v>
      </c>
      <c r="C1063" s="2212"/>
      <c r="D1063" s="2096" t="s">
        <v>5570</v>
      </c>
      <c r="E1063" s="2138" t="s">
        <v>5574</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ht="15" outlineLevel="1">
      <c r="A1064" s="2052" t="str">
        <f t="shared" si="168"/>
        <v/>
      </c>
      <c r="B1064" s="2205" t="s">
        <v>877</v>
      </c>
      <c r="C1064" s="2202"/>
      <c r="D1064" s="2096">
        <v>0</v>
      </c>
      <c r="E1064" s="2138" t="s">
        <v>5713</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ht="15" outlineLevel="1">
      <c r="A1065" s="2052" t="str">
        <f t="shared" si="168"/>
        <v/>
      </c>
      <c r="B1065" s="2205" t="s">
        <v>288</v>
      </c>
      <c r="C1065" s="2202"/>
      <c r="D1065" s="2096">
        <v>0</v>
      </c>
      <c r="E1065" s="2138" t="s">
        <v>5627</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ht="15"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ht="15" outlineLevel="1">
      <c r="A1067" s="2270">
        <f>+IF(G1067&gt;0,1,0)</f>
        <v>0</v>
      </c>
      <c r="B1067" s="2074"/>
      <c r="C1067" s="2089">
        <f>IF(G1067&gt;0,C1055+1,C1055)</f>
        <v>0</v>
      </c>
      <c r="D1067" s="2262"/>
      <c r="E1067" s="2283" t="s">
        <v>6069</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5" outlineLevel="1">
      <c r="A1068" s="2052">
        <f>A1067</f>
        <v>0</v>
      </c>
      <c r="B1068" s="2074"/>
      <c r="C1068" s="2089"/>
      <c r="D1068" s="2262"/>
      <c r="E1068" s="2263" t="s">
        <v>6037</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5" outlineLevel="1">
      <c r="A1069" s="2126" t="str">
        <f>IF(G1069&lt;&gt;0,1,"")</f>
        <v/>
      </c>
      <c r="B1069" s="2196" t="s">
        <v>694</v>
      </c>
      <c r="C1069" s="2212"/>
      <c r="D1069" s="2096">
        <v>0</v>
      </c>
      <c r="E1069" s="2138" t="s">
        <v>5005</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6115</v>
      </c>
      <c r="R1069" s="2049"/>
    </row>
    <row r="1070" spans="1:18" s="2049" customFormat="1" ht="15"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30"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6116</v>
      </c>
      <c r="R1071" s="2049"/>
    </row>
    <row r="1072" spans="1:18" s="2049" customFormat="1" ht="15"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ht="15" outlineLevel="1">
      <c r="A1073" s="2052">
        <f>IF(G1073&lt;&gt;0,1,0)</f>
        <v>0</v>
      </c>
      <c r="B1073" s="2062" t="s">
        <v>5614</v>
      </c>
      <c r="C1073" s="2071"/>
      <c r="D1073" s="2064">
        <v>0</v>
      </c>
      <c r="E1073" s="2065" t="s">
        <v>5615</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ht="15" outlineLevel="1">
      <c r="A1074" s="2052">
        <f>IF(G1074&lt;&gt;0,1,0)</f>
        <v>0</v>
      </c>
      <c r="B1074" s="2062" t="s">
        <v>5620</v>
      </c>
      <c r="C1074" s="2071"/>
      <c r="D1074" s="2064">
        <v>0</v>
      </c>
      <c r="E1074" s="2065" t="s">
        <v>5621</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ht="15" outlineLevel="1">
      <c r="A1075" s="2052" t="str">
        <f>IF(G1075&lt;&gt;0,1,"")</f>
        <v/>
      </c>
      <c r="B1075" s="2062" t="s">
        <v>5612</v>
      </c>
      <c r="C1075" s="2071"/>
      <c r="D1075" s="2064"/>
      <c r="E1075" s="2065" t="s">
        <v>5613</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ht="15" outlineLevel="1">
      <c r="A1076" s="2052">
        <f>IF(G1076&lt;&gt;0,1,0)</f>
        <v>0</v>
      </c>
      <c r="B1076" s="2062" t="s">
        <v>5622</v>
      </c>
      <c r="C1076" s="2071"/>
      <c r="D1076" s="2064">
        <v>0</v>
      </c>
      <c r="E1076" s="2065" t="s">
        <v>5623</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ht="15" outlineLevel="1">
      <c r="A1077" s="2052" t="str">
        <f>IF(G1077&lt;&gt;0,1,"")</f>
        <v/>
      </c>
      <c r="B1077" s="2062" t="s">
        <v>1521</v>
      </c>
      <c r="C1077" s="2063"/>
      <c r="D1077" s="2064" t="s">
        <v>5487</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ht="15" outlineLevel="1">
      <c r="A1078" s="2052" t="str">
        <f>A1072</f>
        <v/>
      </c>
      <c r="B1078" s="2074"/>
      <c r="C1078" s="2089">
        <f>IF(G1078&gt;0,C1067+1,C1067)</f>
        <v>0</v>
      </c>
      <c r="D1078" s="2262"/>
      <c r="E1078" s="2284" t="s">
        <v>6117</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5" outlineLevel="1">
      <c r="A1079" s="2052" t="str">
        <f>A1078</f>
        <v/>
      </c>
      <c r="B1079" s="2074"/>
      <c r="C1079" s="2089"/>
      <c r="D1079" s="2262"/>
      <c r="E1079" s="2285" t="s">
        <v>6037</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ht="15"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ht="15" outlineLevel="1">
      <c r="A1081" s="2052" t="str">
        <f t="shared" si="173"/>
        <v/>
      </c>
      <c r="B1081" s="2074" t="s">
        <v>6062</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ht="15"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ht="15" outlineLevel="1">
      <c r="A1083" s="2052" t="str">
        <f t="shared" si="173"/>
        <v/>
      </c>
      <c r="B1083" s="2074" t="s">
        <v>447</v>
      </c>
      <c r="C1083" s="2063"/>
      <c r="D1083" s="2064" t="s">
        <v>5646</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ht="15" outlineLevel="1">
      <c r="A1084" s="2052" t="str">
        <f t="shared" si="173"/>
        <v/>
      </c>
      <c r="B1084" s="2074" t="s">
        <v>6118</v>
      </c>
      <c r="C1084" s="2063"/>
      <c r="D1084" s="2064" t="s">
        <v>5643</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ht="15" outlineLevel="1">
      <c r="A1085" s="2052" t="str">
        <f t="shared" si="173"/>
        <v/>
      </c>
      <c r="B1085" s="2074" t="s">
        <v>6119</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ht="15" outlineLevel="1">
      <c r="A1086" s="2052" t="str">
        <f t="shared" si="173"/>
        <v/>
      </c>
      <c r="B1086" s="2074" t="s">
        <v>6103</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ht="15"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ht="15" outlineLevel="1">
      <c r="A1088" s="2052" t="str">
        <f t="shared" si="173"/>
        <v/>
      </c>
      <c r="B1088" s="2077" t="s">
        <v>1857</v>
      </c>
      <c r="C1088" s="2063"/>
      <c r="D1088" s="2064">
        <v>0</v>
      </c>
      <c r="E1088" s="2065" t="s">
        <v>5176</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ht="15"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ht="15"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ht="15"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ht="15"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ht="15" outlineLevel="1">
      <c r="A1093" s="2052" t="str">
        <f>IF(G1093&lt;&gt;0,1,"")</f>
        <v/>
      </c>
      <c r="B1093" s="2074" t="s">
        <v>487</v>
      </c>
      <c r="C1093" s="2063"/>
      <c r="D1093" s="2064">
        <v>0</v>
      </c>
      <c r="E1093" s="2065" t="s">
        <v>3552</v>
      </c>
      <c r="F1093" s="2064" t="s">
        <v>5720</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ht="15" outlineLevel="1">
      <c r="A1094" s="2052" t="str">
        <f>IF(G1094&lt;&gt;0,1,"")</f>
        <v/>
      </c>
      <c r="B1094" s="2077" t="s">
        <v>669</v>
      </c>
      <c r="C1094" s="2063"/>
      <c r="D1094" s="2064">
        <v>0</v>
      </c>
      <c r="E1094" s="2065" t="s">
        <v>5715</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ht="15" outlineLevel="1">
      <c r="A1095" s="2052" t="str">
        <f>A1094</f>
        <v/>
      </c>
      <c r="B1095" s="2074" t="s">
        <v>1858</v>
      </c>
      <c r="C1095" s="2071"/>
      <c r="D1095" s="2064" t="s">
        <v>5465</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ht="15" outlineLevel="1">
      <c r="A1096" s="2052" t="str">
        <f>A1094</f>
        <v/>
      </c>
      <c r="B1096" s="2077" t="s">
        <v>246</v>
      </c>
      <c r="C1096" s="2071"/>
      <c r="D1096" s="2064" t="s">
        <v>5489</v>
      </c>
      <c r="E1096" s="2065" t="s">
        <v>5490</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ht="15" outlineLevel="1">
      <c r="A1097" s="2052" t="str">
        <f>IF(G1097&lt;&gt;0,1,"")</f>
        <v/>
      </c>
      <c r="B1097" s="2074" t="s">
        <v>288</v>
      </c>
      <c r="C1097" s="2286">
        <f>IF(G1097&gt;0,C1078+1,C1078)</f>
        <v>0</v>
      </c>
      <c r="D1097" s="2287"/>
      <c r="E1097" s="2065" t="s">
        <v>5627</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ht="15" outlineLevel="1">
      <c r="A1098" s="2052" t="str">
        <f>A1097</f>
        <v/>
      </c>
      <c r="B1098" s="2074"/>
      <c r="C1098" s="2290"/>
      <c r="D1098" s="2291"/>
      <c r="E1098" s="2257"/>
      <c r="F1098" s="2575"/>
      <c r="G1098" s="2575"/>
      <c r="H1098" s="2575"/>
      <c r="I1098" s="2575"/>
      <c r="J1098" s="2600" t="s">
        <v>6035</v>
      </c>
      <c r="K1098" s="2600"/>
      <c r="L1098" s="2292">
        <f>SUM(L1018:L1097)</f>
        <v>0</v>
      </c>
      <c r="M1098" s="2292"/>
      <c r="N1098" s="2292">
        <f>SUM(N1018:N1097)</f>
        <v>0</v>
      </c>
      <c r="O1098" s="2292">
        <f>SUM(O1018:O1097)</f>
        <v>0</v>
      </c>
      <c r="P1098" s="2328"/>
    </row>
    <row r="1099" spans="1:19" s="2049" customFormat="1" ht="15"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ht="15"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ht="15" outlineLevel="1">
      <c r="A1102" s="2126" t="str">
        <f>+A1105</f>
        <v/>
      </c>
      <c r="B1102" s="2205" t="s">
        <v>6016</v>
      </c>
      <c r="C1102" s="2592" t="s">
        <v>1704</v>
      </c>
      <c r="D1102" s="2593" t="s">
        <v>2589</v>
      </c>
      <c r="E1102" s="2595" t="s">
        <v>2590</v>
      </c>
      <c r="F1102" s="2592" t="s">
        <v>2585</v>
      </c>
      <c r="G1102" s="2053" t="s">
        <v>6017</v>
      </c>
      <c r="H1102" s="2056" t="s">
        <v>6018</v>
      </c>
      <c r="I1102" s="2563"/>
      <c r="J1102" s="2563"/>
      <c r="K1102" s="2564"/>
      <c r="L1102" s="2056" t="s">
        <v>6019</v>
      </c>
      <c r="M1102" s="2563"/>
      <c r="N1102" s="2563"/>
      <c r="O1102" s="2564"/>
      <c r="P1102" s="2592" t="s">
        <v>2591</v>
      </c>
      <c r="Q1102" s="2210"/>
      <c r="R1102" s="2210"/>
      <c r="S1102" s="2210"/>
    </row>
    <row r="1103" spans="1:19" s="2049" customFormat="1" ht="15" outlineLevel="1">
      <c r="A1103" s="2126" t="str">
        <f>+A1105</f>
        <v/>
      </c>
      <c r="B1103" s="2205"/>
      <c r="C1103" s="2592"/>
      <c r="D1103" s="2594"/>
      <c r="E1103" s="2596"/>
      <c r="F1103" s="2592"/>
      <c r="G1103" s="2055" t="s">
        <v>2280</v>
      </c>
      <c r="H1103" s="2056" t="s">
        <v>6020</v>
      </c>
      <c r="I1103" s="2056" t="s">
        <v>6021</v>
      </c>
      <c r="J1103" s="2056" t="s">
        <v>6022</v>
      </c>
      <c r="K1103" s="2056" t="s">
        <v>6023</v>
      </c>
      <c r="L1103" s="2056" t="s">
        <v>6020</v>
      </c>
      <c r="M1103" s="2056" t="s">
        <v>6021</v>
      </c>
      <c r="N1103" s="2056" t="s">
        <v>6022</v>
      </c>
      <c r="O1103" s="2056" t="s">
        <v>6023</v>
      </c>
      <c r="P1103" s="2592"/>
      <c r="Q1103" s="2210"/>
      <c r="R1103" s="2210"/>
      <c r="S1103" s="2210"/>
    </row>
    <row r="1104" spans="1:19" s="2049" customFormat="1" ht="15"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ht="15" outlineLevel="1">
      <c r="A1105" s="2126" t="str">
        <f t="shared" ref="A1105:A1112" si="175">IF(G1105&lt;&gt;0,1,"")</f>
        <v/>
      </c>
      <c r="B1105" s="2196" t="str">
        <f>IF($F$8=15,"tr180","tr1801")</f>
        <v>tr1801</v>
      </c>
      <c r="C1105" s="2212">
        <f>IF(G1105&gt;0,1,0)</f>
        <v>0</v>
      </c>
      <c r="D1105" s="2096" t="s">
        <v>5505</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ht="15" outlineLevel="1">
      <c r="A1106" s="2126" t="str">
        <f t="shared" si="175"/>
        <v/>
      </c>
      <c r="B1106" s="2062" t="str">
        <f>"FCO100-"&amp;$F$8</f>
        <v>FCO100-22</v>
      </c>
      <c r="C1106" s="2212">
        <f>IF(G1106&gt;0,C1105+1,C1105)</f>
        <v>0</v>
      </c>
      <c r="D1106" s="2096" t="s">
        <v>5513</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ht="15"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ht="15" outlineLevel="1">
      <c r="A1108" s="2126" t="str">
        <f t="shared" si="175"/>
        <v/>
      </c>
      <c r="B1108" s="2205" t="str">
        <f>"LA"&amp;$F$6</f>
        <v>LA18</v>
      </c>
      <c r="C1108" s="2212">
        <f t="shared" si="180"/>
        <v>0</v>
      </c>
      <c r="D1108" s="2096" t="s">
        <v>5517</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ht="15" outlineLevel="1">
      <c r="A1109" s="2126" t="str">
        <f t="shared" si="175"/>
        <v/>
      </c>
      <c r="B1109" s="2301" t="s">
        <v>6120</v>
      </c>
      <c r="C1109" s="2212">
        <f t="shared" si="180"/>
        <v>0</v>
      </c>
      <c r="D1109" s="2096">
        <v>0</v>
      </c>
      <c r="E1109" s="2138" t="s">
        <v>5599</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ht="15"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ht="15"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ht="15"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ht="15" outlineLevel="1">
      <c r="A1113" s="2126">
        <f>+IF(L1113+N1113+O1113&gt;0,1,0)</f>
        <v>0</v>
      </c>
      <c r="B1113" s="2205"/>
      <c r="C1113" s="2337"/>
      <c r="D1113" s="2338"/>
      <c r="E1113" s="2339"/>
      <c r="F1113" s="2337"/>
      <c r="G1113" s="2580"/>
      <c r="H1113" s="2337"/>
      <c r="I1113" s="2337"/>
      <c r="J1113" s="2061" t="s">
        <v>6025</v>
      </c>
      <c r="K1113" s="2337"/>
      <c r="L1113" s="2339">
        <f>SUM(L1105:L1112)</f>
        <v>0</v>
      </c>
      <c r="M1113" s="2339">
        <f>SUM(M1105:M1112)</f>
        <v>0</v>
      </c>
      <c r="N1113" s="2339">
        <f>SUM(N1105:N1112)</f>
        <v>0</v>
      </c>
      <c r="O1113" s="2339">
        <f>SUM(O1105:O1112)</f>
        <v>0</v>
      </c>
      <c r="P1113" s="2340"/>
      <c r="Q1113" s="2210"/>
      <c r="R1113" s="2210"/>
      <c r="S1113" s="2210"/>
    </row>
    <row r="1114" spans="1:19" s="2049" customFormat="1" ht="15"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ht="15" outlineLevel="1">
      <c r="A1115" s="2126" t="str">
        <f t="shared" ref="A1115:A1133" si="181">IF(G1115&lt;&gt;0,1,"")</f>
        <v/>
      </c>
      <c r="B1115" s="2345"/>
      <c r="C1115" s="2346">
        <f>IF(G1115&gt;0,1,0)</f>
        <v>0</v>
      </c>
      <c r="D1115" s="2096"/>
      <c r="E1115" s="2347" t="s">
        <v>6026</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ht="15"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ht="15"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ht="15"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ht="15" outlineLevel="1">
      <c r="A1119" s="2126" t="str">
        <f t="shared" si="181"/>
        <v/>
      </c>
      <c r="B1119" s="2345"/>
      <c r="C1119" s="2346">
        <f>IF(G1119&gt;0,1,0)</f>
        <v>0</v>
      </c>
      <c r="D1119" s="2096"/>
      <c r="E1119" s="2347" t="s">
        <v>6121</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ht="15"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ht="15"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ht="15"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ht="15"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ht="15" outlineLevel="1">
      <c r="A1124" s="2126" t="str">
        <f t="shared" si="181"/>
        <v/>
      </c>
      <c r="B1124" s="2301" t="s">
        <v>633</v>
      </c>
      <c r="C1124" s="2351"/>
      <c r="D1124" s="2096" t="s">
        <v>4965</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ht="15" outlineLevel="1">
      <c r="A1125" s="2126" t="str">
        <f t="shared" si="181"/>
        <v/>
      </c>
      <c r="B1125" s="2301" t="s">
        <v>564</v>
      </c>
      <c r="C1125" s="2351"/>
      <c r="D1125" s="2096"/>
      <c r="E1125" s="2352" t="s">
        <v>4990</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ht="15" outlineLevel="1">
      <c r="A1126" s="2126" t="str">
        <f t="shared" si="181"/>
        <v/>
      </c>
      <c r="B1126" s="2301" t="s">
        <v>636</v>
      </c>
      <c r="C1126" s="2351"/>
      <c r="D1126" s="2096" t="s">
        <v>1742</v>
      </c>
      <c r="E1126" s="2352" t="s">
        <v>5241</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ht="15" outlineLevel="1">
      <c r="A1127" s="2126" t="str">
        <f t="shared" si="181"/>
        <v/>
      </c>
      <c r="B1127" s="2301" t="s">
        <v>21</v>
      </c>
      <c r="C1127" s="2351"/>
      <c r="D1127" s="2096" t="s">
        <v>5242</v>
      </c>
      <c r="E1127" s="2352" t="s">
        <v>5243</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ht="15"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ht="15" outlineLevel="1">
      <c r="A1129" s="2126" t="str">
        <f t="shared" si="181"/>
        <v/>
      </c>
      <c r="B1129" s="2301" t="s">
        <v>633</v>
      </c>
      <c r="C1129" s="2351"/>
      <c r="D1129" s="2096" t="s">
        <v>4965</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ht="15" outlineLevel="1">
      <c r="A1130" s="2126" t="str">
        <f t="shared" si="181"/>
        <v/>
      </c>
      <c r="B1130" s="2301" t="s">
        <v>564</v>
      </c>
      <c r="C1130" s="2351"/>
      <c r="D1130" s="2096"/>
      <c r="E1130" s="2352" t="s">
        <v>4990</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ht="15" outlineLevel="1">
      <c r="A1131" s="2126" t="str">
        <f t="shared" si="181"/>
        <v/>
      </c>
      <c r="B1131" s="2301" t="s">
        <v>636</v>
      </c>
      <c r="C1131" s="2351"/>
      <c r="D1131" s="2096" t="s">
        <v>1742</v>
      </c>
      <c r="E1131" s="2352" t="s">
        <v>5241</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ht="15" outlineLevel="1">
      <c r="A1132" s="2126" t="str">
        <f t="shared" si="181"/>
        <v/>
      </c>
      <c r="B1132" s="2301" t="s">
        <v>21</v>
      </c>
      <c r="C1132" s="2351"/>
      <c r="D1132" s="2096" t="s">
        <v>5242</v>
      </c>
      <c r="E1132" s="2352" t="s">
        <v>5243</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ht="15"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5" outlineLevel="1">
      <c r="A1134" s="2126" t="str">
        <f>A1133</f>
        <v/>
      </c>
      <c r="B1134" s="2205"/>
      <c r="C1134" s="2202"/>
      <c r="D1134" s="2358"/>
      <c r="E1134" s="2211" t="s">
        <v>6037</v>
      </c>
      <c r="F1134" s="2212"/>
      <c r="G1134" s="2213"/>
      <c r="H1134" s="2359"/>
      <c r="I1134" s="2359"/>
      <c r="J1134" s="2359"/>
      <c r="K1134" s="2359"/>
      <c r="L1134" s="2359"/>
      <c r="M1134" s="2359"/>
      <c r="N1134" s="2359"/>
      <c r="O1134" s="2359"/>
      <c r="P1134" s="2209"/>
      <c r="Q1134" s="2210"/>
      <c r="R1134" s="2210"/>
      <c r="S1134" s="2210"/>
    </row>
    <row r="1135" spans="1:19" s="2049" customFormat="1" ht="15" outlineLevel="1">
      <c r="A1135" s="2126" t="str">
        <f t="shared" ref="A1135:A1140" si="182">IF(G1135&lt;&gt;0,1,"")</f>
        <v/>
      </c>
      <c r="B1135" s="2196" t="s">
        <v>1132</v>
      </c>
      <c r="C1135" s="2202"/>
      <c r="D1135" s="2096">
        <v>0</v>
      </c>
      <c r="E1135" s="2138" t="s">
        <v>6242</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ht="15" outlineLevel="1">
      <c r="A1136" s="2126" t="str">
        <f t="shared" si="182"/>
        <v/>
      </c>
      <c r="B1136" s="2196" t="s">
        <v>1133</v>
      </c>
      <c r="C1136" s="2202"/>
      <c r="D1136" s="2096">
        <v>0</v>
      </c>
      <c r="E1136" s="2138" t="s">
        <v>6243</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ht="15" outlineLevel="1">
      <c r="A1137" s="2126" t="str">
        <f t="shared" si="182"/>
        <v/>
      </c>
      <c r="B1137" s="2196" t="s">
        <v>1134</v>
      </c>
      <c r="C1137" s="2202"/>
      <c r="D1137" s="2096">
        <v>0</v>
      </c>
      <c r="E1137" s="2138" t="s">
        <v>6244</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ht="15"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ht="15"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ht="15"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ht="15" outlineLevel="1">
      <c r="A1141" s="2126" t="str">
        <f>IF(G1141&lt;&gt;0,1,"")</f>
        <v/>
      </c>
      <c r="B1141" s="2196" t="s">
        <v>2237</v>
      </c>
      <c r="C1141" s="2202"/>
      <c r="D1141" s="2096" t="s">
        <v>5361</v>
      </c>
      <c r="E1141" s="2138" t="s">
        <v>6245</v>
      </c>
      <c r="F1141" s="2096" t="s">
        <v>2433</v>
      </c>
      <c r="G1141" s="2213">
        <f>+G1133*1</f>
        <v>0</v>
      </c>
      <c r="H1141" s="2303">
        <v>0</v>
      </c>
      <c r="I1141" s="2360"/>
      <c r="J1141" s="2303" t="s">
        <v>6246</v>
      </c>
      <c r="K1141" s="2303">
        <v>0</v>
      </c>
      <c r="L1141" s="2304">
        <f>H1141*G1141</f>
        <v>0</v>
      </c>
      <c r="M1141" s="2304">
        <f t="shared" si="184"/>
        <v>0</v>
      </c>
      <c r="N1141" s="2303">
        <v>0</v>
      </c>
      <c r="O1141" s="2304">
        <f t="shared" si="185"/>
        <v>0</v>
      </c>
      <c r="P1141" s="2209"/>
      <c r="Q1141" s="2210"/>
      <c r="R1141" s="2210"/>
      <c r="S1141" s="2210"/>
    </row>
    <row r="1142" spans="1:19" s="2049" customFormat="1" ht="15" outlineLevel="1">
      <c r="A1142" s="2126" t="str">
        <f>IF(G1142&lt;&gt;0,1,"")</f>
        <v/>
      </c>
      <c r="B1142" s="2196" t="s">
        <v>6122</v>
      </c>
      <c r="C1142" s="2202"/>
      <c r="D1142" s="2096" t="s">
        <v>5295</v>
      </c>
      <c r="E1142" s="2138" t="s">
        <v>6247</v>
      </c>
      <c r="F1142" s="2096" t="s">
        <v>2433</v>
      </c>
      <c r="G1142" s="2213">
        <f>+G1133*(IF(G1136&gt;0,2,0)+IF(G1137&gt;0,1,0))</f>
        <v>0</v>
      </c>
      <c r="H1142" s="2303">
        <v>0</v>
      </c>
      <c r="I1142" s="2360"/>
      <c r="J1142" s="2303" t="s">
        <v>6248</v>
      </c>
      <c r="K1142" s="2303">
        <v>0</v>
      </c>
      <c r="L1142" s="2304">
        <f>H1142*G1142</f>
        <v>0</v>
      </c>
      <c r="M1142" s="2304">
        <f>I1142*G1142</f>
        <v>0</v>
      </c>
      <c r="N1142" s="2303">
        <v>0</v>
      </c>
      <c r="O1142" s="2304">
        <f>K1142*G1142</f>
        <v>0</v>
      </c>
      <c r="P1142" s="2209"/>
      <c r="Q1142" s="2210"/>
      <c r="R1142" s="2210"/>
      <c r="S1142" s="2210"/>
    </row>
    <row r="1143" spans="1:19" s="2049" customFormat="1" ht="15" outlineLevel="1">
      <c r="A1143" s="2126" t="str">
        <f>IF(G1143&lt;&gt;0,1,"")</f>
        <v/>
      </c>
      <c r="B1143" s="2205"/>
      <c r="C1143" s="2202">
        <f>IF(G1143&gt;0,C1128+1,C1128)</f>
        <v>0</v>
      </c>
      <c r="D1143" s="2203"/>
      <c r="E1143" s="2361" t="s">
        <v>6123</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5" outlineLevel="1">
      <c r="A1144" s="2126" t="str">
        <f>A1143</f>
        <v/>
      </c>
      <c r="B1144" s="2205"/>
      <c r="C1144" s="2202"/>
      <c r="D1144" s="2203"/>
      <c r="E1144" s="2211" t="s">
        <v>6037</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ht="15" outlineLevel="1">
      <c r="A1145" s="2126" t="str">
        <f>IF(G1145&lt;&gt;0,1,"")</f>
        <v/>
      </c>
      <c r="B1145" s="2077" t="s">
        <v>5073</v>
      </c>
      <c r="C1145" s="2202"/>
      <c r="D1145" s="2096">
        <v>0</v>
      </c>
      <c r="E1145" s="2138" t="s">
        <v>5074</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ht="15" outlineLevel="1">
      <c r="A1146" s="2126" t="str">
        <f>IF(G1146&lt;&gt;0,1,"")</f>
        <v/>
      </c>
      <c r="B1146" s="2074" t="s">
        <v>486</v>
      </c>
      <c r="C1146" s="2202"/>
      <c r="D1146" s="2096">
        <v>0</v>
      </c>
      <c r="E1146" s="2138" t="s">
        <v>4996</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ht="15"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ht="15" outlineLevel="1">
      <c r="A1148" s="2126" t="str">
        <f>IF(G1148&lt;&gt;0,1,"")</f>
        <v/>
      </c>
      <c r="B1148" s="2074" t="s">
        <v>2237</v>
      </c>
      <c r="C1148" s="2202"/>
      <c r="D1148" s="2096" t="s">
        <v>5361</v>
      </c>
      <c r="E1148" s="2138" t="s">
        <v>2434</v>
      </c>
      <c r="F1148" s="2096" t="s">
        <v>2433</v>
      </c>
      <c r="G1148" s="2213">
        <f>+G1143</f>
        <v>0</v>
      </c>
      <c r="H1148" s="2208">
        <v>0</v>
      </c>
      <c r="I1148" s="2303"/>
      <c r="J1148" s="2303" t="s">
        <v>6249</v>
      </c>
      <c r="K1148" s="2303"/>
      <c r="L1148" s="2304">
        <f t="shared" si="187"/>
        <v>0</v>
      </c>
      <c r="M1148" s="2304"/>
      <c r="N1148" s="2303">
        <v>0</v>
      </c>
      <c r="O1148" s="2304"/>
      <c r="P1148" s="2209"/>
      <c r="Q1148" s="2210"/>
      <c r="R1148" s="2210"/>
      <c r="S1148" s="2210"/>
    </row>
    <row r="1149" spans="1:19" s="2049" customFormat="1" ht="15" outlineLevel="1">
      <c r="A1149" s="2126" t="str">
        <f>IF(G1149&lt;&gt;0,1,"")</f>
        <v/>
      </c>
      <c r="B1149" s="2205"/>
      <c r="C1149" s="2202">
        <f>IF(G1149&gt;0,C1133+1,C1133)</f>
        <v>0</v>
      </c>
      <c r="D1149" s="2203"/>
      <c r="E1149" s="2361" t="s">
        <v>6124</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5" outlineLevel="1">
      <c r="A1150" s="2126" t="str">
        <f>A1149</f>
        <v/>
      </c>
      <c r="B1150" s="2205"/>
      <c r="C1150" s="2202"/>
      <c r="D1150" s="2203"/>
      <c r="E1150" s="2211" t="s">
        <v>6037</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ht="15"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ht="15"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ht="15" outlineLevel="1">
      <c r="A1153" s="2126" t="str">
        <f>IF(G1153&lt;&gt;0,1,"")</f>
        <v/>
      </c>
      <c r="B1153" s="2205" t="s">
        <v>2237</v>
      </c>
      <c r="C1153" s="2202"/>
      <c r="D1153" s="2096" t="s">
        <v>5361</v>
      </c>
      <c r="E1153" s="2138" t="s">
        <v>2434</v>
      </c>
      <c r="F1153" s="2096" t="s">
        <v>2433</v>
      </c>
      <c r="G1153" s="2213">
        <f>+G1149</f>
        <v>0</v>
      </c>
      <c r="H1153" s="2208">
        <v>0</v>
      </c>
      <c r="I1153" s="2303"/>
      <c r="J1153" s="2303" t="s">
        <v>6249</v>
      </c>
      <c r="K1153" s="2303"/>
      <c r="L1153" s="2304">
        <f t="shared" si="183"/>
        <v>0</v>
      </c>
      <c r="M1153" s="2304"/>
      <c r="N1153" s="2303">
        <v>0</v>
      </c>
      <c r="O1153" s="2304"/>
      <c r="P1153" s="2209"/>
      <c r="Q1153" s="2210"/>
      <c r="R1153" s="2210"/>
      <c r="S1153" s="2210"/>
    </row>
    <row r="1154" spans="1:19" s="2049" customFormat="1" ht="15" outlineLevel="1">
      <c r="A1154" s="2126" t="str">
        <f>IF(G1154&lt;&gt;0,1,"")</f>
        <v/>
      </c>
      <c r="B1154" s="2205"/>
      <c r="C1154" s="2202">
        <f>IF(G1154&gt;0,C1149+1,C1149)</f>
        <v>0</v>
      </c>
      <c r="D1154" s="2203"/>
      <c r="E1154" s="2361" t="s">
        <v>6125</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5" outlineLevel="1">
      <c r="A1155" s="2126" t="str">
        <f>A1154</f>
        <v/>
      </c>
      <c r="B1155" s="2205"/>
      <c r="C1155" s="2202"/>
      <c r="D1155" s="2203"/>
      <c r="E1155" s="2211" t="s">
        <v>6037</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ht="15"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ht="15"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ht="15"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ht="15" outlineLevel="1">
      <c r="A1159" s="2126" t="str">
        <f>IF(G1159&lt;&gt;0,1,"")</f>
        <v/>
      </c>
      <c r="B1159" s="2205" t="s">
        <v>2237</v>
      </c>
      <c r="C1159" s="2202"/>
      <c r="D1159" s="2096" t="s">
        <v>5361</v>
      </c>
      <c r="E1159" s="2138" t="s">
        <v>2434</v>
      </c>
      <c r="F1159" s="2096" t="s">
        <v>2433</v>
      </c>
      <c r="G1159" s="2213">
        <f>G1154/2</f>
        <v>0</v>
      </c>
      <c r="H1159" s="2208">
        <v>0</v>
      </c>
      <c r="I1159" s="2303"/>
      <c r="J1159" s="2303" t="s">
        <v>6249</v>
      </c>
      <c r="K1159" s="2303"/>
      <c r="L1159" s="2304">
        <f t="shared" si="183"/>
        <v>0</v>
      </c>
      <c r="M1159" s="2304"/>
      <c r="N1159" s="2303">
        <v>0</v>
      </c>
      <c r="O1159" s="2304"/>
      <c r="P1159" s="2209"/>
      <c r="Q1159" s="2210"/>
      <c r="R1159" s="2210"/>
      <c r="S1159" s="2210"/>
    </row>
    <row r="1160" spans="1:19" s="2049" customFormat="1" ht="15"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5" outlineLevel="1">
      <c r="A1161" s="2126" t="str">
        <f>+A1160</f>
        <v/>
      </c>
      <c r="B1161" s="2362"/>
      <c r="C1161" s="2202"/>
      <c r="D1161" s="2203"/>
      <c r="E1161" s="2211" t="s">
        <v>6037</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ht="15"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ht="15" outlineLevel="1">
      <c r="A1163" s="2126" t="str">
        <f t="shared" si="189"/>
        <v/>
      </c>
      <c r="B1163" s="2196" t="s">
        <v>1504</v>
      </c>
      <c r="C1163" s="2202"/>
      <c r="D1163" s="2096">
        <v>0</v>
      </c>
      <c r="E1163" s="2138" t="s">
        <v>5081</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ht="15"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ht="15"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ht="15"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ht="15" outlineLevel="1">
      <c r="A1167" s="2126" t="str">
        <f t="shared" si="189"/>
        <v/>
      </c>
      <c r="B1167" s="2196" t="s">
        <v>523</v>
      </c>
      <c r="C1167" s="2202"/>
      <c r="D1167" s="2096">
        <v>0</v>
      </c>
      <c r="E1167" s="2138" t="s">
        <v>5170</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ht="15" outlineLevel="1">
      <c r="A1168" s="2126" t="str">
        <f t="shared" si="189"/>
        <v/>
      </c>
      <c r="B1168" s="2196" t="s">
        <v>1581</v>
      </c>
      <c r="C1168" s="2202"/>
      <c r="D1168" s="2096">
        <v>0</v>
      </c>
      <c r="E1168" s="2138" t="s">
        <v>5628</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ht="15" outlineLevel="1">
      <c r="A1169" s="2126">
        <f>IF(G1169=0,0,1)</f>
        <v>0</v>
      </c>
      <c r="B1169" s="2196" t="s">
        <v>791</v>
      </c>
      <c r="C1169" s="2212"/>
      <c r="D1169" s="2096" t="s">
        <v>5253</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ht="15" outlineLevel="1">
      <c r="A1170" s="2126">
        <f>IF(G1170=0,0,1)</f>
        <v>0</v>
      </c>
      <c r="B1170" s="2196" t="s">
        <v>795</v>
      </c>
      <c r="C1170" s="2212"/>
      <c r="D1170" s="2096" t="s">
        <v>5242</v>
      </c>
      <c r="E1170" s="2138" t="s">
        <v>5254</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ht="15" outlineLevel="1">
      <c r="A1171" s="2126">
        <f>IF(G1171=0,0,1)</f>
        <v>0</v>
      </c>
      <c r="B1171" s="2196" t="s">
        <v>899</v>
      </c>
      <c r="C1171" s="2212"/>
      <c r="D1171" s="2096" t="s">
        <v>5268</v>
      </c>
      <c r="E1171" s="2138" t="s">
        <v>5269</v>
      </c>
      <c r="F1171" s="2096" t="s">
        <v>2272</v>
      </c>
      <c r="G1171" s="2333">
        <f>G1163</f>
        <v>0</v>
      </c>
      <c r="H1171" s="2208">
        <v>0</v>
      </c>
      <c r="I1171" s="2208"/>
      <c r="J1171" s="2208" t="s">
        <v>6216</v>
      </c>
      <c r="K1171" s="2208">
        <v>0</v>
      </c>
      <c r="L1171" s="2208">
        <f>H1171*$G1171</f>
        <v>0</v>
      </c>
      <c r="M1171" s="2208">
        <f>I1171*$G1171</f>
        <v>0</v>
      </c>
      <c r="N1171" s="2208">
        <v>0</v>
      </c>
      <c r="O1171" s="2208">
        <f>K1171*$G1171</f>
        <v>0</v>
      </c>
      <c r="P1171" s="2333"/>
      <c r="Q1171" s="2210"/>
      <c r="R1171" s="2210"/>
      <c r="S1171" s="2210"/>
    </row>
    <row r="1172" spans="1:20" s="2049" customFormat="1" ht="15" outlineLevel="1">
      <c r="A1172" s="2126" t="str">
        <f>IF(G1172&lt;&gt;0,1,"")</f>
        <v/>
      </c>
      <c r="B1172" s="2196" t="s">
        <v>1433</v>
      </c>
      <c r="C1172" s="2202"/>
      <c r="D1172" s="2096" t="s">
        <v>5263</v>
      </c>
      <c r="E1172" s="2138" t="s">
        <v>5264</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ht="15" outlineLevel="1">
      <c r="A1173" s="2126" t="str">
        <f>IF(G1173&lt;&gt;0,1,"")</f>
        <v/>
      </c>
      <c r="B1173" s="2205"/>
      <c r="C1173" s="2202">
        <f>IF(G1173&gt;0,C1160+1,C1160)</f>
        <v>0</v>
      </c>
      <c r="D1173" s="2203"/>
      <c r="E1173" s="2206" t="s">
        <v>6126</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5" outlineLevel="1">
      <c r="A1174" s="2126" t="str">
        <f>A1173</f>
        <v/>
      </c>
      <c r="B1174" s="2205"/>
      <c r="C1174" s="2202"/>
      <c r="D1174" s="2203"/>
      <c r="E1174" s="2211" t="s">
        <v>6037</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ht="15" outlineLevel="1">
      <c r="A1175" s="2126" t="str">
        <f>IF(G1175&lt;&gt;0,1,"")</f>
        <v/>
      </c>
      <c r="B1175" s="2205" t="s">
        <v>650</v>
      </c>
      <c r="C1175" s="2212"/>
      <c r="D1175" s="2096">
        <v>0</v>
      </c>
      <c r="E1175" s="2138" t="s">
        <v>5207</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ht="15"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ht="15"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ht="15" outlineLevel="1">
      <c r="A1178" s="2126" t="str">
        <f>IF(G1178&lt;&gt;0,1,"")</f>
        <v/>
      </c>
      <c r="B1178" s="2205" t="s">
        <v>651</v>
      </c>
      <c r="C1178" s="2212"/>
      <c r="D1178" s="2096" t="s">
        <v>5388</v>
      </c>
      <c r="E1178" s="2138" t="s">
        <v>5391</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ht="15" outlineLevel="1">
      <c r="A1179" s="2126" t="str">
        <f>IF(G1179&lt;&gt;0,1,"")</f>
        <v/>
      </c>
      <c r="B1179" s="2205"/>
      <c r="C1179" s="2202">
        <f>IF(G1179&gt;0,C1173+1,C1173)</f>
        <v>0</v>
      </c>
      <c r="D1179" s="2203"/>
      <c r="E1179" s="2320" t="s">
        <v>6113</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5" outlineLevel="1">
      <c r="A1180" s="2126" t="str">
        <f>A1179</f>
        <v/>
      </c>
      <c r="B1180" s="2205"/>
      <c r="C1180" s="2202"/>
      <c r="D1180" s="2203"/>
      <c r="E1180" s="2211" t="s">
        <v>6037</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ht="15" outlineLevel="1">
      <c r="A1181" s="2126" t="str">
        <f>IF(G1181&lt;&gt;0,1,"")</f>
        <v/>
      </c>
      <c r="B1181" s="2205" t="s">
        <v>5560</v>
      </c>
      <c r="C1181" s="2212"/>
      <c r="D1181" s="2096" t="s">
        <v>5548</v>
      </c>
      <c r="E1181" s="2138" t="s">
        <v>5561</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ht="15" outlineLevel="1">
      <c r="A1182" s="2126" t="str">
        <f>IF(G1182&lt;&gt;0,1,"")</f>
        <v/>
      </c>
      <c r="B1182" s="2205" t="s">
        <v>877</v>
      </c>
      <c r="C1182" s="2202"/>
      <c r="D1182" s="2096">
        <v>0</v>
      </c>
      <c r="E1182" s="2138" t="s">
        <v>5713</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ht="15" outlineLevel="1">
      <c r="A1183" s="2126" t="str">
        <f>IF(G1183&lt;&gt;0,1,"")</f>
        <v/>
      </c>
      <c r="B1183" s="2205" t="s">
        <v>288</v>
      </c>
      <c r="C1183" s="2212"/>
      <c r="D1183" s="2096">
        <v>0</v>
      </c>
      <c r="E1183" s="2138" t="s">
        <v>5627</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ht="15"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5" outlineLevel="1">
      <c r="A1185" s="2126" t="str">
        <f>A1184</f>
        <v/>
      </c>
      <c r="B1185" s="2205"/>
      <c r="C1185" s="2202"/>
      <c r="D1185" s="2203"/>
      <c r="E1185" s="2218" t="s">
        <v>6037</v>
      </c>
      <c r="F1185" s="2202"/>
      <c r="G1185" s="2207"/>
      <c r="H1185" s="2208"/>
      <c r="I1185" s="2208"/>
      <c r="J1185" s="2208"/>
      <c r="K1185" s="2208"/>
      <c r="L1185" s="2208"/>
      <c r="M1185" s="2208"/>
      <c r="N1185" s="2208"/>
      <c r="O1185" s="2208"/>
      <c r="P1185" s="2333"/>
      <c r="Q1185" s="2210"/>
      <c r="R1185" s="2210"/>
      <c r="S1185" s="2210"/>
    </row>
    <row r="1186" spans="1:19" s="2049" customFormat="1" ht="15" outlineLevel="1">
      <c r="A1186" s="2126" t="str">
        <f>IF(G1186&lt;&gt;0,1,"")</f>
        <v/>
      </c>
      <c r="B1186" s="2196" t="s">
        <v>694</v>
      </c>
      <c r="C1186" s="2212"/>
      <c r="D1186" s="2096">
        <v>0</v>
      </c>
      <c r="E1186" s="2138" t="s">
        <v>5005</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ht="15"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ht="15" outlineLevel="1">
      <c r="A1188" s="2126" t="str">
        <f>IF(G1188&lt;&gt;0,1,"")</f>
        <v/>
      </c>
      <c r="B1188" s="2301" t="s">
        <v>1473</v>
      </c>
      <c r="C1188" s="2212"/>
      <c r="D1188" s="2096">
        <v>0</v>
      </c>
      <c r="E1188" s="2138" t="s">
        <v>6250</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ht="15" outlineLevel="1">
      <c r="A1189" s="2126" t="str">
        <f>IF(G1189&lt;&gt;0,1,"")</f>
        <v/>
      </c>
      <c r="B1189" s="2301" t="s">
        <v>5614</v>
      </c>
      <c r="C1189" s="2212"/>
      <c r="D1189" s="2096">
        <v>0</v>
      </c>
      <c r="E1189" s="2138" t="s">
        <v>6251</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ht="15" outlineLevel="1">
      <c r="A1190" s="2126" t="str">
        <f>IF(G1190&lt;&gt;0,1,"")</f>
        <v/>
      </c>
      <c r="B1190" s="2301" t="s">
        <v>5620</v>
      </c>
      <c r="C1190" s="2212"/>
      <c r="D1190" s="2096">
        <v>0</v>
      </c>
      <c r="E1190" s="2138" t="s">
        <v>6252</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ht="15" outlineLevel="1">
      <c r="A1191" s="2126" t="str">
        <f t="shared" si="195"/>
        <v/>
      </c>
      <c r="B1191" s="2301" t="s">
        <v>5622</v>
      </c>
      <c r="C1191" s="2212"/>
      <c r="D1191" s="2096">
        <v>0</v>
      </c>
      <c r="E1191" s="2138" t="s">
        <v>6253</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ht="15"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ht="15"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ht="15" outlineLevel="1">
      <c r="A1194" s="2126" t="str">
        <f>IF(G1194&lt;&gt;0,1,"")</f>
        <v/>
      </c>
      <c r="B1194" s="2196" t="s">
        <v>1561</v>
      </c>
      <c r="C1194" s="2212"/>
      <c r="D1194" s="2096" t="s">
        <v>5477</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ht="15" outlineLevel="1">
      <c r="A1195" s="2126" t="str">
        <f>IF(G1195&lt;&gt;0,1,"")</f>
        <v/>
      </c>
      <c r="B1195" s="2196" t="s">
        <v>1521</v>
      </c>
      <c r="C1195" s="2212"/>
      <c r="D1195" s="2096" t="s">
        <v>5487</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ht="15"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5" outlineLevel="1">
      <c r="A1197" s="2126" t="str">
        <f>A1196</f>
        <v/>
      </c>
      <c r="B1197" s="2205"/>
      <c r="C1197" s="2202"/>
      <c r="D1197" s="2203"/>
      <c r="E1197" s="2218" t="s">
        <v>6037</v>
      </c>
      <c r="F1197" s="2202"/>
      <c r="G1197" s="2207"/>
      <c r="H1197" s="2208"/>
      <c r="I1197" s="2208"/>
      <c r="J1197" s="2208"/>
      <c r="K1197" s="2208"/>
      <c r="L1197" s="2208"/>
      <c r="M1197" s="2208"/>
      <c r="N1197" s="2208"/>
      <c r="O1197" s="2208"/>
      <c r="P1197" s="2209"/>
      <c r="Q1197" s="2210"/>
      <c r="R1197" s="2210"/>
      <c r="S1197" s="2210"/>
    </row>
    <row r="1198" spans="1:19" s="2049" customFormat="1" ht="15"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ht="15" outlineLevel="1">
      <c r="A1199" s="2126" t="str">
        <f>IF(G1199&lt;&gt;0,1,"")</f>
        <v/>
      </c>
      <c r="B1199" s="2205" t="s">
        <v>86</v>
      </c>
      <c r="C1199" s="2212"/>
      <c r="D1199" s="2096">
        <v>0</v>
      </c>
      <c r="E1199" s="2138" t="s">
        <v>5711</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ht="15"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ht="15"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ht="15" outlineLevel="1">
      <c r="A1202" s="2126" t="str">
        <f>IF(G1202&lt;&gt;0,1,"")</f>
        <v/>
      </c>
      <c r="B1202" s="2196"/>
      <c r="C1202" s="2202">
        <f>IF(G1202&gt;0,C1196+1,C1196)</f>
        <v>0</v>
      </c>
      <c r="D1202" s="2203"/>
      <c r="E1202" s="2204" t="s">
        <v>6127</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5" outlineLevel="1">
      <c r="A1203" s="2126" t="str">
        <f>A1202</f>
        <v/>
      </c>
      <c r="B1203" s="2196"/>
      <c r="C1203" s="2202"/>
      <c r="D1203" s="2203"/>
      <c r="E1203" s="2218" t="s">
        <v>6037</v>
      </c>
      <c r="F1203" s="2202"/>
      <c r="G1203" s="2213"/>
      <c r="H1203" s="2208"/>
      <c r="I1203" s="2208"/>
      <c r="J1203" s="2208"/>
      <c r="K1203" s="2208"/>
      <c r="L1203" s="2208"/>
      <c r="M1203" s="2208"/>
      <c r="N1203" s="2208"/>
      <c r="O1203" s="2208"/>
      <c r="P1203" s="2333"/>
      <c r="Q1203" s="2210"/>
      <c r="R1203" s="2210"/>
      <c r="S1203" s="2210"/>
    </row>
    <row r="1204" spans="1:19" s="2049" customFormat="1" ht="15"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ht="15"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ht="15"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ht="15" outlineLevel="1">
      <c r="A1207" s="2126" t="str">
        <f t="shared" ref="A1207:A1219" si="200">IF(G1207&lt;&gt;0,1,"")</f>
        <v/>
      </c>
      <c r="B1207" s="2205" t="s">
        <v>2150</v>
      </c>
      <c r="C1207" s="2212"/>
      <c r="D1207" s="2096" t="s">
        <v>5643</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ht="15" outlineLevel="1">
      <c r="A1208" s="2126" t="str">
        <f t="shared" si="200"/>
        <v/>
      </c>
      <c r="B1208" s="2205" t="s">
        <v>1300</v>
      </c>
      <c r="C1208" s="2212"/>
      <c r="D1208" s="2096" t="s">
        <v>5641</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ht="15"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ht="15"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ht="15"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ht="15" outlineLevel="1">
      <c r="A1212" s="2126" t="str">
        <f t="shared" si="200"/>
        <v/>
      </c>
      <c r="B1212" s="2196" t="s">
        <v>728</v>
      </c>
      <c r="C1212" s="2212"/>
      <c r="D1212" s="2096">
        <v>0</v>
      </c>
      <c r="E1212" s="2138" t="s">
        <v>5176</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ht="15"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ht="15"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ht="15"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ht="15" outlineLevel="1">
      <c r="A1216" s="2126" t="str">
        <f t="shared" si="200"/>
        <v/>
      </c>
      <c r="B1216" s="2196" t="s">
        <v>6</v>
      </c>
      <c r="C1216" s="2212"/>
      <c r="D1216" s="2096"/>
      <c r="E1216" s="2138" t="s">
        <v>3552</v>
      </c>
      <c r="F1216" s="2096" t="s">
        <v>5720</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ht="15"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ht="15" outlineLevel="1">
      <c r="A1218" s="2126" t="str">
        <f t="shared" si="200"/>
        <v/>
      </c>
      <c r="B1218" s="2196" t="s">
        <v>669</v>
      </c>
      <c r="C1218" s="2212"/>
      <c r="D1218" s="2096">
        <v>0</v>
      </c>
      <c r="E1218" s="2138" t="s">
        <v>5715</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ht="15" outlineLevel="1">
      <c r="A1219" s="2126" t="str">
        <f t="shared" si="200"/>
        <v/>
      </c>
      <c r="B1219" s="2196" t="s">
        <v>2001</v>
      </c>
      <c r="C1219" s="2212"/>
      <c r="D1219" s="2096" t="s">
        <v>5488</v>
      </c>
      <c r="E1219" s="2138" t="s">
        <v>6254</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ht="15" outlineLevel="1">
      <c r="A1220" s="2126">
        <f>+IF(L1220+N1220+O1220&gt;0,1,0)</f>
        <v>0</v>
      </c>
      <c r="B1220" s="2301"/>
      <c r="C1220" s="2367"/>
      <c r="D1220" s="2368"/>
      <c r="E1220" s="2343"/>
      <c r="F1220" s="2581"/>
      <c r="G1220" s="2582"/>
      <c r="H1220" s="2581"/>
      <c r="I1220" s="2581"/>
      <c r="J1220" s="2591" t="s">
        <v>6035</v>
      </c>
      <c r="K1220" s="2591"/>
      <c r="L1220" s="2369">
        <f>SUM(L1116:L1219)</f>
        <v>0</v>
      </c>
      <c r="M1220" s="2369">
        <f>SUM(M1116:M1219)</f>
        <v>0</v>
      </c>
      <c r="N1220" s="2369">
        <f>SUM(N1116:N1219)</f>
        <v>0</v>
      </c>
      <c r="O1220" s="2369">
        <f>SUM(O1116:O1219)</f>
        <v>0</v>
      </c>
      <c r="P1220" s="2340"/>
      <c r="Q1220" s="2210"/>
      <c r="R1220" s="2210"/>
      <c r="S1220" s="2210"/>
    </row>
    <row r="1221" spans="1:19" s="2049" customFormat="1" ht="13.9"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ht="15"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ht="15" outlineLevel="1">
      <c r="A1223" s="2126" t="str">
        <f>A1100</f>
        <v/>
      </c>
      <c r="B1223" s="2205" t="s">
        <v>2278</v>
      </c>
      <c r="C1223" s="2592" t="s">
        <v>1704</v>
      </c>
      <c r="D1223" s="2593" t="s">
        <v>2589</v>
      </c>
      <c r="E1223" s="2595" t="s">
        <v>2590</v>
      </c>
      <c r="F1223" s="2592" t="s">
        <v>2585</v>
      </c>
      <c r="G1223" s="2053" t="s">
        <v>6017</v>
      </c>
      <c r="H1223" s="2056" t="s">
        <v>6018</v>
      </c>
      <c r="I1223" s="2563"/>
      <c r="J1223" s="2563"/>
      <c r="K1223" s="2564"/>
      <c r="L1223" s="2056" t="s">
        <v>6019</v>
      </c>
      <c r="M1223" s="2563"/>
      <c r="N1223" s="2563"/>
      <c r="O1223" s="2564"/>
      <c r="P1223" s="2592" t="s">
        <v>2591</v>
      </c>
      <c r="Q1223" s="2210"/>
      <c r="R1223" s="2210"/>
      <c r="S1223" s="2210"/>
    </row>
    <row r="1224" spans="1:19" s="2049" customFormat="1" ht="15" outlineLevel="1">
      <c r="A1224" s="2126" t="str">
        <f>A1223</f>
        <v/>
      </c>
      <c r="B1224" s="2205"/>
      <c r="C1224" s="2592"/>
      <c r="D1224" s="2594"/>
      <c r="E1224" s="2596"/>
      <c r="F1224" s="2592"/>
      <c r="G1224" s="2055" t="s">
        <v>2280</v>
      </c>
      <c r="H1224" s="2056" t="s">
        <v>6020</v>
      </c>
      <c r="I1224" s="2056" t="s">
        <v>6021</v>
      </c>
      <c r="J1224" s="2056" t="s">
        <v>6022</v>
      </c>
      <c r="K1224" s="2056" t="s">
        <v>6023</v>
      </c>
      <c r="L1224" s="2056" t="s">
        <v>6020</v>
      </c>
      <c r="M1224" s="2056" t="s">
        <v>6021</v>
      </c>
      <c r="N1224" s="2056" t="s">
        <v>6022</v>
      </c>
      <c r="O1224" s="2056" t="s">
        <v>6023</v>
      </c>
      <c r="P1224" s="2592"/>
      <c r="Q1224" s="2210"/>
      <c r="R1224" s="2210"/>
      <c r="S1224" s="2210"/>
    </row>
    <row r="1225" spans="1:19" s="2049" customFormat="1" ht="15"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ht="15" outlineLevel="1">
      <c r="A1226" s="2126" t="str">
        <f>IF(G1226&lt;&gt;0,1,"")</f>
        <v/>
      </c>
      <c r="B1226" s="2196" t="str">
        <f>IF($F$8=15,"tr160","tr1601")</f>
        <v>tr1601</v>
      </c>
      <c r="C1226" s="2212">
        <f>IF(G1226&gt;0,1,0)</f>
        <v>0</v>
      </c>
      <c r="D1226" s="2096" t="s">
        <v>5505</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ht="15" outlineLevel="1">
      <c r="A1227" s="2126" t="str">
        <f>IF(G1227&lt;&gt;0,1,"")</f>
        <v/>
      </c>
      <c r="B1227" s="2196" t="str">
        <f>IF($F$8=15,"tr160","tr1601")</f>
        <v>tr1601</v>
      </c>
      <c r="C1227" s="2212">
        <f>IF(G1227&gt;0,1,0)</f>
        <v>0</v>
      </c>
      <c r="D1227" s="2096" t="s">
        <v>5505</v>
      </c>
      <c r="E1227" s="2138" t="s">
        <v>6128</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ht="15" outlineLevel="1">
      <c r="A1228" s="2126" t="str">
        <f t="shared" ref="A1228:A1235" si="209">IF(G1228&lt;&gt;0,1,"")</f>
        <v/>
      </c>
      <c r="B1228" s="2062" t="str">
        <f>"FCO100-"&amp;$F$8</f>
        <v>FCO100-22</v>
      </c>
      <c r="C1228" s="2212">
        <f>IF(G1228&gt;0,C1226+1,C1226)</f>
        <v>0</v>
      </c>
      <c r="D1228" s="2096" t="s">
        <v>5513</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ht="15"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ht="15" outlineLevel="1">
      <c r="A1230" s="2126" t="str">
        <f t="shared" si="209"/>
        <v/>
      </c>
      <c r="B1230" s="2205" t="str">
        <f>"LA"&amp;$F$6</f>
        <v>LA18</v>
      </c>
      <c r="C1230" s="2212">
        <f t="shared" si="210"/>
        <v>0</v>
      </c>
      <c r="D1230" s="2096" t="s">
        <v>5517</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ht="15" outlineLevel="1">
      <c r="A1231" s="2126" t="str">
        <f>IF(G1231&lt;&gt;0,1,"")</f>
        <v/>
      </c>
      <c r="B1231" s="2301" t="s">
        <v>707</v>
      </c>
      <c r="C1231" s="2212">
        <f>IF(G1231&gt;0,C1229+1,C1229)</f>
        <v>0</v>
      </c>
      <c r="D1231" s="2096">
        <v>0</v>
      </c>
      <c r="E1231" s="2138" t="s">
        <v>6129</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ht="15" outlineLevel="1">
      <c r="A1232" s="2126" t="str">
        <f t="shared" si="209"/>
        <v/>
      </c>
      <c r="B1232" s="2301" t="s">
        <v>707</v>
      </c>
      <c r="C1232" s="2212">
        <f>IF(G1232&gt;0,C1230+1,C1230)</f>
        <v>0</v>
      </c>
      <c r="D1232" s="2096">
        <v>0</v>
      </c>
      <c r="E1232" s="2138" t="s">
        <v>5597</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ht="15" outlineLevel="1">
      <c r="A1233" s="2126" t="str">
        <f>IF(G1233&lt;&gt;0,1,"")</f>
        <v/>
      </c>
      <c r="B1233" s="2301" t="s">
        <v>6130</v>
      </c>
      <c r="C1233" s="2212">
        <f t="shared" si="210"/>
        <v>0</v>
      </c>
      <c r="D1233" s="2096" t="s">
        <v>1021</v>
      </c>
      <c r="E1233" s="2138" t="s">
        <v>5540</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ht="15"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ht="15"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ht="15" outlineLevel="1">
      <c r="A1236" s="2126" t="str">
        <f>A1100</f>
        <v/>
      </c>
      <c r="B1236" s="2205"/>
      <c r="C1236" s="2337"/>
      <c r="D1236" s="2338"/>
      <c r="E1236" s="2339"/>
      <c r="F1236" s="2337"/>
      <c r="G1236" s="2580"/>
      <c r="H1236" s="2337"/>
      <c r="I1236" s="2337"/>
      <c r="J1236" s="2061" t="s">
        <v>6025</v>
      </c>
      <c r="K1236" s="2337"/>
      <c r="L1236" s="2339">
        <f>SUM(L1226:L1235)</f>
        <v>0</v>
      </c>
      <c r="M1236" s="2339">
        <f>SUM(M1226:M1235)</f>
        <v>0</v>
      </c>
      <c r="N1236" s="2339">
        <f>SUM(N1226:N1235)</f>
        <v>0</v>
      </c>
      <c r="O1236" s="2339">
        <f>SUM(O1226:O1235)</f>
        <v>0</v>
      </c>
      <c r="P1236" s="2340"/>
      <c r="Q1236" s="2210"/>
      <c r="R1236" s="2210"/>
      <c r="S1236" s="2210"/>
    </row>
    <row r="1237" spans="1:19" s="2049" customFormat="1" ht="15"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ht="15" outlineLevel="1">
      <c r="A1238" s="2126" t="str">
        <f t="shared" ref="A1238:A1256" si="211">IF(G1238&lt;&gt;0,1,"")</f>
        <v/>
      </c>
      <c r="B1238" s="2345"/>
      <c r="C1238" s="2346">
        <f>IF(G1238&gt;0,1,0)</f>
        <v>0</v>
      </c>
      <c r="D1238" s="2096"/>
      <c r="E1238" s="2347" t="s">
        <v>6026</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ht="15"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ht="15"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ht="15"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ht="15" outlineLevel="1">
      <c r="A1242" s="2126" t="str">
        <f>IF(G1242&lt;&gt;0,1,"")</f>
        <v/>
      </c>
      <c r="B1242" s="2345"/>
      <c r="C1242" s="2346">
        <f>IF(G1242&gt;0,1,0)</f>
        <v>0</v>
      </c>
      <c r="D1242" s="2096"/>
      <c r="E1242" s="2347" t="s">
        <v>6121</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ht="15"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ht="15"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ht="15"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ht="15"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ht="15" outlineLevel="1">
      <c r="A1247" s="2126" t="str">
        <f t="shared" si="211"/>
        <v/>
      </c>
      <c r="B1247" s="2301" t="s">
        <v>633</v>
      </c>
      <c r="C1247" s="2351"/>
      <c r="D1247" s="2096" t="s">
        <v>4965</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ht="15" outlineLevel="1">
      <c r="A1248" s="2126" t="str">
        <f t="shared" si="211"/>
        <v/>
      </c>
      <c r="B1248" s="2301" t="s">
        <v>564</v>
      </c>
      <c r="C1248" s="2351"/>
      <c r="D1248" s="2096"/>
      <c r="E1248" s="2352" t="s">
        <v>4990</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ht="15" outlineLevel="1">
      <c r="A1249" s="2126" t="str">
        <f t="shared" si="211"/>
        <v/>
      </c>
      <c r="B1249" s="2301" t="s">
        <v>636</v>
      </c>
      <c r="C1249" s="2351"/>
      <c r="D1249" s="2096" t="s">
        <v>1742</v>
      </c>
      <c r="E1249" s="2352" t="s">
        <v>5241</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ht="15" outlineLevel="1">
      <c r="A1250" s="2126" t="str">
        <f t="shared" si="211"/>
        <v/>
      </c>
      <c r="B1250" s="2301" t="s">
        <v>21</v>
      </c>
      <c r="C1250" s="2351"/>
      <c r="D1250" s="2096" t="s">
        <v>5242</v>
      </c>
      <c r="E1250" s="2352" t="s">
        <v>5243</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ht="15"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ht="15" outlineLevel="1">
      <c r="A1252" s="2126" t="str">
        <f>IF(G1252&lt;&gt;0,1,"")</f>
        <v/>
      </c>
      <c r="B1252" s="2301" t="s">
        <v>633</v>
      </c>
      <c r="C1252" s="2351"/>
      <c r="D1252" s="2096" t="s">
        <v>4965</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ht="15" outlineLevel="1">
      <c r="A1253" s="2126" t="str">
        <f>IF(G1253&lt;&gt;0,1,"")</f>
        <v/>
      </c>
      <c r="B1253" s="2301" t="s">
        <v>564</v>
      </c>
      <c r="C1253" s="2351"/>
      <c r="D1253" s="2096"/>
      <c r="E1253" s="2352" t="s">
        <v>4990</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ht="15" outlineLevel="1">
      <c r="A1254" s="2126" t="str">
        <f>IF(G1254&lt;&gt;0,1,"")</f>
        <v/>
      </c>
      <c r="B1254" s="2301" t="s">
        <v>636</v>
      </c>
      <c r="C1254" s="2351"/>
      <c r="D1254" s="2096" t="s">
        <v>1742</v>
      </c>
      <c r="E1254" s="2352" t="s">
        <v>5241</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ht="15" outlineLevel="1">
      <c r="A1255" s="2126" t="str">
        <f>IF(G1255&lt;&gt;0,1,"")</f>
        <v/>
      </c>
      <c r="B1255" s="2301" t="s">
        <v>21</v>
      </c>
      <c r="C1255" s="2351"/>
      <c r="D1255" s="2096" t="s">
        <v>5242</v>
      </c>
      <c r="E1255" s="2352" t="s">
        <v>5243</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ht="15"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5" outlineLevel="1">
      <c r="A1257" s="2126" t="str">
        <f>A1256</f>
        <v/>
      </c>
      <c r="B1257" s="2205"/>
      <c r="C1257" s="2202"/>
      <c r="D1257" s="2358"/>
      <c r="E1257" s="2211" t="s">
        <v>6037</v>
      </c>
      <c r="F1257" s="2212"/>
      <c r="G1257" s="2370"/>
      <c r="H1257" s="2359"/>
      <c r="I1257" s="2359"/>
      <c r="J1257" s="2359"/>
      <c r="K1257" s="2359"/>
      <c r="L1257" s="2359"/>
      <c r="M1257" s="2359"/>
      <c r="N1257" s="2359"/>
      <c r="O1257" s="2359"/>
      <c r="P1257" s="2209"/>
      <c r="Q1257" s="2210"/>
      <c r="R1257" s="2210"/>
      <c r="S1257" s="2210"/>
    </row>
    <row r="1258" spans="1:21" s="2049" customFormat="1" ht="15" outlineLevel="1">
      <c r="A1258" s="2126" t="str">
        <f t="shared" ref="A1258:A1263" si="212">IF(G1258&lt;&gt;0,1,"")</f>
        <v/>
      </c>
      <c r="B1258" s="2196" t="s">
        <v>1132</v>
      </c>
      <c r="C1258" s="2202"/>
      <c r="D1258" s="2096">
        <v>0</v>
      </c>
      <c r="E1258" s="2138" t="s">
        <v>6242</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ht="15" outlineLevel="1">
      <c r="A1259" s="2126" t="str">
        <f t="shared" si="212"/>
        <v/>
      </c>
      <c r="B1259" s="2196" t="s">
        <v>1133</v>
      </c>
      <c r="C1259" s="2202"/>
      <c r="D1259" s="2096">
        <v>0</v>
      </c>
      <c r="E1259" s="2138" t="s">
        <v>6243</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ht="15" outlineLevel="1">
      <c r="A1260" s="2126" t="str">
        <f t="shared" si="212"/>
        <v/>
      </c>
      <c r="B1260" s="2196" t="s">
        <v>1134</v>
      </c>
      <c r="C1260" s="2202"/>
      <c r="D1260" s="2096">
        <v>0</v>
      </c>
      <c r="E1260" s="2138" t="s">
        <v>6244</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ht="15"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ht="15"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ht="15"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ht="15" outlineLevel="1">
      <c r="A1264" s="2126" t="str">
        <f>IF(G1264&lt;&gt;0,1,"")</f>
        <v/>
      </c>
      <c r="B1264" s="2065" t="s">
        <v>5342</v>
      </c>
      <c r="C1264" s="2202"/>
      <c r="D1264" s="2096" t="s">
        <v>5343</v>
      </c>
      <c r="E1264" s="2138" t="s">
        <v>5344</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ht="15" outlineLevel="1">
      <c r="A1265" s="2126" t="str">
        <f>IF(G1265&lt;&gt;0,1,"")</f>
        <v/>
      </c>
      <c r="B1265" s="2205"/>
      <c r="C1265" s="2202">
        <f>IF(G1265&gt;0,C1256+1,C1256)</f>
        <v>0</v>
      </c>
      <c r="D1265" s="2203"/>
      <c r="E1265" s="2361" t="s">
        <v>6131</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5" outlineLevel="1">
      <c r="A1266" s="2126" t="str">
        <f>A1265</f>
        <v/>
      </c>
      <c r="B1266" s="2205"/>
      <c r="C1266" s="2202"/>
      <c r="D1266" s="2203"/>
      <c r="E1266" s="2211" t="s">
        <v>6037</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ht="15" outlineLevel="1">
      <c r="A1267" s="2126" t="str">
        <f>IF(G1267&lt;&gt;0,1,"")</f>
        <v/>
      </c>
      <c r="B1267" s="2196" t="s">
        <v>6132</v>
      </c>
      <c r="C1267" s="2202"/>
      <c r="D1267" s="2096">
        <v>0</v>
      </c>
      <c r="E1267" s="2138" t="s">
        <v>5161</v>
      </c>
      <c r="F1267" s="2096" t="s">
        <v>5092</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ht="15"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ht="15" outlineLevel="1">
      <c r="A1269" s="2126" t="str">
        <f>IF(G1269&lt;&gt;0,1,"")</f>
        <v/>
      </c>
      <c r="B1269" s="2065" t="s">
        <v>5342</v>
      </c>
      <c r="C1269" s="2202"/>
      <c r="D1269" s="2096" t="s">
        <v>5343</v>
      </c>
      <c r="E1269" s="2138" t="s">
        <v>5344</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ht="15" outlineLevel="1">
      <c r="A1270" s="2126" t="str">
        <f>IF(G1270&lt;&gt;0,1,"")</f>
        <v/>
      </c>
      <c r="B1270" s="2205"/>
      <c r="C1270" s="2202">
        <f>IF(G1270&gt;0,C1257+1,C1257)</f>
        <v>0</v>
      </c>
      <c r="D1270" s="2203"/>
      <c r="E1270" s="2361" t="s">
        <v>6123</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5" outlineLevel="1">
      <c r="A1271" s="2126" t="str">
        <f>A1270</f>
        <v/>
      </c>
      <c r="B1271" s="2205"/>
      <c r="C1271" s="2202"/>
      <c r="D1271" s="2203"/>
      <c r="E1271" s="2211" t="s">
        <v>6037</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ht="15" outlineLevel="1">
      <c r="A1272" s="2126" t="str">
        <f>IF(G1272&lt;&gt;0,1,"")</f>
        <v/>
      </c>
      <c r="B1272" s="2077" t="s">
        <v>5073</v>
      </c>
      <c r="C1272" s="2202"/>
      <c r="D1272" s="2096">
        <v>0</v>
      </c>
      <c r="E1272" s="2138" t="s">
        <v>5074</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ht="15" outlineLevel="1">
      <c r="A1273" s="2126" t="str">
        <f>IF(G1273&lt;&gt;0,1,"")</f>
        <v/>
      </c>
      <c r="B1273" s="2074" t="s">
        <v>486</v>
      </c>
      <c r="C1273" s="2202"/>
      <c r="D1273" s="2096">
        <v>0</v>
      </c>
      <c r="E1273" s="2138" t="s">
        <v>4996</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ht="15"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ht="15" outlineLevel="1">
      <c r="A1275" s="2126" t="str">
        <f>IF(G1275&lt;&gt;0,1,"")</f>
        <v/>
      </c>
      <c r="B1275" s="2065" t="s">
        <v>5291</v>
      </c>
      <c r="C1275" s="2202"/>
      <c r="D1275" s="2096" t="s">
        <v>5066</v>
      </c>
      <c r="E1275" s="2138" t="s">
        <v>5292</v>
      </c>
      <c r="F1275" s="2096" t="s">
        <v>2433</v>
      </c>
      <c r="G1275" s="2370">
        <f>+G1270</f>
        <v>0</v>
      </c>
      <c r="H1275" s="2208">
        <v>0</v>
      </c>
      <c r="I1275" s="2303"/>
      <c r="J1275" s="2303" t="s">
        <v>6255</v>
      </c>
      <c r="K1275" s="2303"/>
      <c r="L1275" s="2304">
        <f t="shared" si="218"/>
        <v>0</v>
      </c>
      <c r="M1275" s="2304"/>
      <c r="N1275" s="2303">
        <v>0</v>
      </c>
      <c r="O1275" s="2304"/>
      <c r="P1275" s="2209"/>
      <c r="Q1275" s="2210"/>
      <c r="R1275" s="2210"/>
      <c r="S1275" s="2210"/>
    </row>
    <row r="1276" spans="1:20" s="2049" customFormat="1" ht="15" outlineLevel="1">
      <c r="A1276" s="2126" t="str">
        <f>IF(G1276&lt;&gt;0,1,"")</f>
        <v/>
      </c>
      <c r="B1276" s="2205"/>
      <c r="C1276" s="2202">
        <f>IF(G1276&gt;0,C1265+1,C1265)</f>
        <v>0</v>
      </c>
      <c r="D1276" s="2203"/>
      <c r="E1276" s="2361" t="s">
        <v>6125</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5" outlineLevel="1">
      <c r="A1277" s="2126" t="str">
        <f>A1276</f>
        <v/>
      </c>
      <c r="B1277" s="2205"/>
      <c r="C1277" s="2202"/>
      <c r="D1277" s="2203"/>
      <c r="E1277" s="2211" t="s">
        <v>6037</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ht="15"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ht="15"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ht="15"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ht="15" outlineLevel="1">
      <c r="A1281" s="2126" t="str">
        <f>IF(G1281&lt;&gt;0,1,"")</f>
        <v/>
      </c>
      <c r="B1281" s="2065" t="s">
        <v>5342</v>
      </c>
      <c r="C1281" s="2202"/>
      <c r="D1281" s="2096" t="s">
        <v>5343</v>
      </c>
      <c r="E1281" s="2138" t="s">
        <v>5344</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ht="15"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5" outlineLevel="1">
      <c r="A1283" s="2126" t="str">
        <f>+A1282</f>
        <v/>
      </c>
      <c r="B1283" s="2362"/>
      <c r="C1283" s="2202"/>
      <c r="D1283" s="2203"/>
      <c r="E1283" s="2211" t="s">
        <v>6037</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ht="15"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ht="15" outlineLevel="1">
      <c r="A1285" s="2126" t="str">
        <f t="shared" si="221"/>
        <v/>
      </c>
      <c r="B1285" s="2196" t="s">
        <v>1504</v>
      </c>
      <c r="C1285" s="2202"/>
      <c r="D1285" s="2096">
        <v>0</v>
      </c>
      <c r="E1285" s="2138" t="s">
        <v>5081</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ht="15"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ht="15"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ht="15"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ht="15" outlineLevel="1">
      <c r="A1289" s="2126" t="str">
        <f>IF(G1289&lt;&gt;0,1,"")</f>
        <v/>
      </c>
      <c r="B1289" s="2205" t="s">
        <v>6097</v>
      </c>
      <c r="C1289" s="2363"/>
      <c r="D1289" s="2096" t="s">
        <v>5639</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ht="15" outlineLevel="1">
      <c r="A1290" s="2126" t="str">
        <f t="shared" si="221"/>
        <v/>
      </c>
      <c r="B1290" s="2205" t="s">
        <v>6098</v>
      </c>
      <c r="C1290" s="2363"/>
      <c r="D1290" s="2096" t="s">
        <v>5640</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ht="15"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ht="15" outlineLevel="1">
      <c r="A1292" s="2126" t="str">
        <f t="shared" si="221"/>
        <v/>
      </c>
      <c r="B1292" s="2196" t="s">
        <v>523</v>
      </c>
      <c r="C1292" s="2202"/>
      <c r="D1292" s="2096">
        <v>0</v>
      </c>
      <c r="E1292" s="2138" t="s">
        <v>5170</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ht="15" outlineLevel="1">
      <c r="A1293" s="2126" t="str">
        <f t="shared" si="221"/>
        <v/>
      </c>
      <c r="B1293" s="2074" t="s">
        <v>5099</v>
      </c>
      <c r="C1293" s="2202"/>
      <c r="D1293" s="2096">
        <v>0</v>
      </c>
      <c r="E1293" s="2138" t="s">
        <v>5100</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ht="15" outlineLevel="1">
      <c r="A1294" s="2126" t="str">
        <f t="shared" si="221"/>
        <v/>
      </c>
      <c r="B1294" s="2074" t="s">
        <v>5101</v>
      </c>
      <c r="C1294" s="2202"/>
      <c r="D1294" s="2096">
        <v>0</v>
      </c>
      <c r="E1294" s="2138" t="s">
        <v>5102</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ht="15" outlineLevel="1">
      <c r="A1295" s="2126" t="str">
        <f t="shared" si="221"/>
        <v/>
      </c>
      <c r="B1295" s="2196" t="s">
        <v>1581</v>
      </c>
      <c r="C1295" s="2202"/>
      <c r="D1295" s="2096">
        <v>0</v>
      </c>
      <c r="E1295" s="2138" t="s">
        <v>5628</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ht="15" outlineLevel="1">
      <c r="A1296" s="2126">
        <f>IF(G1296=0,0,1)</f>
        <v>0</v>
      </c>
      <c r="B1296" s="2196" t="s">
        <v>791</v>
      </c>
      <c r="C1296" s="2212"/>
      <c r="D1296" s="2096" t="s">
        <v>5253</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ht="15" outlineLevel="1">
      <c r="A1297" s="2126">
        <f>IF(G1297=0,0,1)</f>
        <v>0</v>
      </c>
      <c r="B1297" s="2196" t="s">
        <v>1052</v>
      </c>
      <c r="C1297" s="2212"/>
      <c r="D1297" s="2096" t="s">
        <v>5242</v>
      </c>
      <c r="E1297" s="2138" t="s">
        <v>5254</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ht="15" outlineLevel="1">
      <c r="A1298" s="2126">
        <f>IF(G1298=0,0,1)</f>
        <v>0</v>
      </c>
      <c r="B1298" s="2196" t="s">
        <v>899</v>
      </c>
      <c r="C1298" s="2212"/>
      <c r="D1298" s="2096" t="s">
        <v>5268</v>
      </c>
      <c r="E1298" s="2138" t="s">
        <v>5269</v>
      </c>
      <c r="F1298" s="2096" t="s">
        <v>2272</v>
      </c>
      <c r="G1298" s="2370">
        <f>G1285</f>
        <v>0</v>
      </c>
      <c r="H1298" s="2208">
        <v>0</v>
      </c>
      <c r="I1298" s="2208"/>
      <c r="J1298" s="2208" t="s">
        <v>6216</v>
      </c>
      <c r="K1298" s="2208">
        <v>0</v>
      </c>
      <c r="L1298" s="2208">
        <f>H1298*$G1298</f>
        <v>0</v>
      </c>
      <c r="M1298" s="2208">
        <f>I1298*$G1298</f>
        <v>0</v>
      </c>
      <c r="N1298" s="2208">
        <v>0</v>
      </c>
      <c r="O1298" s="2208">
        <f>K1298*$G1298</f>
        <v>0</v>
      </c>
      <c r="P1298" s="2333"/>
      <c r="Q1298" s="2210"/>
      <c r="R1298" s="2210"/>
      <c r="S1298" s="2210"/>
    </row>
    <row r="1299" spans="1:20" s="2049" customFormat="1" ht="15" outlineLevel="1">
      <c r="A1299" s="2126" t="str">
        <f>IF(G1299&lt;&gt;0,1,"")</f>
        <v/>
      </c>
      <c r="B1299" s="2196" t="s">
        <v>1433</v>
      </c>
      <c r="C1299" s="2202"/>
      <c r="D1299" s="2096" t="s">
        <v>5263</v>
      </c>
      <c r="E1299" s="2138" t="s">
        <v>5264</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ht="15" outlineLevel="1">
      <c r="A1300" s="2126" t="str">
        <f>IF(G1300&lt;&gt;0,1,"")</f>
        <v/>
      </c>
      <c r="B1300" s="2205"/>
      <c r="C1300" s="2202">
        <f>IF(G1300&gt;0,C1282+1,C1282)</f>
        <v>0</v>
      </c>
      <c r="D1300" s="2203"/>
      <c r="E1300" s="2206" t="s">
        <v>6126</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5" outlineLevel="1">
      <c r="A1301" s="2126" t="str">
        <f>A1300</f>
        <v/>
      </c>
      <c r="B1301" s="2205"/>
      <c r="C1301" s="2202"/>
      <c r="D1301" s="2203"/>
      <c r="E1301" s="2211" t="s">
        <v>6037</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ht="15" outlineLevel="1">
      <c r="A1302" s="2126" t="str">
        <f>IF(G1302&lt;&gt;0,1,"")</f>
        <v/>
      </c>
      <c r="B1302" s="2205" t="s">
        <v>650</v>
      </c>
      <c r="C1302" s="2212"/>
      <c r="D1302" s="2096">
        <v>0</v>
      </c>
      <c r="E1302" s="2138" t="s">
        <v>5207</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ht="15"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ht="15"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ht="15" outlineLevel="1">
      <c r="A1305" s="2126" t="str">
        <f>IF(G1305&lt;&gt;0,1,"")</f>
        <v/>
      </c>
      <c r="B1305" s="2205" t="s">
        <v>651</v>
      </c>
      <c r="C1305" s="2212"/>
      <c r="D1305" s="2096" t="s">
        <v>5388</v>
      </c>
      <c r="E1305" s="2138" t="s">
        <v>5391</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ht="15" outlineLevel="1">
      <c r="A1306" s="2126" t="str">
        <f>IF(G1306&lt;&gt;0,1,"")</f>
        <v/>
      </c>
      <c r="B1306" s="2205"/>
      <c r="C1306" s="2202">
        <f>IF(G1306&gt;0,C1300+1,C1300)</f>
        <v>0</v>
      </c>
      <c r="D1306" s="2203"/>
      <c r="E1306" s="2320" t="s">
        <v>6113</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5" outlineLevel="1">
      <c r="A1307" s="2126" t="str">
        <f>A1306</f>
        <v/>
      </c>
      <c r="B1307" s="2205"/>
      <c r="C1307" s="2202"/>
      <c r="D1307" s="2203"/>
      <c r="E1307" s="2211" t="s">
        <v>6037</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ht="15" outlineLevel="1">
      <c r="A1308" s="2126" t="str">
        <f>IF(G1308&lt;&gt;0,1,"")</f>
        <v/>
      </c>
      <c r="B1308" s="2124" t="s">
        <v>835</v>
      </c>
      <c r="C1308" s="2212"/>
      <c r="D1308" s="2096"/>
      <c r="E1308" s="2138" t="s">
        <v>5574</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ht="15" outlineLevel="1">
      <c r="A1309" s="2126" t="str">
        <f>IF(G1309&lt;&gt;0,1,"")</f>
        <v/>
      </c>
      <c r="B1309" s="2124" t="s">
        <v>5558</v>
      </c>
      <c r="C1309" s="2202"/>
      <c r="D1309" s="2096" t="s">
        <v>5548</v>
      </c>
      <c r="E1309" s="2138" t="s">
        <v>5559</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ht="15" outlineLevel="1">
      <c r="A1310" s="2126" t="str">
        <f>IF(G1310&lt;&gt;0,1,"")</f>
        <v/>
      </c>
      <c r="B1310" s="2205" t="s">
        <v>288</v>
      </c>
      <c r="C1310" s="2212"/>
      <c r="D1310" s="2096"/>
      <c r="E1310" s="2138" t="s">
        <v>5627</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ht="15"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5" outlineLevel="1">
      <c r="A1312" s="2126" t="str">
        <f>A1311</f>
        <v/>
      </c>
      <c r="B1312" s="2205"/>
      <c r="C1312" s="2202"/>
      <c r="D1312" s="2203"/>
      <c r="E1312" s="2218" t="s">
        <v>6037</v>
      </c>
      <c r="F1312" s="2202"/>
      <c r="G1312" s="2174"/>
      <c r="H1312" s="2208"/>
      <c r="I1312" s="2208"/>
      <c r="J1312" s="2208"/>
      <c r="K1312" s="2208"/>
      <c r="L1312" s="2208"/>
      <c r="M1312" s="2208"/>
      <c r="N1312" s="2208"/>
      <c r="O1312" s="2208"/>
      <c r="P1312" s="2333"/>
      <c r="Q1312" s="2210"/>
      <c r="R1312" s="2210"/>
      <c r="S1312" s="2210"/>
    </row>
    <row r="1313" spans="1:20" s="2049" customFormat="1" ht="15" outlineLevel="1">
      <c r="A1313" s="2126" t="str">
        <f>IF(G1313&lt;&gt;0,1,"")</f>
        <v/>
      </c>
      <c r="B1313" s="2196" t="s">
        <v>694</v>
      </c>
      <c r="C1313" s="2212"/>
      <c r="D1313" s="2096">
        <v>0</v>
      </c>
      <c r="E1313" s="2138" t="s">
        <v>5005</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ht="15" outlineLevel="1">
      <c r="A1314" s="2126" t="str">
        <f>IF(G1314&lt;&gt;0,1,"")</f>
        <v/>
      </c>
      <c r="B1314" s="2196" t="s">
        <v>5614</v>
      </c>
      <c r="C1314" s="2212"/>
      <c r="D1314" s="2096">
        <v>0</v>
      </c>
      <c r="E1314" s="2138" t="s">
        <v>5615</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ht="15" outlineLevel="1">
      <c r="A1315" s="2126" t="str">
        <f>IF(G1315&lt;&gt;0,1,"")</f>
        <v/>
      </c>
      <c r="B1315" s="2196" t="s">
        <v>5620</v>
      </c>
      <c r="C1315" s="2212"/>
      <c r="D1315" s="2096">
        <v>0</v>
      </c>
      <c r="E1315" s="2138" t="s">
        <v>5621</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ht="15" outlineLevel="1">
      <c r="A1316" s="2126" t="str">
        <f>IF(G1316&lt;&gt;0,1,"")</f>
        <v/>
      </c>
      <c r="B1316" s="2196" t="s">
        <v>5622</v>
      </c>
      <c r="C1316" s="2212"/>
      <c r="D1316" s="2096">
        <v>0</v>
      </c>
      <c r="E1316" s="2138" t="s">
        <v>5623</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ht="15" outlineLevel="1">
      <c r="A1317" s="2126" t="str">
        <f>IF(G1317&lt;&gt;0,1,"")</f>
        <v/>
      </c>
      <c r="B1317" s="2373" t="s">
        <v>5619</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ht="15"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ht="15" outlineLevel="1">
      <c r="A1319" s="2126" t="str">
        <f t="shared" si="229"/>
        <v/>
      </c>
      <c r="B1319" s="2301" t="s">
        <v>1473</v>
      </c>
      <c r="C1319" s="2212"/>
      <c r="D1319" s="2096"/>
      <c r="E1319" s="2138" t="s">
        <v>6250</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ht="15"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ht="15"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ht="15" outlineLevel="1">
      <c r="A1322" s="2126" t="str">
        <f>IF(G1322&lt;&gt;0,1,"")</f>
        <v/>
      </c>
      <c r="B1322" s="2196" t="s">
        <v>1561</v>
      </c>
      <c r="C1322" s="2212"/>
      <c r="D1322" s="2096" t="s">
        <v>5477</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ht="15" outlineLevel="1">
      <c r="A1323" s="2126" t="str">
        <f>IF(G1323&lt;&gt;0,1,"")</f>
        <v/>
      </c>
      <c r="B1323" s="2196" t="s">
        <v>1521</v>
      </c>
      <c r="C1323" s="2212"/>
      <c r="D1323" s="2096" t="s">
        <v>5487</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ht="15"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5" outlineLevel="1">
      <c r="A1325" s="2126" t="str">
        <f>A1324</f>
        <v/>
      </c>
      <c r="B1325" s="2205"/>
      <c r="C1325" s="2202"/>
      <c r="D1325" s="2203"/>
      <c r="E1325" s="2218" t="s">
        <v>6037</v>
      </c>
      <c r="F1325" s="2202"/>
      <c r="G1325" s="2174"/>
      <c r="H1325" s="2208"/>
      <c r="I1325" s="2208"/>
      <c r="J1325" s="2208"/>
      <c r="K1325" s="2208"/>
      <c r="L1325" s="2208"/>
      <c r="M1325" s="2208"/>
      <c r="N1325" s="2208"/>
      <c r="O1325" s="2208"/>
      <c r="P1325" s="2209"/>
      <c r="Q1325" s="2210"/>
      <c r="R1325" s="2210"/>
      <c r="S1325" s="2210"/>
    </row>
    <row r="1326" spans="1:20" s="2049" customFormat="1" ht="15"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ht="15" outlineLevel="1">
      <c r="A1327" s="2126" t="str">
        <f>IF(G1327&lt;&gt;0,1,"")</f>
        <v/>
      </c>
      <c r="B1327" s="2205" t="s">
        <v>86</v>
      </c>
      <c r="C1327" s="2212"/>
      <c r="D1327" s="2096">
        <v>0</v>
      </c>
      <c r="E1327" s="2138" t="s">
        <v>5711</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ht="15"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ht="15"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ht="15" outlineLevel="1">
      <c r="A1330" s="2223" t="str">
        <f>IF(G1330&lt;&gt;0,1,"")</f>
        <v/>
      </c>
      <c r="B1330" s="2374"/>
      <c r="C1330" s="2202">
        <f>IF(G1330&gt;0,C1324+1,C1324)</f>
        <v>0</v>
      </c>
      <c r="D1330" s="2203"/>
      <c r="E1330" s="2204" t="s">
        <v>6127</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5" outlineLevel="1">
      <c r="A1331" s="2126" t="str">
        <f>A1330</f>
        <v/>
      </c>
      <c r="B1331" s="2196"/>
      <c r="C1331" s="2202"/>
      <c r="D1331" s="2203"/>
      <c r="E1331" s="2218" t="s">
        <v>6037</v>
      </c>
      <c r="F1331" s="2202"/>
      <c r="G1331" s="2370"/>
      <c r="H1331" s="2208"/>
      <c r="I1331" s="2208"/>
      <c r="J1331" s="2208"/>
      <c r="K1331" s="2208"/>
      <c r="L1331" s="2208"/>
      <c r="M1331" s="2208"/>
      <c r="N1331" s="2208"/>
      <c r="O1331" s="2208"/>
      <c r="P1331" s="2333"/>
      <c r="Q1331" s="2210"/>
      <c r="R1331" s="2210"/>
      <c r="S1331" s="2210"/>
    </row>
    <row r="1332" spans="1:20" s="2049" customFormat="1" ht="15"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ht="15"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ht="15"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ht="15" outlineLevel="1">
      <c r="A1335" s="2126" t="str">
        <f t="shared" si="234"/>
        <v/>
      </c>
      <c r="B1335" s="2205" t="s">
        <v>6087</v>
      </c>
      <c r="C1335" s="2212"/>
      <c r="D1335" s="2096" t="s">
        <v>5642</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ht="15" outlineLevel="1">
      <c r="A1336" s="2126" t="str">
        <f t="shared" si="234"/>
        <v/>
      </c>
      <c r="B1336" s="2205" t="s">
        <v>6082</v>
      </c>
      <c r="C1336" s="2212"/>
      <c r="D1336" s="2096" t="s">
        <v>5640</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ht="15"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ht="15"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ht="15"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ht="15" outlineLevel="1">
      <c r="A1340" s="2126" t="str">
        <f t="shared" si="234"/>
        <v/>
      </c>
      <c r="B1340" s="2196" t="s">
        <v>728</v>
      </c>
      <c r="C1340" s="2212"/>
      <c r="D1340" s="2096">
        <v>0</v>
      </c>
      <c r="E1340" s="2138" t="s">
        <v>5176</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ht="15"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ht="15"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ht="15" outlineLevel="1">
      <c r="A1343" s="2126" t="str">
        <f t="shared" si="234"/>
        <v/>
      </c>
      <c r="B1343" s="2065" t="s">
        <v>1735</v>
      </c>
      <c r="C1343" s="2212"/>
      <c r="D1343" s="2096">
        <v>0</v>
      </c>
      <c r="E1343" s="2138" t="s">
        <v>5709</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ht="15" outlineLevel="1">
      <c r="A1344" s="2126" t="str">
        <f t="shared" si="234"/>
        <v/>
      </c>
      <c r="B1344" s="2378" t="s">
        <v>5701</v>
      </c>
      <c r="C1344" s="2212"/>
      <c r="D1344" s="2096"/>
      <c r="E1344" s="2138" t="s">
        <v>5702</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ht="15" outlineLevel="1">
      <c r="A1345" s="2126" t="str">
        <f t="shared" si="234"/>
        <v/>
      </c>
      <c r="B1345" s="2124" t="s">
        <v>5705</v>
      </c>
      <c r="C1345" s="2212"/>
      <c r="D1345" s="2096">
        <v>0</v>
      </c>
      <c r="E1345" s="2138" t="s">
        <v>5706</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ht="15" outlineLevel="1">
      <c r="A1346" s="2126" t="str">
        <f t="shared" si="234"/>
        <v/>
      </c>
      <c r="B1346" s="2379" t="s">
        <v>5171</v>
      </c>
      <c r="C1346" s="2212"/>
      <c r="D1346" s="2096">
        <v>0</v>
      </c>
      <c r="E1346" s="2138" t="s">
        <v>5172</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ht="15" outlineLevel="1">
      <c r="A1347" s="2126" t="str">
        <f t="shared" si="234"/>
        <v/>
      </c>
      <c r="B1347" s="2378" t="s">
        <v>6133</v>
      </c>
      <c r="C1347" s="2212"/>
      <c r="D1347" s="2096">
        <v>0</v>
      </c>
      <c r="E1347" s="2138" t="s">
        <v>5722</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ht="15" outlineLevel="1">
      <c r="A1348" s="2126" t="str">
        <f t="shared" si="234"/>
        <v/>
      </c>
      <c r="B1348" s="2378" t="s">
        <v>6134</v>
      </c>
      <c r="C1348" s="2212"/>
      <c r="D1348" s="2096"/>
      <c r="E1348" s="2138" t="s">
        <v>5726</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ht="15" outlineLevel="1">
      <c r="A1349" s="2126" t="str">
        <f>IF(G1349&lt;&gt;0,1,"")</f>
        <v/>
      </c>
      <c r="B1349" s="2379" t="s">
        <v>6</v>
      </c>
      <c r="C1349" s="2212"/>
      <c r="D1349" s="2096">
        <v>0</v>
      </c>
      <c r="E1349" s="2138" t="s">
        <v>3552</v>
      </c>
      <c r="F1349" s="2096" t="s">
        <v>5720</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ht="15" outlineLevel="1">
      <c r="A1350" s="2126" t="str">
        <f>IF(G1350&lt;&gt;0,1,"")</f>
        <v/>
      </c>
      <c r="B1350" s="2196" t="s">
        <v>669</v>
      </c>
      <c r="C1350" s="2212"/>
      <c r="D1350" s="2096">
        <v>0</v>
      </c>
      <c r="E1350" s="2138" t="s">
        <v>5715</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ht="15" outlineLevel="1">
      <c r="A1351" s="2126" t="str">
        <f>IF(G1351&lt;&gt;0,1,"")</f>
        <v/>
      </c>
      <c r="B1351" s="2196" t="s">
        <v>1521</v>
      </c>
      <c r="C1351" s="2212"/>
      <c r="D1351" s="2096" t="s">
        <v>5487</v>
      </c>
      <c r="E1351" s="2138" t="s">
        <v>6256</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ht="15" outlineLevel="1">
      <c r="A1352" s="2126" t="str">
        <f>IF(G1352&lt;&gt;0,1,"")</f>
        <v/>
      </c>
      <c r="B1352" s="2196" t="s">
        <v>2001</v>
      </c>
      <c r="C1352" s="2212"/>
      <c r="D1352" s="2096" t="s">
        <v>5488</v>
      </c>
      <c r="E1352" s="2138" t="s">
        <v>6254</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ht="15" outlineLevel="1">
      <c r="A1353" s="2126" t="str">
        <f>A1100</f>
        <v/>
      </c>
      <c r="B1353" s="2301"/>
      <c r="C1353" s="2367"/>
      <c r="D1353" s="2368"/>
      <c r="E1353" s="2343"/>
      <c r="F1353" s="2581"/>
      <c r="G1353" s="2582"/>
      <c r="H1353" s="2581"/>
      <c r="I1353" s="2581"/>
      <c r="J1353" s="2591" t="s">
        <v>6035</v>
      </c>
      <c r="K1353" s="2591"/>
      <c r="L1353" s="2369">
        <f>SUM(L1239:L1352)</f>
        <v>0</v>
      </c>
      <c r="M1353" s="2369">
        <f>SUM(M1239:M1352)</f>
        <v>0</v>
      </c>
      <c r="N1353" s="2369">
        <f>SUM(N1239:N1352)</f>
        <v>0</v>
      </c>
      <c r="O1353" s="2369">
        <f>SUM(O1239:O1352)</f>
        <v>0</v>
      </c>
      <c r="P1353" s="2340"/>
      <c r="Q1353" s="2210"/>
      <c r="R1353" s="2210"/>
      <c r="S1353" s="2210"/>
    </row>
    <row r="1354" spans="1:19" s="2049" customFormat="1" ht="13.9"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ht="15"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ht="15" outlineLevel="1">
      <c r="A1356" s="2126">
        <f>A1354</f>
        <v>0</v>
      </c>
      <c r="B1356" s="2205" t="s">
        <v>6016</v>
      </c>
      <c r="C1356" s="2592" t="s">
        <v>1704</v>
      </c>
      <c r="D1356" s="2593" t="s">
        <v>2589</v>
      </c>
      <c r="E1356" s="2595" t="s">
        <v>2590</v>
      </c>
      <c r="F1356" s="2592" t="s">
        <v>2585</v>
      </c>
      <c r="G1356" s="2053" t="s">
        <v>6017</v>
      </c>
      <c r="H1356" s="2056" t="s">
        <v>6018</v>
      </c>
      <c r="I1356" s="2563"/>
      <c r="J1356" s="2563"/>
      <c r="K1356" s="2564"/>
      <c r="L1356" s="2056" t="s">
        <v>6019</v>
      </c>
      <c r="M1356" s="2563"/>
      <c r="N1356" s="2563"/>
      <c r="O1356" s="2564"/>
      <c r="P1356" s="2477" t="s">
        <v>2591</v>
      </c>
      <c r="Q1356" s="2210"/>
      <c r="R1356" s="2210"/>
      <c r="S1356" s="2210"/>
    </row>
    <row r="1357" spans="1:19" s="2049" customFormat="1" ht="15" outlineLevel="1">
      <c r="A1357" s="2126">
        <f>A1356</f>
        <v>0</v>
      </c>
      <c r="B1357" s="2205"/>
      <c r="C1357" s="2592"/>
      <c r="D1357" s="2594"/>
      <c r="E1357" s="2596"/>
      <c r="F1357" s="2592"/>
      <c r="G1357" s="2055" t="s">
        <v>2280</v>
      </c>
      <c r="H1357" s="2056" t="s">
        <v>6020</v>
      </c>
      <c r="I1357" s="2056" t="s">
        <v>6021</v>
      </c>
      <c r="J1357" s="2056" t="s">
        <v>6022</v>
      </c>
      <c r="K1357" s="2056" t="s">
        <v>6023</v>
      </c>
      <c r="L1357" s="2056" t="s">
        <v>6020</v>
      </c>
      <c r="M1357" s="2056" t="s">
        <v>6021</v>
      </c>
      <c r="N1357" s="2056" t="s">
        <v>6022</v>
      </c>
      <c r="O1357" s="2056" t="s">
        <v>6023</v>
      </c>
      <c r="P1357" s="2477"/>
      <c r="Q1357" s="2210"/>
      <c r="R1357" s="2210"/>
      <c r="S1357" s="2210"/>
    </row>
    <row r="1358" spans="1:19" s="2049" customFormat="1" ht="15"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ht="15" outlineLevel="1">
      <c r="A1359" s="2126" t="str">
        <f t="shared" ref="A1359:A1368" si="239">IF(G1359&lt;&gt;0,1,"")</f>
        <v/>
      </c>
      <c r="B1359" s="2196" t="str">
        <f>IF($F$8=15,"tr250","tr2501")</f>
        <v>tr2501</v>
      </c>
      <c r="C1359" s="2212">
        <f>IF(G1359&gt;0,1,0)</f>
        <v>0</v>
      </c>
      <c r="D1359" s="2096" t="s">
        <v>5506</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ht="15" outlineLevel="1">
      <c r="A1360" s="2126" t="str">
        <f t="shared" si="239"/>
        <v/>
      </c>
      <c r="B1360" s="2062" t="str">
        <f>"FCO100-"&amp;$F$8</f>
        <v>FCO100-22</v>
      </c>
      <c r="C1360" s="2212">
        <f>IF(G1360&gt;0,C1359+1,C1359)</f>
        <v>0</v>
      </c>
      <c r="D1360" s="2096" t="s">
        <v>5513</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ht="15"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ht="15" outlineLevel="1">
      <c r="A1362" s="2126" t="str">
        <f t="shared" si="239"/>
        <v/>
      </c>
      <c r="B1362" s="2205" t="str">
        <f>"LA"&amp;$F$6</f>
        <v>LA18</v>
      </c>
      <c r="C1362" s="2212">
        <f t="shared" si="244"/>
        <v>0</v>
      </c>
      <c r="D1362" s="2096" t="s">
        <v>5517</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ht="15" outlineLevel="1">
      <c r="A1363" s="2126" t="str">
        <f t="shared" si="239"/>
        <v/>
      </c>
      <c r="B1363" s="2301" t="s">
        <v>949</v>
      </c>
      <c r="C1363" s="2212">
        <f t="shared" si="244"/>
        <v>0</v>
      </c>
      <c r="D1363" s="2096" t="s">
        <v>5600</v>
      </c>
      <c r="E1363" s="2138" t="s">
        <v>5601</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ht="15" outlineLevel="1">
      <c r="A1364" s="2126" t="str">
        <f>IF(G1364&lt;&gt;0,1,"")</f>
        <v/>
      </c>
      <c r="B1364" s="2301" t="s">
        <v>949</v>
      </c>
      <c r="C1364" s="2212">
        <f>IF(G1364&gt;0,C1363+1,C1363)</f>
        <v>0</v>
      </c>
      <c r="D1364" s="2096" t="s">
        <v>5600</v>
      </c>
      <c r="E1364" s="2138" t="s">
        <v>5601</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ht="15" outlineLevel="1">
      <c r="A1365" s="2126" t="str">
        <f t="shared" si="239"/>
        <v/>
      </c>
      <c r="B1365" s="2301" t="s">
        <v>6135</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ht="15"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ht="15"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ht="15"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ht="15" outlineLevel="1">
      <c r="A1369" s="2126">
        <f>A1354</f>
        <v>0</v>
      </c>
      <c r="B1369" s="2205"/>
      <c r="C1369" s="2337"/>
      <c r="D1369" s="2338"/>
      <c r="E1369" s="2339"/>
      <c r="F1369" s="2337"/>
      <c r="G1369" s="2389"/>
      <c r="H1369" s="2337"/>
      <c r="I1369" s="2337"/>
      <c r="J1369" s="2061" t="s">
        <v>6025</v>
      </c>
      <c r="K1369" s="2337"/>
      <c r="L1369" s="2339">
        <f>SUM(L1359:L1368)</f>
        <v>0</v>
      </c>
      <c r="M1369" s="2339">
        <f>SUM(M1359:M1368)</f>
        <v>0</v>
      </c>
      <c r="N1369" s="2339">
        <f>SUM(N1359:N1368)</f>
        <v>0</v>
      </c>
      <c r="O1369" s="2339">
        <f>SUM(O1359:O1368)</f>
        <v>0</v>
      </c>
      <c r="P1369" s="2390"/>
      <c r="Q1369" s="2210"/>
      <c r="R1369" s="2210"/>
      <c r="S1369" s="2210"/>
    </row>
    <row r="1370" spans="1:19" s="2049" customFormat="1" ht="15"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ht="15" outlineLevel="1">
      <c r="A1371" s="2126" t="str">
        <f t="shared" ref="A1371:A1389" si="245">IF(G1371&lt;&gt;0,1,"")</f>
        <v/>
      </c>
      <c r="B1371" s="2345"/>
      <c r="C1371" s="2346">
        <f>IF(G1371&gt;0,1,0)</f>
        <v>0</v>
      </c>
      <c r="D1371" s="2096"/>
      <c r="E1371" s="2347" t="s">
        <v>6136</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ht="15"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ht="15"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ht="15"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ht="15" outlineLevel="1">
      <c r="A1375" s="2126" t="str">
        <f t="shared" si="245"/>
        <v/>
      </c>
      <c r="B1375" s="2345"/>
      <c r="C1375" s="2346">
        <f>IF(G1375&gt;0,1,0)</f>
        <v>0</v>
      </c>
      <c r="D1375" s="2096"/>
      <c r="E1375" s="2347" t="s">
        <v>6121</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ht="15"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ht="15"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ht="15"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ht="15"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ht="15" outlineLevel="1">
      <c r="A1380" s="2126" t="str">
        <f t="shared" si="245"/>
        <v/>
      </c>
      <c r="B1380" s="2301" t="s">
        <v>633</v>
      </c>
      <c r="C1380" s="2351"/>
      <c r="D1380" s="2096" t="s">
        <v>4965</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ht="15" outlineLevel="1">
      <c r="A1381" s="2126" t="str">
        <f t="shared" si="245"/>
        <v/>
      </c>
      <c r="B1381" s="2301" t="s">
        <v>564</v>
      </c>
      <c r="C1381" s="2351"/>
      <c r="D1381" s="2096"/>
      <c r="E1381" s="2352" t="s">
        <v>4990</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ht="15" outlineLevel="1">
      <c r="A1382" s="2126" t="str">
        <f t="shared" si="245"/>
        <v/>
      </c>
      <c r="B1382" s="2301" t="s">
        <v>636</v>
      </c>
      <c r="C1382" s="2351"/>
      <c r="D1382" s="2096" t="s">
        <v>1742</v>
      </c>
      <c r="E1382" s="2352" t="s">
        <v>5241</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ht="15" outlineLevel="1">
      <c r="A1383" s="2126" t="str">
        <f t="shared" si="245"/>
        <v/>
      </c>
      <c r="B1383" s="2301" t="s">
        <v>21</v>
      </c>
      <c r="C1383" s="2351"/>
      <c r="D1383" s="2096" t="s">
        <v>5242</v>
      </c>
      <c r="E1383" s="2352" t="s">
        <v>5243</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ht="15"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ht="15" outlineLevel="1">
      <c r="A1385" s="2126" t="str">
        <f t="shared" si="245"/>
        <v/>
      </c>
      <c r="B1385" s="2301" t="s">
        <v>633</v>
      </c>
      <c r="C1385" s="2351"/>
      <c r="D1385" s="2096" t="s">
        <v>4965</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ht="15" outlineLevel="1">
      <c r="A1386" s="2126" t="str">
        <f t="shared" si="245"/>
        <v/>
      </c>
      <c r="B1386" s="2301" t="s">
        <v>564</v>
      </c>
      <c r="C1386" s="2351"/>
      <c r="D1386" s="2096"/>
      <c r="E1386" s="2352" t="s">
        <v>4990</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ht="15" outlineLevel="1">
      <c r="A1387" s="2126" t="str">
        <f t="shared" si="245"/>
        <v/>
      </c>
      <c r="B1387" s="2301" t="s">
        <v>636</v>
      </c>
      <c r="C1387" s="2351"/>
      <c r="D1387" s="2096" t="s">
        <v>1742</v>
      </c>
      <c r="E1387" s="2352" t="s">
        <v>5241</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ht="15" outlineLevel="1">
      <c r="A1388" s="2126" t="str">
        <f t="shared" si="245"/>
        <v/>
      </c>
      <c r="B1388" s="2301" t="s">
        <v>21</v>
      </c>
      <c r="C1388" s="2351"/>
      <c r="D1388" s="2096" t="s">
        <v>5242</v>
      </c>
      <c r="E1388" s="2352" t="s">
        <v>5243</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ht="15"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5" outlineLevel="1">
      <c r="A1390" s="2126" t="str">
        <f>A1389</f>
        <v/>
      </c>
      <c r="B1390" s="2205"/>
      <c r="C1390" s="2202"/>
      <c r="D1390" s="2358"/>
      <c r="E1390" s="2211" t="s">
        <v>6037</v>
      </c>
      <c r="F1390" s="2212"/>
      <c r="G1390" s="2394"/>
      <c r="H1390" s="2359"/>
      <c r="I1390" s="2359"/>
      <c r="J1390" s="2359"/>
      <c r="K1390" s="2359"/>
      <c r="L1390" s="2359"/>
      <c r="M1390" s="2359"/>
      <c r="N1390" s="2359"/>
      <c r="O1390" s="2359"/>
      <c r="P1390" s="2393"/>
      <c r="Q1390" s="2210"/>
      <c r="R1390" s="2210"/>
      <c r="S1390" s="2210"/>
    </row>
    <row r="1391" spans="1:19" s="2049" customFormat="1" ht="15" outlineLevel="1">
      <c r="A1391" s="2126" t="str">
        <f t="shared" ref="A1391:A1396" si="246">IF(G1391&lt;&gt;0,1,"")</f>
        <v/>
      </c>
      <c r="B1391" s="2196" t="s">
        <v>1404</v>
      </c>
      <c r="C1391" s="2202"/>
      <c r="D1391" s="2096">
        <v>0</v>
      </c>
      <c r="E1391" s="2138" t="s">
        <v>6257</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ht="15" outlineLevel="1">
      <c r="A1392" s="2126" t="str">
        <f t="shared" si="246"/>
        <v/>
      </c>
      <c r="B1392" s="2196" t="s">
        <v>1133</v>
      </c>
      <c r="C1392" s="2202"/>
      <c r="D1392" s="2096">
        <v>0</v>
      </c>
      <c r="E1392" s="2138" t="s">
        <v>6243</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ht="15" outlineLevel="1">
      <c r="A1393" s="2126" t="str">
        <f t="shared" si="246"/>
        <v/>
      </c>
      <c r="B1393" s="2196" t="s">
        <v>1134</v>
      </c>
      <c r="C1393" s="2202"/>
      <c r="D1393" s="2096">
        <v>0</v>
      </c>
      <c r="E1393" s="2138" t="s">
        <v>6244</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ht="15"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ht="15"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ht="15"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ht="15" outlineLevel="1">
      <c r="A1397" s="2126" t="str">
        <f>IF(G1397&lt;&gt;0,1,"")</f>
        <v/>
      </c>
      <c r="B1397" s="2196" t="s">
        <v>2237</v>
      </c>
      <c r="C1397" s="2202"/>
      <c r="D1397" s="2096" t="s">
        <v>5361</v>
      </c>
      <c r="E1397" s="2138" t="s">
        <v>2434</v>
      </c>
      <c r="F1397" s="2096" t="s">
        <v>2433</v>
      </c>
      <c r="G1397" s="2214">
        <f>+G1389*1*0</f>
        <v>0</v>
      </c>
      <c r="H1397" s="2303">
        <v>0</v>
      </c>
      <c r="I1397" s="2360"/>
      <c r="J1397" s="2303" t="s">
        <v>6246</v>
      </c>
      <c r="K1397" s="2303">
        <v>0</v>
      </c>
      <c r="L1397" s="2304">
        <f>H1397*G1397</f>
        <v>0</v>
      </c>
      <c r="M1397" s="2304">
        <f t="shared" si="248"/>
        <v>0</v>
      </c>
      <c r="N1397" s="2303">
        <v>0</v>
      </c>
      <c r="O1397" s="2304">
        <f t="shared" si="249"/>
        <v>0</v>
      </c>
      <c r="P1397" s="2209"/>
      <c r="Q1397" s="2210"/>
      <c r="R1397" s="2210"/>
      <c r="S1397" s="2210"/>
    </row>
    <row r="1398" spans="1:19" s="2049" customFormat="1" ht="15" outlineLevel="1">
      <c r="A1398" s="2126" t="str">
        <f>IF(G1398&lt;&gt;0,1,"")</f>
        <v/>
      </c>
      <c r="B1398" s="2065" t="s">
        <v>5342</v>
      </c>
      <c r="C1398" s="2202"/>
      <c r="D1398" s="2096" t="s">
        <v>5343</v>
      </c>
      <c r="E1398" s="2138" t="s">
        <v>5344</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ht="15" outlineLevel="1">
      <c r="A1399" s="2126" t="str">
        <f>IF(G1399&lt;&gt;0,1,"")</f>
        <v/>
      </c>
      <c r="B1399" s="2205"/>
      <c r="C1399" s="2202">
        <f>IF(G1399&gt;0,C1389+1,C1385)</f>
        <v>0</v>
      </c>
      <c r="D1399" s="2203"/>
      <c r="E1399" s="2361" t="s">
        <v>6123</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5" outlineLevel="1">
      <c r="A1400" s="2126" t="str">
        <f>A1399</f>
        <v/>
      </c>
      <c r="B1400" s="2205"/>
      <c r="C1400" s="2202"/>
      <c r="D1400" s="2203"/>
      <c r="E1400" s="2211" t="s">
        <v>6037</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ht="15" outlineLevel="1">
      <c r="A1401" s="2126" t="str">
        <f>IF(G1401&lt;&gt;0,1,"")</f>
        <v/>
      </c>
      <c r="B1401" s="2077" t="s">
        <v>5073</v>
      </c>
      <c r="C1401" s="2202"/>
      <c r="D1401" s="2096">
        <v>0</v>
      </c>
      <c r="E1401" s="2138" t="s">
        <v>5074</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ht="15" outlineLevel="1">
      <c r="A1402" s="2126" t="str">
        <f>IF(G1402&lt;&gt;0,1,"")</f>
        <v/>
      </c>
      <c r="B1402" s="2074" t="s">
        <v>486</v>
      </c>
      <c r="C1402" s="2202"/>
      <c r="D1402" s="2096">
        <v>0</v>
      </c>
      <c r="E1402" s="2138" t="s">
        <v>4996</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ht="15"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ht="15" outlineLevel="1">
      <c r="A1404" s="2126" t="str">
        <f>IF(G1404&lt;&gt;0,1,"")</f>
        <v/>
      </c>
      <c r="B1404" s="2065" t="s">
        <v>5293</v>
      </c>
      <c r="C1404" s="2202"/>
      <c r="D1404" s="2096" t="s">
        <v>5066</v>
      </c>
      <c r="E1404" s="2138" t="s">
        <v>5294</v>
      </c>
      <c r="F1404" s="2096" t="s">
        <v>2433</v>
      </c>
      <c r="G1404" s="2394">
        <f>+G1399</f>
        <v>0</v>
      </c>
      <c r="H1404" s="2208">
        <v>0</v>
      </c>
      <c r="I1404" s="2303"/>
      <c r="J1404" s="2303" t="s">
        <v>6258</v>
      </c>
      <c r="K1404" s="2303"/>
      <c r="L1404" s="2304">
        <f t="shared" si="247"/>
        <v>0</v>
      </c>
      <c r="M1404" s="2304"/>
      <c r="N1404" s="2303">
        <v>0</v>
      </c>
      <c r="O1404" s="2304"/>
      <c r="P1404" s="2393"/>
      <c r="Q1404" s="2210"/>
      <c r="R1404" s="2210"/>
      <c r="S1404" s="2210"/>
    </row>
    <row r="1405" spans="1:19" s="2049" customFormat="1" ht="15" outlineLevel="1">
      <c r="A1405" s="2126" t="str">
        <f>IF(G1405&lt;&gt;0,1,"")</f>
        <v/>
      </c>
      <c r="B1405" s="2205"/>
      <c r="C1405" s="2202">
        <f>IF(G1405&gt;0,C1389+2,C1389)</f>
        <v>0</v>
      </c>
      <c r="D1405" s="2203"/>
      <c r="E1405" s="2361" t="s">
        <v>6137</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5" outlineLevel="1">
      <c r="A1406" s="2126" t="str">
        <f>A1405</f>
        <v/>
      </c>
      <c r="B1406" s="2205"/>
      <c r="C1406" s="2202"/>
      <c r="D1406" s="2203"/>
      <c r="E1406" s="2211" t="s">
        <v>6037</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ht="15"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ht="15"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ht="15" outlineLevel="1">
      <c r="A1409" s="2126" t="str">
        <f>IF(G1409&lt;&gt;0,1,"")</f>
        <v/>
      </c>
      <c r="B1409" s="2065" t="s">
        <v>5342</v>
      </c>
      <c r="C1409" s="2202"/>
      <c r="D1409" s="2096" t="s">
        <v>5343</v>
      </c>
      <c r="E1409" s="2138" t="s">
        <v>5344</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ht="15" outlineLevel="1">
      <c r="A1410" s="2126" t="str">
        <f>IF(G1410&lt;&gt;0,1,"")</f>
        <v/>
      </c>
      <c r="B1410" s="2205"/>
      <c r="C1410" s="2202">
        <f>IF(G1410&gt;0,C1405+1,C1405)</f>
        <v>0</v>
      </c>
      <c r="D1410" s="2203"/>
      <c r="E1410" s="2361" t="s">
        <v>6125</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5" outlineLevel="1">
      <c r="A1411" s="2126" t="str">
        <f>A1410</f>
        <v/>
      </c>
      <c r="B1411" s="2205"/>
      <c r="C1411" s="2202"/>
      <c r="D1411" s="2203"/>
      <c r="E1411" s="2211" t="s">
        <v>6037</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ht="15"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ht="15"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ht="15"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ht="15" outlineLevel="1">
      <c r="A1415" s="2126" t="str">
        <f>IF(G1415&lt;&gt;0,1,"")</f>
        <v/>
      </c>
      <c r="B1415" s="2065" t="s">
        <v>5342</v>
      </c>
      <c r="C1415" s="2202"/>
      <c r="D1415" s="2096" t="s">
        <v>5343</v>
      </c>
      <c r="E1415" s="2138" t="s">
        <v>5344</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ht="15"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5" outlineLevel="1">
      <c r="A1417" s="2126" t="str">
        <f>+A1416</f>
        <v/>
      </c>
      <c r="B1417" s="2362"/>
      <c r="C1417" s="2202"/>
      <c r="D1417" s="2203"/>
      <c r="E1417" s="2211" t="s">
        <v>6037</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ht="15"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ht="15" outlineLevel="1">
      <c r="A1419" s="2126" t="str">
        <f t="shared" si="251"/>
        <v/>
      </c>
      <c r="B1419" s="2196" t="s">
        <v>1504</v>
      </c>
      <c r="C1419" s="2202"/>
      <c r="D1419" s="2096">
        <v>0</v>
      </c>
      <c r="E1419" s="2138" t="s">
        <v>5081</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ht="15"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ht="15"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ht="15"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ht="15" outlineLevel="1">
      <c r="A1423" s="2126" t="str">
        <f t="shared" ref="A1423:A1428" si="252">IF(G1423&lt;&gt;0,1,"")</f>
        <v/>
      </c>
      <c r="B1423" s="2205" t="s">
        <v>376</v>
      </c>
      <c r="C1423" s="2202"/>
      <c r="D1423" s="2096" t="s">
        <v>5639</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ht="15" outlineLevel="1">
      <c r="A1424" s="2126" t="str">
        <f t="shared" si="252"/>
        <v/>
      </c>
      <c r="B1424" s="2196" t="s">
        <v>5217</v>
      </c>
      <c r="C1424" s="2202"/>
      <c r="D1424" s="2096" t="s">
        <v>5218</v>
      </c>
      <c r="E1424" s="2138" t="s">
        <v>5219</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ht="15" outlineLevel="1">
      <c r="A1425" s="2126" t="str">
        <f t="shared" si="252"/>
        <v/>
      </c>
      <c r="B1425" s="2196" t="s">
        <v>523</v>
      </c>
      <c r="C1425" s="2202"/>
      <c r="D1425" s="2096">
        <v>0</v>
      </c>
      <c r="E1425" s="2138" t="s">
        <v>5170</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ht="15" outlineLevel="1">
      <c r="A1426" s="2126" t="str">
        <f t="shared" si="252"/>
        <v/>
      </c>
      <c r="B1426" s="2074" t="s">
        <v>5099</v>
      </c>
      <c r="C1426" s="2202"/>
      <c r="D1426" s="2096">
        <v>0</v>
      </c>
      <c r="E1426" s="2138" t="s">
        <v>5100</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ht="15" outlineLevel="1">
      <c r="A1427" s="2126" t="str">
        <f t="shared" si="252"/>
        <v/>
      </c>
      <c r="B1427" s="2074" t="s">
        <v>5101</v>
      </c>
      <c r="C1427" s="2202"/>
      <c r="D1427" s="2096">
        <v>0</v>
      </c>
      <c r="E1427" s="2138" t="s">
        <v>5102</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ht="15" outlineLevel="1">
      <c r="A1428" s="2126" t="str">
        <f t="shared" si="252"/>
        <v/>
      </c>
      <c r="B1428" s="2196" t="s">
        <v>1581</v>
      </c>
      <c r="C1428" s="2202"/>
      <c r="D1428" s="2096">
        <v>0</v>
      </c>
      <c r="E1428" s="2138" t="s">
        <v>5628</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ht="15" outlineLevel="1">
      <c r="A1429" s="2126" t="str">
        <f t="shared" si="251"/>
        <v/>
      </c>
      <c r="B1429" s="2196" t="s">
        <v>791</v>
      </c>
      <c r="C1429" s="2363"/>
      <c r="D1429" s="2096" t="s">
        <v>5253</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ht="15" outlineLevel="1">
      <c r="A1430" s="2126" t="str">
        <f t="shared" si="251"/>
        <v/>
      </c>
      <c r="B1430" s="2196" t="s">
        <v>795</v>
      </c>
      <c r="C1430" s="2202"/>
      <c r="D1430" s="2096" t="s">
        <v>5242</v>
      </c>
      <c r="E1430" s="2138" t="s">
        <v>5254</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ht="15" outlineLevel="1">
      <c r="A1431" s="2126" t="str">
        <f t="shared" si="251"/>
        <v/>
      </c>
      <c r="B1431" s="2196" t="s">
        <v>899</v>
      </c>
      <c r="C1431" s="2202"/>
      <c r="D1431" s="2096" t="s">
        <v>5268</v>
      </c>
      <c r="E1431" s="2138" t="s">
        <v>5269</v>
      </c>
      <c r="F1431" s="2096" t="s">
        <v>2272</v>
      </c>
      <c r="G1431" s="2370">
        <f>G1419</f>
        <v>0</v>
      </c>
      <c r="H1431" s="2208">
        <v>0</v>
      </c>
      <c r="I1431" s="2208"/>
      <c r="J1431" s="2208" t="s">
        <v>6216</v>
      </c>
      <c r="K1431" s="2208">
        <v>0</v>
      </c>
      <c r="L1431" s="2208">
        <f>H1431*$G1431</f>
        <v>0</v>
      </c>
      <c r="M1431" s="2208">
        <f>I1431*$G1431</f>
        <v>0</v>
      </c>
      <c r="N1431" s="2208">
        <v>0</v>
      </c>
      <c r="O1431" s="2208">
        <f>K1431*$G1431</f>
        <v>0</v>
      </c>
      <c r="P1431" s="2385"/>
      <c r="Q1431" s="2210"/>
      <c r="R1431" s="2210"/>
      <c r="S1431" s="2210"/>
    </row>
    <row r="1432" spans="1:19" s="2049" customFormat="1" ht="15" outlineLevel="1">
      <c r="A1432" s="2126" t="str">
        <f t="shared" si="251"/>
        <v/>
      </c>
      <c r="B1432" s="2196" t="s">
        <v>1433</v>
      </c>
      <c r="C1432" s="2202"/>
      <c r="D1432" s="2096" t="s">
        <v>5263</v>
      </c>
      <c r="E1432" s="2138" t="s">
        <v>5264</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ht="15" outlineLevel="1">
      <c r="A1433" s="2126" t="str">
        <f t="shared" si="251"/>
        <v/>
      </c>
      <c r="B1433" s="2196" t="s">
        <v>5093</v>
      </c>
      <c r="C1433" s="2202"/>
      <c r="D1433" s="2096">
        <v>0</v>
      </c>
      <c r="E1433" s="2138" t="s">
        <v>5094</v>
      </c>
      <c r="F1433" s="2096" t="s">
        <v>5092</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ht="15" outlineLevel="1">
      <c r="A1434" s="2126" t="str">
        <f t="shared" si="251"/>
        <v/>
      </c>
      <c r="B1434" s="2196" t="s">
        <v>5095</v>
      </c>
      <c r="C1434" s="2202"/>
      <c r="D1434" s="2096">
        <v>0</v>
      </c>
      <c r="E1434" s="2138" t="s">
        <v>5096</v>
      </c>
      <c r="F1434" s="2096" t="s">
        <v>5092</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ht="15" outlineLevel="1">
      <c r="A1435" s="2126" t="str">
        <f t="shared" si="251"/>
        <v/>
      </c>
      <c r="B1435" s="2397" t="s">
        <v>5097</v>
      </c>
      <c r="C1435" s="2202"/>
      <c r="D1435" s="2096">
        <v>0</v>
      </c>
      <c r="E1435" s="2138" t="s">
        <v>5098</v>
      </c>
      <c r="F1435" s="2096" t="s">
        <v>5092</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ht="15" outlineLevel="1">
      <c r="A1436" s="2126" t="str">
        <f>IF(G1436&lt;&gt;0,1,"")</f>
        <v/>
      </c>
      <c r="B1436" s="2397" t="s">
        <v>6138</v>
      </c>
      <c r="C1436" s="2202"/>
      <c r="D1436" s="2096">
        <v>0</v>
      </c>
      <c r="E1436" s="2138" t="s">
        <v>4969</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ht="15" outlineLevel="1">
      <c r="A1437" s="2126" t="str">
        <f t="shared" si="251"/>
        <v/>
      </c>
      <c r="B1437" s="2196" t="s">
        <v>5099</v>
      </c>
      <c r="C1437" s="2202"/>
      <c r="D1437" s="2096">
        <v>0</v>
      </c>
      <c r="E1437" s="2138" t="s">
        <v>5100</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ht="15" outlineLevel="1">
      <c r="A1438" s="2126" t="str">
        <f t="shared" si="251"/>
        <v/>
      </c>
      <c r="B1438" s="2196" t="s">
        <v>5101</v>
      </c>
      <c r="C1438" s="2202"/>
      <c r="D1438" s="2096">
        <v>0</v>
      </c>
      <c r="E1438" s="2138" t="s">
        <v>5102</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ht="15" outlineLevel="1">
      <c r="A1439" s="2126">
        <f>IF(G1439=0,0,1)</f>
        <v>0</v>
      </c>
      <c r="B1439" s="2196" t="s">
        <v>791</v>
      </c>
      <c r="C1439" s="2212"/>
      <c r="D1439" s="2096" t="s">
        <v>5253</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ht="15" outlineLevel="1">
      <c r="A1440" s="2126">
        <f>IF(G1440=0,0,1)</f>
        <v>0</v>
      </c>
      <c r="B1440" s="2196" t="s">
        <v>795</v>
      </c>
      <c r="C1440" s="2212"/>
      <c r="D1440" s="2096" t="s">
        <v>5242</v>
      </c>
      <c r="E1440" s="2138" t="s">
        <v>5254</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ht="15" outlineLevel="1">
      <c r="A1441" s="2126">
        <f>IF(G1441=0,0,1)</f>
        <v>0</v>
      </c>
      <c r="B1441" s="2196" t="s">
        <v>899</v>
      </c>
      <c r="C1441" s="2212"/>
      <c r="D1441" s="2096" t="s">
        <v>5268</v>
      </c>
      <c r="E1441" s="2138" t="s">
        <v>5269</v>
      </c>
      <c r="F1441" s="2096" t="s">
        <v>2272</v>
      </c>
      <c r="G1441" s="2398">
        <f>G1419*0</f>
        <v>0</v>
      </c>
      <c r="H1441" s="2208">
        <v>0</v>
      </c>
      <c r="I1441" s="2208"/>
      <c r="J1441" s="2208" t="s">
        <v>6216</v>
      </c>
      <c r="K1441" s="2208">
        <v>0</v>
      </c>
      <c r="L1441" s="2208">
        <f>H1441*$G1441</f>
        <v>0</v>
      </c>
      <c r="M1441" s="2208">
        <f>I1441*$G1441</f>
        <v>0</v>
      </c>
      <c r="N1441" s="2208">
        <v>0</v>
      </c>
      <c r="O1441" s="2208">
        <f>K1441*$G1441</f>
        <v>0</v>
      </c>
      <c r="P1441" s="2385"/>
      <c r="Q1441" s="2210"/>
      <c r="R1441" s="2210"/>
      <c r="S1441" s="2210"/>
    </row>
    <row r="1442" spans="1:20" s="2049" customFormat="1" ht="15" outlineLevel="1">
      <c r="A1442" s="2126" t="str">
        <f>IF(G1442&lt;&gt;0,1,"")</f>
        <v/>
      </c>
      <c r="B1442" s="2196" t="s">
        <v>1433</v>
      </c>
      <c r="C1442" s="2202"/>
      <c r="D1442" s="2096" t="s">
        <v>5263</v>
      </c>
      <c r="E1442" s="2138" t="s">
        <v>5264</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ht="15" outlineLevel="1">
      <c r="A1443" s="2126" t="str">
        <f>IF(G1443&lt;&gt;0,1,"")</f>
        <v/>
      </c>
      <c r="B1443" s="2205"/>
      <c r="C1443" s="2202">
        <f>IF(G1443&gt;0,C1416+1,C1416)</f>
        <v>0</v>
      </c>
      <c r="D1443" s="2203"/>
      <c r="E1443" s="2206" t="s">
        <v>6126</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5" outlineLevel="1">
      <c r="A1444" s="2126" t="str">
        <f>A1443</f>
        <v/>
      </c>
      <c r="B1444" s="2205"/>
      <c r="C1444" s="2202"/>
      <c r="D1444" s="2203"/>
      <c r="E1444" s="2211" t="s">
        <v>6037</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ht="15" outlineLevel="1">
      <c r="A1445" s="2126" t="str">
        <f>IF(G1445&lt;&gt;0,1,"")</f>
        <v/>
      </c>
      <c r="B1445" s="2205" t="s">
        <v>650</v>
      </c>
      <c r="C1445" s="2212"/>
      <c r="D1445" s="2096">
        <v>0</v>
      </c>
      <c r="E1445" s="2138" t="s">
        <v>5207</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ht="15"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ht="15"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ht="15" outlineLevel="1">
      <c r="A1448" s="2126" t="str">
        <f>IF(G1448&lt;&gt;0,1,"")</f>
        <v/>
      </c>
      <c r="B1448" s="2205" t="s">
        <v>651</v>
      </c>
      <c r="C1448" s="2212"/>
      <c r="D1448" s="2096" t="s">
        <v>5388</v>
      </c>
      <c r="E1448" s="2138" t="s">
        <v>5391</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ht="15" outlineLevel="1">
      <c r="A1449" s="2126" t="str">
        <f>IF(G1449&lt;&gt;0,1,"")</f>
        <v/>
      </c>
      <c r="B1449" s="2205"/>
      <c r="C1449" s="2202">
        <f>IF(G1449&gt;0,C1443+1,C1443)</f>
        <v>0</v>
      </c>
      <c r="D1449" s="2203"/>
      <c r="E1449" s="2320" t="s">
        <v>6113</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5" outlineLevel="1">
      <c r="A1450" s="2126" t="str">
        <f>A1449</f>
        <v/>
      </c>
      <c r="B1450" s="2205"/>
      <c r="C1450" s="2202"/>
      <c r="D1450" s="2203"/>
      <c r="E1450" s="2211" t="s">
        <v>6037</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ht="15" outlineLevel="1">
      <c r="A1451" s="2126" t="str">
        <f>IF(G1451&lt;&gt;0,1,"")</f>
        <v/>
      </c>
      <c r="B1451" s="2205" t="s">
        <v>5560</v>
      </c>
      <c r="C1451" s="2212"/>
      <c r="D1451" s="2096" t="s">
        <v>5548</v>
      </c>
      <c r="E1451" s="2138" t="s">
        <v>5561</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ht="15" outlineLevel="1">
      <c r="A1452" s="2126" t="str">
        <f>IF(G1452&lt;&gt;0,1,"")</f>
        <v/>
      </c>
      <c r="B1452" s="2205" t="s">
        <v>877</v>
      </c>
      <c r="C1452" s="2202"/>
      <c r="D1452" s="2096">
        <v>0</v>
      </c>
      <c r="E1452" s="2138" t="s">
        <v>5713</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ht="15" outlineLevel="1">
      <c r="A1453" s="2126" t="str">
        <f>IF(G1453&lt;&gt;0,1,"")</f>
        <v/>
      </c>
      <c r="B1453" s="2205" t="s">
        <v>288</v>
      </c>
      <c r="C1453" s="2212"/>
      <c r="D1453" s="2096">
        <v>0</v>
      </c>
      <c r="E1453" s="2138" t="s">
        <v>5627</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ht="15"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ht="15" outlineLevel="1">
      <c r="A1455" s="2126" t="str">
        <f>IF(G1455&lt;&gt;0,1,"")</f>
        <v/>
      </c>
      <c r="B1455" s="2205"/>
      <c r="C1455" s="2202">
        <f>IF(G1455&gt;0,C1449+1,C1449)</f>
        <v>0</v>
      </c>
      <c r="D1455" s="2203"/>
      <c r="E1455" s="2320" t="s">
        <v>6114</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5" outlineLevel="1">
      <c r="A1456" s="2126" t="str">
        <f>A1455</f>
        <v/>
      </c>
      <c r="B1456" s="2205"/>
      <c r="C1456" s="2202"/>
      <c r="D1456" s="2203"/>
      <c r="E1456" s="2211" t="s">
        <v>6037</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ht="15" outlineLevel="1">
      <c r="A1457" s="2126" t="str">
        <f>IF(G1457&lt;&gt;0,1,"")</f>
        <v/>
      </c>
      <c r="B1457" s="2065" t="s">
        <v>835</v>
      </c>
      <c r="C1457" s="2212"/>
      <c r="D1457" s="2096" t="s">
        <v>5570</v>
      </c>
      <c r="E1457" s="2138" t="s">
        <v>5574</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ht="15" outlineLevel="1">
      <c r="A1458" s="2126" t="str">
        <f>IF(G1458&lt;&gt;0,1,"")</f>
        <v/>
      </c>
      <c r="B1458" s="2205" t="s">
        <v>877</v>
      </c>
      <c r="C1458" s="2202"/>
      <c r="D1458" s="2096">
        <v>0</v>
      </c>
      <c r="E1458" s="2138" t="s">
        <v>5713</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ht="15" outlineLevel="1">
      <c r="A1459" s="2126" t="str">
        <f>IF(G1459&lt;&gt;0,1,"")</f>
        <v/>
      </c>
      <c r="B1459" s="2205" t="s">
        <v>288</v>
      </c>
      <c r="C1459" s="2202"/>
      <c r="D1459" s="2096">
        <v>0</v>
      </c>
      <c r="E1459" s="2138" t="s">
        <v>5627</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ht="15"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ht="15"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5" outlineLevel="1">
      <c r="A1462" s="2126" t="str">
        <f>A1461</f>
        <v/>
      </c>
      <c r="B1462" s="2205"/>
      <c r="C1462" s="2202"/>
      <c r="D1462" s="2203"/>
      <c r="E1462" s="2218" t="s">
        <v>6037</v>
      </c>
      <c r="F1462" s="2202"/>
      <c r="G1462" s="2395"/>
      <c r="H1462" s="2208"/>
      <c r="I1462" s="2208"/>
      <c r="J1462" s="2208"/>
      <c r="K1462" s="2208"/>
      <c r="L1462" s="2208"/>
      <c r="M1462" s="2208"/>
      <c r="N1462" s="2208"/>
      <c r="O1462" s="2208"/>
      <c r="P1462" s="2385"/>
      <c r="Q1462" s="2210"/>
      <c r="R1462" s="2210"/>
      <c r="S1462" s="2210"/>
    </row>
    <row r="1463" spans="1:19" s="2049" customFormat="1" ht="15" outlineLevel="1">
      <c r="A1463" s="2126" t="str">
        <f>IF(G1463&lt;&gt;0,1,"")</f>
        <v/>
      </c>
      <c r="B1463" s="2196" t="s">
        <v>694</v>
      </c>
      <c r="C1463" s="2212"/>
      <c r="D1463" s="2096">
        <v>0</v>
      </c>
      <c r="E1463" s="2138" t="s">
        <v>5005</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ht="15"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ht="15"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ht="15" outlineLevel="1">
      <c r="A1466" s="2126" t="str">
        <f>IF(G1466&lt;&gt;0,1,"")</f>
        <v/>
      </c>
      <c r="B1466" s="2301" t="s">
        <v>5614</v>
      </c>
      <c r="C1466" s="2212"/>
      <c r="D1466" s="2096">
        <v>0</v>
      </c>
      <c r="E1466" s="2138" t="s">
        <v>5615</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ht="15" outlineLevel="1">
      <c r="A1467" s="2126" t="str">
        <f>IF(G1467&lt;&gt;0,1,"")</f>
        <v/>
      </c>
      <c r="B1467" s="2301" t="s">
        <v>5620</v>
      </c>
      <c r="C1467" s="2212"/>
      <c r="D1467" s="2096">
        <v>0</v>
      </c>
      <c r="E1467" s="2138" t="s">
        <v>5621</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ht="15" outlineLevel="1">
      <c r="A1468" s="2126" t="str">
        <f>IF(G1468&lt;&gt;0,1,"")</f>
        <v/>
      </c>
      <c r="B1468" s="2301" t="s">
        <v>5622</v>
      </c>
      <c r="C1468" s="2212"/>
      <c r="D1468" s="2096">
        <v>0</v>
      </c>
      <c r="E1468" s="2138" t="s">
        <v>5623</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ht="15" outlineLevel="1">
      <c r="A1469" s="2126" t="str">
        <f>IF(G1469&lt;&gt;0,1,"")</f>
        <v/>
      </c>
      <c r="B1469" s="2301" t="s">
        <v>5619</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ht="15"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ht="15"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ht="15" outlineLevel="1">
      <c r="A1472" s="2126" t="str">
        <f t="shared" si="268"/>
        <v/>
      </c>
      <c r="B1472" s="2196" t="s">
        <v>1561</v>
      </c>
      <c r="C1472" s="2212"/>
      <c r="D1472" s="2096" t="s">
        <v>5477</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ht="15" outlineLevel="1">
      <c r="A1473" s="2126" t="str">
        <f t="shared" si="268"/>
        <v/>
      </c>
      <c r="B1473" s="2196" t="s">
        <v>1521</v>
      </c>
      <c r="C1473" s="2212"/>
      <c r="D1473" s="2096" t="s">
        <v>5487</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ht="15"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5" outlineLevel="1">
      <c r="A1475" s="2126" t="str">
        <f>A1474</f>
        <v/>
      </c>
      <c r="B1475" s="2205"/>
      <c r="C1475" s="2202"/>
      <c r="D1475" s="2203"/>
      <c r="E1475" s="2218" t="s">
        <v>6037</v>
      </c>
      <c r="F1475" s="2202"/>
      <c r="G1475" s="2207"/>
      <c r="H1475" s="2208"/>
      <c r="I1475" s="2208"/>
      <c r="J1475" s="2208"/>
      <c r="K1475" s="2208"/>
      <c r="L1475" s="2208"/>
      <c r="M1475" s="2208"/>
      <c r="N1475" s="2208"/>
      <c r="O1475" s="2208"/>
      <c r="P1475" s="2209"/>
      <c r="Q1475" s="2210"/>
      <c r="R1475" s="2210"/>
      <c r="S1475" s="2210"/>
    </row>
    <row r="1476" spans="1:19" s="2049" customFormat="1" ht="15"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ht="15" outlineLevel="1">
      <c r="A1477" s="2126" t="str">
        <f t="shared" si="269"/>
        <v/>
      </c>
      <c r="B1477" s="2205" t="s">
        <v>86</v>
      </c>
      <c r="C1477" s="2212"/>
      <c r="D1477" s="2096">
        <v>0</v>
      </c>
      <c r="E1477" s="2138" t="s">
        <v>5711</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ht="15" outlineLevel="1">
      <c r="A1478" s="2126" t="str">
        <f t="shared" si="269"/>
        <v/>
      </c>
      <c r="B1478" s="2077" t="s">
        <v>275</v>
      </c>
      <c r="C1478" s="2212"/>
      <c r="D1478" s="2096">
        <v>0</v>
      </c>
      <c r="E1478" s="2138" t="s">
        <v>6259</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ht="15" outlineLevel="1">
      <c r="A1479" s="2126" t="str">
        <f t="shared" si="269"/>
        <v/>
      </c>
      <c r="B1479" s="2077" t="s">
        <v>86</v>
      </c>
      <c r="C1479" s="2212"/>
      <c r="D1479" s="2096">
        <v>0</v>
      </c>
      <c r="E1479" s="2138" t="s">
        <v>5711</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ht="15"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ht="15"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ht="15"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ht="15"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ht="15"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5" outlineLevel="1">
      <c r="A1485" s="2126" t="str">
        <f>A1484</f>
        <v/>
      </c>
      <c r="B1485" s="2196"/>
      <c r="C1485" s="2202"/>
      <c r="D1485" s="2203"/>
      <c r="E1485" s="2218" t="s">
        <v>6037</v>
      </c>
      <c r="F1485" s="2202"/>
      <c r="G1485" s="2394"/>
      <c r="H1485" s="2208"/>
      <c r="I1485" s="2208"/>
      <c r="J1485" s="2208"/>
      <c r="K1485" s="2208"/>
      <c r="L1485" s="2208"/>
      <c r="M1485" s="2208"/>
      <c r="N1485" s="2208"/>
      <c r="O1485" s="2208"/>
      <c r="P1485" s="2385"/>
      <c r="Q1485" s="2210"/>
      <c r="R1485" s="2210"/>
      <c r="S1485" s="2210"/>
    </row>
    <row r="1486" spans="1:19" s="2049" customFormat="1" ht="15"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ht="15"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ht="15"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ht="15" outlineLevel="1">
      <c r="A1489" s="2126" t="str">
        <f t="shared" si="272"/>
        <v/>
      </c>
      <c r="B1489" s="2205" t="s">
        <v>2151</v>
      </c>
      <c r="C1489" s="2212"/>
      <c r="D1489" s="2096" t="s">
        <v>5645</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ht="15" outlineLevel="1">
      <c r="A1490" s="2126" t="str">
        <f t="shared" si="272"/>
        <v/>
      </c>
      <c r="B1490" s="2205" t="s">
        <v>1301</v>
      </c>
      <c r="C1490" s="2212"/>
      <c r="D1490" s="2096" t="s">
        <v>5642</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ht="15"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ht="15"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ht="15"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ht="15"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ht="15" outlineLevel="1">
      <c r="A1495" s="2126" t="str">
        <f>IF(G1495&lt;&gt;0,1,"")</f>
        <v/>
      </c>
      <c r="B1495" s="2205" t="s">
        <v>4530</v>
      </c>
      <c r="C1495" s="2212"/>
      <c r="D1495" s="2096">
        <v>0</v>
      </c>
      <c r="E1495" s="2138" t="s">
        <v>5712</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ht="15" outlineLevel="1">
      <c r="A1496" s="2126" t="str">
        <f t="shared" si="272"/>
        <v/>
      </c>
      <c r="B1496" s="2196" t="s">
        <v>728</v>
      </c>
      <c r="C1496" s="2212"/>
      <c r="D1496" s="2096">
        <v>0</v>
      </c>
      <c r="E1496" s="2138" t="s">
        <v>5176</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ht="15"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ht="15"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ht="15" outlineLevel="1">
      <c r="A1499" s="2126" t="str">
        <f>IF(G1499&lt;&gt;0,1,"")</f>
        <v/>
      </c>
      <c r="B1499" s="2065" t="s">
        <v>1735</v>
      </c>
      <c r="C1499" s="2212"/>
      <c r="D1499" s="2096">
        <v>0</v>
      </c>
      <c r="E1499" s="2138" t="s">
        <v>5709</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ht="15"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ht="15" outlineLevel="1">
      <c r="A1501" s="2126" t="str">
        <f t="shared" si="272"/>
        <v/>
      </c>
      <c r="B1501" s="2196" t="s">
        <v>6</v>
      </c>
      <c r="C1501" s="2212"/>
      <c r="D1501" s="2096"/>
      <c r="E1501" s="2138" t="s">
        <v>3552</v>
      </c>
      <c r="F1501" s="2096" t="s">
        <v>5720</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ht="15"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ht="15" outlineLevel="1">
      <c r="A1503" s="2126" t="str">
        <f t="shared" si="272"/>
        <v/>
      </c>
      <c r="B1503" s="2196" t="s">
        <v>669</v>
      </c>
      <c r="C1503" s="2212"/>
      <c r="D1503" s="2096">
        <v>0</v>
      </c>
      <c r="E1503" s="2138" t="s">
        <v>5715</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ht="15" outlineLevel="1">
      <c r="A1504" s="2126" t="str">
        <f t="shared" si="272"/>
        <v/>
      </c>
      <c r="B1504" s="2196" t="s">
        <v>246</v>
      </c>
      <c r="C1504" s="2212"/>
      <c r="D1504" s="2096" t="s">
        <v>5489</v>
      </c>
      <c r="E1504" s="2138" t="s">
        <v>5490</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ht="15" outlineLevel="1">
      <c r="A1505" s="2126">
        <f>A1354</f>
        <v>0</v>
      </c>
      <c r="B1505" s="2301"/>
      <c r="C1505" s="2367"/>
      <c r="D1505" s="2368"/>
      <c r="E1505" s="2343"/>
      <c r="F1505" s="2581"/>
      <c r="G1505" s="2582"/>
      <c r="H1505" s="2581"/>
      <c r="I1505" s="2581"/>
      <c r="J1505" s="2591" t="s">
        <v>6035</v>
      </c>
      <c r="K1505" s="2591"/>
      <c r="L1505" s="2369">
        <f>SUM(L1372:L1504)</f>
        <v>0</v>
      </c>
      <c r="M1505" s="2369">
        <f>SUM(M1372:M1504)</f>
        <v>0</v>
      </c>
      <c r="N1505" s="2369">
        <f>SUM(N1372:N1504)</f>
        <v>0</v>
      </c>
      <c r="O1505" s="2369">
        <f>SUM(O1372:O1504)</f>
        <v>0</v>
      </c>
      <c r="P1505" s="2390"/>
      <c r="Q1505" s="2210"/>
      <c r="R1505" s="2210"/>
      <c r="S1505" s="2210"/>
    </row>
    <row r="1506" spans="1:19" s="2049" customFormat="1" ht="13.9"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ht="15"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ht="15" outlineLevel="1">
      <c r="A1508" s="2126">
        <f>A1506</f>
        <v>0</v>
      </c>
      <c r="B1508" s="2205" t="s">
        <v>6016</v>
      </c>
      <c r="C1508" s="2592" t="s">
        <v>1704</v>
      </c>
      <c r="D1508" s="2593" t="s">
        <v>2589</v>
      </c>
      <c r="E1508" s="2595" t="s">
        <v>2590</v>
      </c>
      <c r="F1508" s="2592" t="s">
        <v>2585</v>
      </c>
      <c r="G1508" s="2053" t="s">
        <v>6017</v>
      </c>
      <c r="H1508" s="2056" t="s">
        <v>6018</v>
      </c>
      <c r="I1508" s="2563"/>
      <c r="J1508" s="2563"/>
      <c r="K1508" s="2564"/>
      <c r="L1508" s="2056" t="s">
        <v>6019</v>
      </c>
      <c r="M1508" s="2563"/>
      <c r="N1508" s="2563"/>
      <c r="O1508" s="2564"/>
      <c r="P1508" s="2592" t="s">
        <v>2591</v>
      </c>
      <c r="Q1508" s="2210"/>
      <c r="R1508" s="2210"/>
      <c r="S1508" s="2210"/>
    </row>
    <row r="1509" spans="1:19" s="2049" customFormat="1" ht="15" outlineLevel="1">
      <c r="A1509" s="2126">
        <f>A1508</f>
        <v>0</v>
      </c>
      <c r="B1509" s="2205"/>
      <c r="C1509" s="2592"/>
      <c r="D1509" s="2594"/>
      <c r="E1509" s="2596"/>
      <c r="F1509" s="2592"/>
      <c r="G1509" s="2055" t="s">
        <v>2280</v>
      </c>
      <c r="H1509" s="2056" t="s">
        <v>6020</v>
      </c>
      <c r="I1509" s="2056" t="s">
        <v>6021</v>
      </c>
      <c r="J1509" s="2056" t="s">
        <v>6022</v>
      </c>
      <c r="K1509" s="2056" t="s">
        <v>6023</v>
      </c>
      <c r="L1509" s="2056" t="s">
        <v>6020</v>
      </c>
      <c r="M1509" s="2056" t="s">
        <v>6021</v>
      </c>
      <c r="N1509" s="2056" t="s">
        <v>6022</v>
      </c>
      <c r="O1509" s="2056" t="s">
        <v>6023</v>
      </c>
      <c r="P1509" s="2592"/>
      <c r="Q1509" s="2210"/>
      <c r="R1509" s="2210"/>
      <c r="S1509" s="2210"/>
    </row>
    <row r="1510" spans="1:19" s="2049" customFormat="1" ht="15"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ht="15" outlineLevel="1">
      <c r="A1511" s="2126" t="str">
        <f t="shared" ref="A1511:A1518" si="277">IF(G1511&lt;&gt;0,1,"")</f>
        <v/>
      </c>
      <c r="B1511" s="2196" t="str">
        <f>IF($F$8=15,"tr320","tr3201")</f>
        <v>tr3201</v>
      </c>
      <c r="C1511" s="2212">
        <f>IF(G1511&gt;0,1,0)</f>
        <v>0</v>
      </c>
      <c r="D1511" s="2096" t="s">
        <v>5506</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ht="15" outlineLevel="1">
      <c r="A1512" s="2126" t="str">
        <f t="shared" si="277"/>
        <v/>
      </c>
      <c r="B1512" s="2062" t="str">
        <f>"FCO100-"&amp;$F$8</f>
        <v>FCO100-22</v>
      </c>
      <c r="C1512" s="2212">
        <f t="shared" ref="C1512:C1518" si="282">IF(G1512&gt;0,C1511+1,C1511)</f>
        <v>0</v>
      </c>
      <c r="D1512" s="2096" t="s">
        <v>5513</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ht="15"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ht="15" outlineLevel="1">
      <c r="A1514" s="2126" t="str">
        <f t="shared" si="277"/>
        <v/>
      </c>
      <c r="B1514" s="2205" t="str">
        <f>"LA"&amp;$F$6</f>
        <v>LA18</v>
      </c>
      <c r="C1514" s="2212">
        <f t="shared" si="282"/>
        <v>0</v>
      </c>
      <c r="D1514" s="2096" t="s">
        <v>5517</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ht="15" outlineLevel="1">
      <c r="A1515" s="2126" t="str">
        <f t="shared" si="277"/>
        <v/>
      </c>
      <c r="B1515" s="2301" t="s">
        <v>1455</v>
      </c>
      <c r="C1515" s="2212">
        <f t="shared" si="282"/>
        <v>0</v>
      </c>
      <c r="D1515" s="2096">
        <v>0</v>
      </c>
      <c r="E1515" s="2138" t="s">
        <v>5602</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ht="15"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ht="15"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ht="15"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ht="15" outlineLevel="1">
      <c r="A1519" s="2126">
        <f>A1506</f>
        <v>0</v>
      </c>
      <c r="B1519" s="2205"/>
      <c r="C1519" s="2337"/>
      <c r="D1519" s="2338"/>
      <c r="E1519" s="2339"/>
      <c r="F1519" s="2337"/>
      <c r="G1519" s="2580"/>
      <c r="H1519" s="2337"/>
      <c r="I1519" s="2337"/>
      <c r="J1519" s="2061" t="s">
        <v>6025</v>
      </c>
      <c r="K1519" s="2337"/>
      <c r="L1519" s="2339">
        <f>SUM(L1511:L1518)</f>
        <v>0</v>
      </c>
      <c r="M1519" s="2339">
        <f>SUM(M1511:M1518)</f>
        <v>0</v>
      </c>
      <c r="N1519" s="2339">
        <f>SUM(N1511:N1518)</f>
        <v>0</v>
      </c>
      <c r="O1519" s="2339">
        <f>SUM(O1511:O1518)</f>
        <v>0</v>
      </c>
      <c r="P1519" s="2340"/>
      <c r="Q1519" s="2210"/>
      <c r="R1519" s="2210"/>
      <c r="S1519" s="2210"/>
    </row>
    <row r="1520" spans="1:19" s="2049" customFormat="1" ht="15"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ht="15" outlineLevel="1">
      <c r="A1521" s="2126" t="str">
        <f t="shared" ref="A1521:A1539" si="283">IF(G1521&lt;&gt;0,1,"")</f>
        <v/>
      </c>
      <c r="B1521" s="2345"/>
      <c r="C1521" s="2346">
        <f>IF(G1521&gt;0,1,0)</f>
        <v>0</v>
      </c>
      <c r="D1521" s="2096"/>
      <c r="E1521" s="2347" t="s">
        <v>6026</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ht="15"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ht="15"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ht="15"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ht="15" outlineLevel="1">
      <c r="A1525" s="2126" t="str">
        <f t="shared" si="283"/>
        <v/>
      </c>
      <c r="B1525" s="2345"/>
      <c r="C1525" s="2346">
        <f>IF(G1525&gt;0,1,0)</f>
        <v>0</v>
      </c>
      <c r="D1525" s="2096"/>
      <c r="E1525" s="2347" t="s">
        <v>6121</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ht="15"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ht="15"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ht="15"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ht="15"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ht="15" outlineLevel="1">
      <c r="A1530" s="2126" t="str">
        <f t="shared" si="283"/>
        <v/>
      </c>
      <c r="B1530" s="2301" t="s">
        <v>633</v>
      </c>
      <c r="C1530" s="2351"/>
      <c r="D1530" s="2096" t="s">
        <v>4965</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ht="15" outlineLevel="1">
      <c r="A1531" s="2126" t="str">
        <f t="shared" si="283"/>
        <v/>
      </c>
      <c r="B1531" s="2301" t="s">
        <v>564</v>
      </c>
      <c r="C1531" s="2351"/>
      <c r="D1531" s="2096"/>
      <c r="E1531" s="2352" t="s">
        <v>4990</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ht="15" outlineLevel="1">
      <c r="A1532" s="2126" t="str">
        <f t="shared" si="283"/>
        <v/>
      </c>
      <c r="B1532" s="2301" t="s">
        <v>636</v>
      </c>
      <c r="C1532" s="2351"/>
      <c r="D1532" s="2096" t="s">
        <v>1742</v>
      </c>
      <c r="E1532" s="2352" t="s">
        <v>5241</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ht="15" outlineLevel="1">
      <c r="A1533" s="2126" t="str">
        <f t="shared" si="283"/>
        <v/>
      </c>
      <c r="B1533" s="2301" t="s">
        <v>21</v>
      </c>
      <c r="C1533" s="2351"/>
      <c r="D1533" s="2096" t="s">
        <v>5242</v>
      </c>
      <c r="E1533" s="2352" t="s">
        <v>5243</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ht="15"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ht="15" outlineLevel="1">
      <c r="A1535" s="2126" t="str">
        <f t="shared" si="283"/>
        <v/>
      </c>
      <c r="B1535" s="2301" t="s">
        <v>633</v>
      </c>
      <c r="C1535" s="2351"/>
      <c r="D1535" s="2096" t="s">
        <v>4965</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ht="15" outlineLevel="1">
      <c r="A1536" s="2126" t="str">
        <f t="shared" si="283"/>
        <v/>
      </c>
      <c r="B1536" s="2301" t="s">
        <v>564</v>
      </c>
      <c r="C1536" s="2351"/>
      <c r="D1536" s="2096"/>
      <c r="E1536" s="2352" t="s">
        <v>4990</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ht="15" outlineLevel="1">
      <c r="A1537" s="2126" t="str">
        <f t="shared" si="283"/>
        <v/>
      </c>
      <c r="B1537" s="2301" t="s">
        <v>636</v>
      </c>
      <c r="C1537" s="2351"/>
      <c r="D1537" s="2096" t="s">
        <v>1742</v>
      </c>
      <c r="E1537" s="2352" t="s">
        <v>5241</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ht="15" outlineLevel="1">
      <c r="A1538" s="2126" t="str">
        <f t="shared" si="283"/>
        <v/>
      </c>
      <c r="B1538" s="2301" t="s">
        <v>21</v>
      </c>
      <c r="C1538" s="2351"/>
      <c r="D1538" s="2096" t="s">
        <v>5242</v>
      </c>
      <c r="E1538" s="2352" t="s">
        <v>5243</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ht="15"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5" outlineLevel="1">
      <c r="A1540" s="2126" t="str">
        <f>A1539</f>
        <v/>
      </c>
      <c r="B1540" s="2205"/>
      <c r="C1540" s="2202"/>
      <c r="D1540" s="2358"/>
      <c r="E1540" s="2211" t="s">
        <v>6037</v>
      </c>
      <c r="F1540" s="2212"/>
      <c r="G1540" s="2213"/>
      <c r="H1540" s="2359"/>
      <c r="I1540" s="2359"/>
      <c r="J1540" s="2359"/>
      <c r="K1540" s="2359"/>
      <c r="L1540" s="2359"/>
      <c r="M1540" s="2359"/>
      <c r="N1540" s="2359"/>
      <c r="O1540" s="2359"/>
      <c r="P1540" s="2209"/>
      <c r="Q1540" s="2210"/>
      <c r="R1540" s="2210"/>
      <c r="S1540" s="2210"/>
    </row>
    <row r="1541" spans="1:19" s="2049" customFormat="1" ht="15" outlineLevel="1">
      <c r="A1541" s="2126" t="str">
        <f t="shared" ref="A1541:A1546" si="284">IF(G1541&lt;&gt;0,1,"")</f>
        <v/>
      </c>
      <c r="B1541" s="2196" t="s">
        <v>1132</v>
      </c>
      <c r="C1541" s="2202"/>
      <c r="D1541" s="2096">
        <v>0</v>
      </c>
      <c r="E1541" s="2138" t="s">
        <v>6242</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ht="15" outlineLevel="1">
      <c r="A1542" s="2126" t="str">
        <f t="shared" si="284"/>
        <v/>
      </c>
      <c r="B1542" s="2196" t="s">
        <v>1133</v>
      </c>
      <c r="C1542" s="2202"/>
      <c r="D1542" s="2096">
        <v>0</v>
      </c>
      <c r="E1542" s="2138" t="s">
        <v>6243</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ht="15" outlineLevel="1">
      <c r="A1543" s="2126" t="str">
        <f t="shared" si="284"/>
        <v/>
      </c>
      <c r="B1543" s="2196" t="s">
        <v>1134</v>
      </c>
      <c r="C1543" s="2202"/>
      <c r="D1543" s="2096">
        <v>0</v>
      </c>
      <c r="E1543" s="2138" t="s">
        <v>6244</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ht="15"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ht="15"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ht="15"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ht="15" outlineLevel="1">
      <c r="A1547" s="2126" t="str">
        <f>IF(G1547&lt;&gt;0,1,"")</f>
        <v/>
      </c>
      <c r="B1547" s="2196" t="s">
        <v>2237</v>
      </c>
      <c r="C1547" s="2202"/>
      <c r="D1547" s="2096" t="s">
        <v>5361</v>
      </c>
      <c r="E1547" s="2138" t="s">
        <v>6245</v>
      </c>
      <c r="F1547" s="2096" t="s">
        <v>2433</v>
      </c>
      <c r="G1547" s="2213">
        <f>+G1539*1</f>
        <v>0</v>
      </c>
      <c r="H1547" s="2303">
        <v>0</v>
      </c>
      <c r="I1547" s="2360"/>
      <c r="J1547" s="2303" t="s">
        <v>6246</v>
      </c>
      <c r="K1547" s="2303">
        <v>0</v>
      </c>
      <c r="L1547" s="2304">
        <f>H1547*G1547</f>
        <v>0</v>
      </c>
      <c r="M1547" s="2304">
        <f t="shared" si="286"/>
        <v>0</v>
      </c>
      <c r="N1547" s="2303">
        <v>0</v>
      </c>
      <c r="O1547" s="2304">
        <f t="shared" si="287"/>
        <v>0</v>
      </c>
      <c r="P1547" s="2209"/>
      <c r="Q1547" s="2210"/>
      <c r="R1547" s="2210"/>
      <c r="S1547" s="2210"/>
    </row>
    <row r="1548" spans="1:19" s="2049" customFormat="1" ht="15" outlineLevel="1">
      <c r="A1548" s="2126" t="str">
        <f>IF(G1548&lt;&gt;0,1,"")</f>
        <v/>
      </c>
      <c r="B1548" s="2196" t="s">
        <v>6122</v>
      </c>
      <c r="C1548" s="2202"/>
      <c r="D1548" s="2096" t="s">
        <v>5295</v>
      </c>
      <c r="E1548" s="2138" t="s">
        <v>6247</v>
      </c>
      <c r="F1548" s="2096" t="s">
        <v>2433</v>
      </c>
      <c r="G1548" s="2213">
        <f>+G1539*(IF(G1542&gt;0,2,0)+IF(G1543&gt;0,1,0))</f>
        <v>0</v>
      </c>
      <c r="H1548" s="2303">
        <v>0</v>
      </c>
      <c r="I1548" s="2360"/>
      <c r="J1548" s="2303" t="s">
        <v>6248</v>
      </c>
      <c r="K1548" s="2303">
        <v>0</v>
      </c>
      <c r="L1548" s="2304">
        <f>H1548*G1548</f>
        <v>0</v>
      </c>
      <c r="M1548" s="2304">
        <f t="shared" si="286"/>
        <v>0</v>
      </c>
      <c r="N1548" s="2303">
        <v>0</v>
      </c>
      <c r="O1548" s="2304">
        <f t="shared" si="287"/>
        <v>0</v>
      </c>
      <c r="P1548" s="2209"/>
      <c r="Q1548" s="2210"/>
      <c r="R1548" s="2210"/>
      <c r="S1548" s="2210"/>
    </row>
    <row r="1549" spans="1:19" s="2049" customFormat="1" ht="15" outlineLevel="1">
      <c r="A1549" s="2126" t="str">
        <f>IF(G1549&lt;&gt;0,1,"")</f>
        <v/>
      </c>
      <c r="B1549" s="2205"/>
      <c r="C1549" s="2202">
        <f>IF(G1549&gt;0,C1535+1,C1535)</f>
        <v>0</v>
      </c>
      <c r="D1549" s="2203"/>
      <c r="E1549" s="2361" t="s">
        <v>6123</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5" outlineLevel="1">
      <c r="A1550" s="2126" t="str">
        <f>A1549</f>
        <v/>
      </c>
      <c r="B1550" s="2205"/>
      <c r="C1550" s="2202"/>
      <c r="D1550" s="2203"/>
      <c r="E1550" s="2211" t="s">
        <v>6037</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ht="15" outlineLevel="1">
      <c r="A1551" s="2126" t="str">
        <f>IF(G1551&lt;&gt;0,1,"")</f>
        <v/>
      </c>
      <c r="B1551" s="2077" t="s">
        <v>5073</v>
      </c>
      <c r="C1551" s="2202"/>
      <c r="D1551" s="2096">
        <v>0</v>
      </c>
      <c r="E1551" s="2138" t="s">
        <v>5074</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ht="15" outlineLevel="1">
      <c r="A1552" s="2126" t="str">
        <f>IF(G1552&lt;&gt;0,1,"")</f>
        <v/>
      </c>
      <c r="B1552" s="2074" t="s">
        <v>486</v>
      </c>
      <c r="C1552" s="2202"/>
      <c r="D1552" s="2096">
        <v>0</v>
      </c>
      <c r="E1552" s="2138" t="s">
        <v>4996</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ht="15"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ht="15" outlineLevel="1">
      <c r="A1554" s="2126" t="str">
        <f>IF(G1554&lt;&gt;0,1,"")</f>
        <v/>
      </c>
      <c r="B1554" s="2196" t="s">
        <v>2237</v>
      </c>
      <c r="C1554" s="2202"/>
      <c r="D1554" s="2096" t="s">
        <v>5361</v>
      </c>
      <c r="E1554" s="2138" t="s">
        <v>2434</v>
      </c>
      <c r="F1554" s="2096" t="s">
        <v>2433</v>
      </c>
      <c r="G1554" s="2213">
        <f>+G1549</f>
        <v>0</v>
      </c>
      <c r="H1554" s="2208">
        <v>0</v>
      </c>
      <c r="I1554" s="2303"/>
      <c r="J1554" s="2303" t="s">
        <v>6249</v>
      </c>
      <c r="K1554" s="2303"/>
      <c r="L1554" s="2304">
        <f t="shared" si="288"/>
        <v>0</v>
      </c>
      <c r="M1554" s="2304"/>
      <c r="N1554" s="2303">
        <v>0</v>
      </c>
      <c r="O1554" s="2304"/>
      <c r="P1554" s="2209"/>
      <c r="Q1554" s="2210"/>
      <c r="R1554" s="2210"/>
      <c r="S1554" s="2210"/>
    </row>
    <row r="1555" spans="1:19" s="2049" customFormat="1" ht="15" outlineLevel="1">
      <c r="A1555" s="2126" t="str">
        <f>IF(G1555&lt;&gt;0,1,"")</f>
        <v/>
      </c>
      <c r="B1555" s="2205"/>
      <c r="C1555" s="2202">
        <f>IF(G1555&gt;0,C1539+1,C1539)</f>
        <v>0</v>
      </c>
      <c r="D1555" s="2203"/>
      <c r="E1555" s="2361" t="s">
        <v>6124</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5" outlineLevel="1">
      <c r="A1556" s="2126" t="str">
        <f>A1555</f>
        <v/>
      </c>
      <c r="B1556" s="2205"/>
      <c r="C1556" s="2202"/>
      <c r="D1556" s="2203"/>
      <c r="E1556" s="2211" t="s">
        <v>6037</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ht="15"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ht="15"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ht="15" outlineLevel="1">
      <c r="A1559" s="2126" t="str">
        <f>IF(G1559&lt;&gt;0,1,"")</f>
        <v/>
      </c>
      <c r="B1559" s="2205" t="s">
        <v>2237</v>
      </c>
      <c r="C1559" s="2202"/>
      <c r="D1559" s="2096" t="s">
        <v>5361</v>
      </c>
      <c r="E1559" s="2138" t="s">
        <v>2434</v>
      </c>
      <c r="F1559" s="2096" t="s">
        <v>2433</v>
      </c>
      <c r="G1559" s="2213">
        <f>G1511</f>
        <v>0</v>
      </c>
      <c r="H1559" s="2208">
        <v>0</v>
      </c>
      <c r="I1559" s="2303"/>
      <c r="J1559" s="2303" t="s">
        <v>6249</v>
      </c>
      <c r="K1559" s="2303"/>
      <c r="L1559" s="2304">
        <f t="shared" si="288"/>
        <v>0</v>
      </c>
      <c r="M1559" s="2304"/>
      <c r="N1559" s="2303">
        <v>0</v>
      </c>
      <c r="O1559" s="2304"/>
      <c r="P1559" s="2209"/>
      <c r="Q1559" s="2210"/>
      <c r="R1559" s="2210"/>
      <c r="S1559" s="2210"/>
    </row>
    <row r="1560" spans="1:19" s="2049" customFormat="1" ht="15" outlineLevel="1">
      <c r="A1560" s="2126" t="str">
        <f>IF(G1560&lt;&gt;0,1,"")</f>
        <v/>
      </c>
      <c r="B1560" s="2205"/>
      <c r="C1560" s="2202">
        <f>IF(G1560&gt;0,C1555+1,C1555)</f>
        <v>0</v>
      </c>
      <c r="D1560" s="2203"/>
      <c r="E1560" s="2361" t="s">
        <v>6125</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5" outlineLevel="1">
      <c r="A1561" s="2126" t="str">
        <f>A1560</f>
        <v/>
      </c>
      <c r="B1561" s="2205"/>
      <c r="C1561" s="2202"/>
      <c r="D1561" s="2203"/>
      <c r="E1561" s="2211" t="s">
        <v>6037</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ht="15"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ht="15"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ht="15"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ht="15" outlineLevel="1">
      <c r="A1565" s="2126" t="str">
        <f>IF(G1565&lt;&gt;0,1,"")</f>
        <v/>
      </c>
      <c r="B1565" s="2205" t="s">
        <v>2237</v>
      </c>
      <c r="C1565" s="2202"/>
      <c r="D1565" s="2096" t="s">
        <v>5361</v>
      </c>
      <c r="E1565" s="2138" t="s">
        <v>2434</v>
      </c>
      <c r="F1565" s="2096" t="s">
        <v>2433</v>
      </c>
      <c r="G1565" s="2213">
        <f>G1560/2</f>
        <v>0</v>
      </c>
      <c r="H1565" s="2208">
        <v>0</v>
      </c>
      <c r="I1565" s="2303"/>
      <c r="J1565" s="2303" t="s">
        <v>6249</v>
      </c>
      <c r="K1565" s="2303"/>
      <c r="L1565" s="2304">
        <f t="shared" si="288"/>
        <v>0</v>
      </c>
      <c r="M1565" s="2304"/>
      <c r="N1565" s="2303">
        <v>0</v>
      </c>
      <c r="O1565" s="2304"/>
      <c r="P1565" s="2209"/>
      <c r="Q1565" s="2210"/>
      <c r="R1565" s="2210"/>
      <c r="S1565" s="2210"/>
    </row>
    <row r="1566" spans="1:19" s="2049" customFormat="1" ht="15"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5" outlineLevel="1">
      <c r="A1567" s="2126" t="str">
        <f>+A1566</f>
        <v/>
      </c>
      <c r="B1567" s="2362"/>
      <c r="C1567" s="2202"/>
      <c r="D1567" s="2203"/>
      <c r="E1567" s="2211" t="s">
        <v>6037</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ht="15"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ht="15" outlineLevel="1">
      <c r="A1569" s="2126" t="str">
        <f t="shared" si="290"/>
        <v/>
      </c>
      <c r="B1569" s="2196" t="s">
        <v>1504</v>
      </c>
      <c r="C1569" s="2202"/>
      <c r="D1569" s="2096">
        <v>0</v>
      </c>
      <c r="E1569" s="2138" t="s">
        <v>5081</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ht="15"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ht="15"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ht="15"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ht="15" outlineLevel="1">
      <c r="A1573" s="2126" t="str">
        <f t="shared" si="290"/>
        <v/>
      </c>
      <c r="B1573" s="2196" t="s">
        <v>523</v>
      </c>
      <c r="C1573" s="2202"/>
      <c r="D1573" s="2096">
        <v>0</v>
      </c>
      <c r="E1573" s="2138" t="s">
        <v>5170</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ht="15" outlineLevel="1">
      <c r="A1574" s="2126" t="str">
        <f t="shared" si="290"/>
        <v/>
      </c>
      <c r="B1574" s="2196" t="s">
        <v>1581</v>
      </c>
      <c r="C1574" s="2202"/>
      <c r="D1574" s="2096">
        <v>0</v>
      </c>
      <c r="E1574" s="2138" t="s">
        <v>5628</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ht="15" outlineLevel="1">
      <c r="A1575" s="2126">
        <f>IF(G1575=0,0,1)</f>
        <v>0</v>
      </c>
      <c r="B1575" s="2196" t="s">
        <v>791</v>
      </c>
      <c r="C1575" s="2212"/>
      <c r="D1575" s="2096" t="s">
        <v>5253</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ht="15" outlineLevel="1">
      <c r="A1576" s="2126">
        <f>IF(G1576=0,0,1)</f>
        <v>0</v>
      </c>
      <c r="B1576" s="2196" t="s">
        <v>795</v>
      </c>
      <c r="C1576" s="2212"/>
      <c r="D1576" s="2096" t="s">
        <v>5242</v>
      </c>
      <c r="E1576" s="2138" t="s">
        <v>5254</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ht="15" outlineLevel="1">
      <c r="A1577" s="2126">
        <f>IF(G1577=0,0,1)</f>
        <v>0</v>
      </c>
      <c r="B1577" s="2196" t="s">
        <v>899</v>
      </c>
      <c r="C1577" s="2212"/>
      <c r="D1577" s="2096" t="s">
        <v>5268</v>
      </c>
      <c r="E1577" s="2138" t="s">
        <v>5269</v>
      </c>
      <c r="F1577" s="2096" t="s">
        <v>2272</v>
      </c>
      <c r="G1577" s="2333">
        <f>G1569</f>
        <v>0</v>
      </c>
      <c r="H1577" s="2208">
        <v>0</v>
      </c>
      <c r="I1577" s="2208"/>
      <c r="J1577" s="2208" t="s">
        <v>6216</v>
      </c>
      <c r="K1577" s="2208">
        <v>0</v>
      </c>
      <c r="L1577" s="2208">
        <f>H1577*$G1577</f>
        <v>0</v>
      </c>
      <c r="M1577" s="2208">
        <f>I1577*$G1577</f>
        <v>0</v>
      </c>
      <c r="N1577" s="2208">
        <v>0</v>
      </c>
      <c r="O1577" s="2208">
        <f>K1577*$G1577</f>
        <v>0</v>
      </c>
      <c r="P1577" s="2333"/>
      <c r="Q1577" s="2210"/>
      <c r="R1577" s="2210"/>
      <c r="S1577" s="2210"/>
    </row>
    <row r="1578" spans="1:20" s="2049" customFormat="1" ht="15" outlineLevel="1">
      <c r="A1578" s="2126" t="str">
        <f>IF(G1578&lt;&gt;0,1,"")</f>
        <v/>
      </c>
      <c r="B1578" s="2196" t="s">
        <v>1433</v>
      </c>
      <c r="C1578" s="2202"/>
      <c r="D1578" s="2096" t="s">
        <v>5263</v>
      </c>
      <c r="E1578" s="2138" t="s">
        <v>5264</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ht="15" outlineLevel="1">
      <c r="A1579" s="2126" t="str">
        <f>IF(G1579&lt;&gt;0,1,"")</f>
        <v/>
      </c>
      <c r="B1579" s="2205"/>
      <c r="C1579" s="2202">
        <f>IF(G1579&gt;0,C1566+1,C1566)</f>
        <v>0</v>
      </c>
      <c r="D1579" s="2203"/>
      <c r="E1579" s="2206" t="s">
        <v>6126</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5" outlineLevel="1">
      <c r="A1580" s="2126" t="str">
        <f>A1579</f>
        <v/>
      </c>
      <c r="B1580" s="2205"/>
      <c r="C1580" s="2202"/>
      <c r="D1580" s="2203"/>
      <c r="E1580" s="2211" t="s">
        <v>6037</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ht="15" outlineLevel="1">
      <c r="A1581" s="2126" t="str">
        <f>IF(G1581&lt;&gt;0,1,"")</f>
        <v/>
      </c>
      <c r="B1581" s="2205" t="s">
        <v>650</v>
      </c>
      <c r="C1581" s="2212"/>
      <c r="D1581" s="2096">
        <v>0</v>
      </c>
      <c r="E1581" s="2138" t="s">
        <v>5207</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ht="15"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ht="15"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ht="15" outlineLevel="1">
      <c r="A1584" s="2126" t="str">
        <f>IF(G1584&lt;&gt;0,1,"")</f>
        <v/>
      </c>
      <c r="B1584" s="2205" t="s">
        <v>651</v>
      </c>
      <c r="C1584" s="2212"/>
      <c r="D1584" s="2096" t="s">
        <v>5388</v>
      </c>
      <c r="E1584" s="2138" t="s">
        <v>5391</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ht="15" outlineLevel="1">
      <c r="A1585" s="2126" t="str">
        <f>IF(G1585&lt;&gt;0,1,"")</f>
        <v/>
      </c>
      <c r="B1585" s="2205"/>
      <c r="C1585" s="2202">
        <f>IF(G1585&gt;0,C1579+1,C1579)</f>
        <v>0</v>
      </c>
      <c r="D1585" s="2203"/>
      <c r="E1585" s="2320" t="s">
        <v>6113</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5" outlineLevel="1">
      <c r="A1586" s="2126" t="str">
        <f>A1585</f>
        <v/>
      </c>
      <c r="B1586" s="2205"/>
      <c r="C1586" s="2202"/>
      <c r="D1586" s="2203"/>
      <c r="E1586" s="2211" t="s">
        <v>6037</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ht="15" outlineLevel="1">
      <c r="A1587" s="2126" t="str">
        <f>IF(G1587&lt;&gt;0,1,"")</f>
        <v/>
      </c>
      <c r="B1587" s="2205" t="s">
        <v>5560</v>
      </c>
      <c r="C1587" s="2212"/>
      <c r="D1587" s="2096" t="s">
        <v>5548</v>
      </c>
      <c r="E1587" s="2138" t="s">
        <v>6260</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ht="15" outlineLevel="1">
      <c r="A1588" s="2126" t="str">
        <f>IF(G1588&lt;&gt;0,1,"")</f>
        <v/>
      </c>
      <c r="B1588" s="2205" t="s">
        <v>877</v>
      </c>
      <c r="C1588" s="2202"/>
      <c r="D1588" s="2096">
        <v>0</v>
      </c>
      <c r="E1588" s="2138" t="s">
        <v>5713</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ht="15" outlineLevel="1">
      <c r="A1589" s="2126" t="str">
        <f>IF(G1589&lt;&gt;0,1,"")</f>
        <v/>
      </c>
      <c r="B1589" s="2205" t="s">
        <v>288</v>
      </c>
      <c r="C1589" s="2212"/>
      <c r="D1589" s="2096">
        <v>0</v>
      </c>
      <c r="E1589" s="2138" t="s">
        <v>5627</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ht="15" outlineLevel="1">
      <c r="A1590" s="2126" t="str">
        <f>IF(G1590&lt;&gt;0,1,"")</f>
        <v/>
      </c>
      <c r="B1590" s="2205"/>
      <c r="C1590" s="2202">
        <f>IF(G1590&gt;0,C1585+1,C1585)</f>
        <v>0</v>
      </c>
      <c r="D1590" s="2203"/>
      <c r="E1590" s="2204" t="s">
        <v>6067</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5" outlineLevel="1">
      <c r="A1591" s="2126" t="str">
        <f>A1590</f>
        <v/>
      </c>
      <c r="B1591" s="2205"/>
      <c r="C1591" s="2202"/>
      <c r="D1591" s="2203"/>
      <c r="E1591" s="2218" t="s">
        <v>6037</v>
      </c>
      <c r="F1591" s="2202"/>
      <c r="G1591" s="2207"/>
      <c r="H1591" s="2208"/>
      <c r="I1591" s="2208"/>
      <c r="J1591" s="2208"/>
      <c r="K1591" s="2208"/>
      <c r="L1591" s="2208"/>
      <c r="M1591" s="2208"/>
      <c r="N1591" s="2208"/>
      <c r="O1591" s="2208"/>
      <c r="P1591" s="2333"/>
      <c r="Q1591" s="2210"/>
      <c r="R1591" s="2210"/>
      <c r="S1591" s="2210"/>
    </row>
    <row r="1592" spans="1:19" s="2049" customFormat="1" ht="15" outlineLevel="1">
      <c r="A1592" s="2126" t="str">
        <f>IF(G1592&lt;&gt;0,1,"")</f>
        <v/>
      </c>
      <c r="B1592" s="2196" t="s">
        <v>694</v>
      </c>
      <c r="C1592" s="2212"/>
      <c r="D1592" s="2096">
        <v>0</v>
      </c>
      <c r="E1592" s="2138" t="s">
        <v>5005</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ht="15"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ht="15"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ht="15" outlineLevel="1">
      <c r="A1595" s="2126" t="str">
        <f>IF(G1595&lt;&gt;0,1,"")</f>
        <v/>
      </c>
      <c r="B1595" s="2301" t="s">
        <v>5614</v>
      </c>
      <c r="C1595" s="2212"/>
      <c r="D1595" s="2096">
        <v>0</v>
      </c>
      <c r="E1595" s="2138" t="s">
        <v>5615</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ht="15" outlineLevel="1">
      <c r="A1596" s="2126" t="str">
        <f>IF(G1596&lt;&gt;0,1,"")</f>
        <v/>
      </c>
      <c r="B1596" s="2301" t="s">
        <v>5620</v>
      </c>
      <c r="C1596" s="2212"/>
      <c r="D1596" s="2096">
        <v>0</v>
      </c>
      <c r="E1596" s="2138" t="s">
        <v>5621</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ht="15" outlineLevel="1">
      <c r="A1597" s="2126" t="str">
        <f>IF(G1597&lt;&gt;0,1,"")</f>
        <v/>
      </c>
      <c r="B1597" s="2301" t="s">
        <v>5622</v>
      </c>
      <c r="C1597" s="2212"/>
      <c r="D1597" s="2096">
        <v>0</v>
      </c>
      <c r="E1597" s="2138" t="s">
        <v>5623</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ht="15"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ht="15"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ht="15" outlineLevel="1">
      <c r="A1600" s="2126" t="str">
        <f t="shared" si="299"/>
        <v/>
      </c>
      <c r="B1600" s="2196" t="s">
        <v>1561</v>
      </c>
      <c r="C1600" s="2212"/>
      <c r="D1600" s="2096" t="s">
        <v>5477</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ht="15" outlineLevel="1">
      <c r="A1601" s="2126" t="str">
        <f t="shared" si="299"/>
        <v/>
      </c>
      <c r="B1601" s="2196" t="s">
        <v>1521</v>
      </c>
      <c r="C1601" s="2212"/>
      <c r="D1601" s="2096" t="s">
        <v>5487</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ht="15"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5" outlineLevel="1">
      <c r="A1603" s="2126" t="str">
        <f>A1602</f>
        <v/>
      </c>
      <c r="B1603" s="2205"/>
      <c r="C1603" s="2202"/>
      <c r="D1603" s="2203"/>
      <c r="E1603" s="2218" t="s">
        <v>6037</v>
      </c>
      <c r="F1603" s="2202"/>
      <c r="G1603" s="2207"/>
      <c r="H1603" s="2208"/>
      <c r="I1603" s="2208"/>
      <c r="J1603" s="2208"/>
      <c r="K1603" s="2208"/>
      <c r="L1603" s="2208"/>
      <c r="M1603" s="2208"/>
      <c r="N1603" s="2208"/>
      <c r="O1603" s="2208"/>
      <c r="P1603" s="2209"/>
      <c r="Q1603" s="2210"/>
      <c r="R1603" s="2210"/>
      <c r="S1603" s="2210"/>
    </row>
    <row r="1604" spans="1:19" s="2049" customFormat="1" ht="15"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ht="15" outlineLevel="1">
      <c r="A1605" s="2126" t="str">
        <f>IF(G1605&lt;&gt;0,1,"")</f>
        <v/>
      </c>
      <c r="B1605" s="2205" t="s">
        <v>86</v>
      </c>
      <c r="C1605" s="2212"/>
      <c r="D1605" s="2096">
        <v>0</v>
      </c>
      <c r="E1605" s="2138" t="s">
        <v>5711</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ht="15"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ht="15"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ht="15"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5" outlineLevel="1">
      <c r="A1609" s="2126" t="str">
        <f>A1608</f>
        <v/>
      </c>
      <c r="B1609" s="2196"/>
      <c r="C1609" s="2202"/>
      <c r="D1609" s="2203"/>
      <c r="E1609" s="2218" t="s">
        <v>6037</v>
      </c>
      <c r="F1609" s="2202"/>
      <c r="G1609" s="2213"/>
      <c r="H1609" s="2208"/>
      <c r="I1609" s="2208"/>
      <c r="J1609" s="2208"/>
      <c r="K1609" s="2208"/>
      <c r="L1609" s="2208"/>
      <c r="M1609" s="2208"/>
      <c r="N1609" s="2208"/>
      <c r="O1609" s="2208"/>
      <c r="P1609" s="2333"/>
      <c r="Q1609" s="2210"/>
      <c r="R1609" s="2210"/>
      <c r="S1609" s="2210"/>
    </row>
    <row r="1610" spans="1:19" s="2049" customFormat="1" ht="15"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ht="15"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ht="15"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ht="15" outlineLevel="1">
      <c r="A1613" s="2126" t="str">
        <f t="shared" si="301"/>
        <v/>
      </c>
      <c r="B1613" s="2205" t="s">
        <v>447</v>
      </c>
      <c r="C1613" s="2212"/>
      <c r="D1613" s="2096" t="s">
        <v>5646</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ht="15" outlineLevel="1">
      <c r="A1614" s="2126" t="str">
        <f t="shared" si="301"/>
        <v/>
      </c>
      <c r="B1614" s="2205" t="s">
        <v>2150</v>
      </c>
      <c r="C1614" s="2212"/>
      <c r="D1614" s="2096" t="s">
        <v>5643</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ht="15"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ht="15"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ht="15"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ht="15" outlineLevel="1">
      <c r="A1618" s="2126" t="str">
        <f t="shared" si="301"/>
        <v/>
      </c>
      <c r="B1618" s="2196" t="s">
        <v>728</v>
      </c>
      <c r="C1618" s="2212"/>
      <c r="D1618" s="2096">
        <v>0</v>
      </c>
      <c r="E1618" s="2138" t="s">
        <v>5176</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ht="15"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ht="15"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ht="15"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ht="15" outlineLevel="1">
      <c r="A1622" s="2126" t="str">
        <f t="shared" si="301"/>
        <v/>
      </c>
      <c r="B1622" s="2196" t="s">
        <v>6</v>
      </c>
      <c r="C1622" s="2212"/>
      <c r="D1622" s="2096"/>
      <c r="E1622" s="2138" t="s">
        <v>3552</v>
      </c>
      <c r="F1622" s="2096" t="s">
        <v>5720</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ht="15"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ht="15" outlineLevel="1">
      <c r="A1624" s="2126" t="str">
        <f t="shared" si="301"/>
        <v/>
      </c>
      <c r="B1624" s="2196" t="s">
        <v>669</v>
      </c>
      <c r="C1624" s="2212"/>
      <c r="D1624" s="2096">
        <v>0</v>
      </c>
      <c r="E1624" s="2138" t="s">
        <v>6261</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ht="15" outlineLevel="1">
      <c r="A1625" s="2126" t="str">
        <f t="shared" si="301"/>
        <v/>
      </c>
      <c r="B1625" s="2196" t="s">
        <v>246</v>
      </c>
      <c r="C1625" s="2212"/>
      <c r="D1625" s="2096" t="s">
        <v>5489</v>
      </c>
      <c r="E1625" s="2138" t="s">
        <v>5490</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ht="15" outlineLevel="1">
      <c r="A1626" s="2126">
        <f>A1506</f>
        <v>0</v>
      </c>
      <c r="B1626" s="2301"/>
      <c r="C1626" s="2367"/>
      <c r="D1626" s="2368"/>
      <c r="E1626" s="2343"/>
      <c r="F1626" s="2581"/>
      <c r="G1626" s="2582"/>
      <c r="H1626" s="2581"/>
      <c r="I1626" s="2581"/>
      <c r="J1626" s="2591" t="s">
        <v>6035</v>
      </c>
      <c r="K1626" s="2591"/>
      <c r="L1626" s="2369">
        <f>SUM(L1521:L1625)</f>
        <v>0</v>
      </c>
      <c r="M1626" s="2369">
        <f>SUM(M1522:M1625)</f>
        <v>0</v>
      </c>
      <c r="N1626" s="2369">
        <f>SUM(N1522:N1625)</f>
        <v>0</v>
      </c>
      <c r="O1626" s="2369">
        <f>SUM(O1522:O1625)</f>
        <v>0</v>
      </c>
      <c r="P1626" s="2340"/>
      <c r="Q1626" s="2210"/>
      <c r="R1626" s="2210"/>
      <c r="S1626" s="2210"/>
    </row>
    <row r="1627" spans="1:19" s="2049" customFormat="1" ht="13.9"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ht="15"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ht="15" outlineLevel="1">
      <c r="A1629" s="2126">
        <f>A1627</f>
        <v>0</v>
      </c>
      <c r="B1629" s="2205" t="s">
        <v>6016</v>
      </c>
      <c r="C1629" s="2592" t="s">
        <v>1704</v>
      </c>
      <c r="D1629" s="2593" t="s">
        <v>2589</v>
      </c>
      <c r="E1629" s="2595" t="s">
        <v>2590</v>
      </c>
      <c r="F1629" s="2592" t="s">
        <v>2585</v>
      </c>
      <c r="G1629" s="2053" t="s">
        <v>6017</v>
      </c>
      <c r="H1629" s="2056" t="s">
        <v>6018</v>
      </c>
      <c r="I1629" s="2563"/>
      <c r="J1629" s="2563"/>
      <c r="K1629" s="2564"/>
      <c r="L1629" s="2056" t="s">
        <v>6019</v>
      </c>
      <c r="M1629" s="2563"/>
      <c r="N1629" s="2563"/>
      <c r="O1629" s="2564"/>
      <c r="P1629" s="2477" t="s">
        <v>2591</v>
      </c>
      <c r="Q1629" s="2210"/>
      <c r="R1629" s="2210"/>
      <c r="S1629" s="2210"/>
    </row>
    <row r="1630" spans="1:19" s="2049" customFormat="1" ht="15" outlineLevel="1">
      <c r="A1630" s="2126">
        <f>A1629</f>
        <v>0</v>
      </c>
      <c r="B1630" s="2205"/>
      <c r="C1630" s="2592"/>
      <c r="D1630" s="2594"/>
      <c r="E1630" s="2596"/>
      <c r="F1630" s="2592"/>
      <c r="G1630" s="2055" t="s">
        <v>2280</v>
      </c>
      <c r="H1630" s="2056" t="s">
        <v>6020</v>
      </c>
      <c r="I1630" s="2056" t="s">
        <v>6021</v>
      </c>
      <c r="J1630" s="2056" t="s">
        <v>6022</v>
      </c>
      <c r="K1630" s="2056" t="s">
        <v>6023</v>
      </c>
      <c r="L1630" s="2056" t="s">
        <v>6020</v>
      </c>
      <c r="M1630" s="2056" t="s">
        <v>6021</v>
      </c>
      <c r="N1630" s="2056" t="s">
        <v>6022</v>
      </c>
      <c r="O1630" s="2056" t="s">
        <v>6023</v>
      </c>
      <c r="P1630" s="2477"/>
      <c r="Q1630" s="2210"/>
      <c r="R1630" s="2210"/>
      <c r="S1630" s="2210"/>
    </row>
    <row r="1631" spans="1:19" s="2049" customFormat="1" ht="15"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ht="15" outlineLevel="1">
      <c r="A1632" s="2126" t="str">
        <f t="shared" ref="A1632:A1643" si="306">IF(G1632&lt;&gt;0,1,"")</f>
        <v/>
      </c>
      <c r="B1632" s="2196" t="s">
        <v>1275</v>
      </c>
      <c r="C1632" s="2212">
        <f>IF(G1632&gt;0,1,0)</f>
        <v>0</v>
      </c>
      <c r="D1632" s="2096" t="s">
        <v>5509</v>
      </c>
      <c r="E1632" s="2399" t="s">
        <v>6262</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30" outlineLevel="1">
      <c r="A1633" s="2126" t="str">
        <f t="shared" si="306"/>
        <v/>
      </c>
      <c r="B1633" s="2062" t="s">
        <v>5546</v>
      </c>
      <c r="C1633" s="2212">
        <f t="shared" ref="C1633:C1643" si="311">IF(G1633&gt;0,C1632+1,C1632)</f>
        <v>0</v>
      </c>
      <c r="D1633" s="2096" t="s">
        <v>5544</v>
      </c>
      <c r="E1633" s="2399" t="s">
        <v>5547</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ht="15" outlineLevel="1">
      <c r="A1634" s="2126" t="str">
        <f t="shared" si="306"/>
        <v/>
      </c>
      <c r="B1634" s="2062" t="str">
        <f>"FCO200-"&amp;$F$8</f>
        <v>FCO200-22</v>
      </c>
      <c r="C1634" s="2212">
        <f>IF(G1634&gt;0,C1633+1,C1633)</f>
        <v>0</v>
      </c>
      <c r="D1634" s="2096" t="s">
        <v>5513</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6139</v>
      </c>
      <c r="Q1634" s="2210"/>
      <c r="R1634" s="2210"/>
      <c r="S1634" s="2210"/>
    </row>
    <row r="1635" spans="1:19" s="2049" customFormat="1" ht="15"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ht="15" outlineLevel="1">
      <c r="A1636" s="2126" t="str">
        <f t="shared" si="306"/>
        <v/>
      </c>
      <c r="B1636" s="2205" t="str">
        <f>"LA"&amp;$F$6</f>
        <v>LA18</v>
      </c>
      <c r="C1636" s="2212">
        <f t="shared" si="311"/>
        <v>0</v>
      </c>
      <c r="D1636" s="2096" t="s">
        <v>5517</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ht="15" outlineLevel="1">
      <c r="A1637" s="2126" t="str">
        <f t="shared" si="306"/>
        <v/>
      </c>
      <c r="B1637" s="2205" t="str">
        <f>"LA"&amp;$F$6</f>
        <v>LA18</v>
      </c>
      <c r="C1637" s="2212">
        <f t="shared" si="311"/>
        <v>0</v>
      </c>
      <c r="D1637" s="2096" t="s">
        <v>5517</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6139</v>
      </c>
      <c r="Q1637" s="2210"/>
      <c r="R1637" s="2210"/>
      <c r="S1637" s="2210"/>
    </row>
    <row r="1638" spans="1:19" s="2049" customFormat="1" ht="15" outlineLevel="1">
      <c r="A1638" s="2126" t="str">
        <f t="shared" si="306"/>
        <v/>
      </c>
      <c r="B1638" s="2301" t="s">
        <v>5606</v>
      </c>
      <c r="C1638" s="2212">
        <f t="shared" si="311"/>
        <v>0</v>
      </c>
      <c r="D1638" s="2096" t="s">
        <v>5603</v>
      </c>
      <c r="E1638" s="2138" t="s">
        <v>5607</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ht="15" outlineLevel="1">
      <c r="A1639" s="2126" t="str">
        <f t="shared" si="306"/>
        <v/>
      </c>
      <c r="B1639" s="2301" t="s">
        <v>949</v>
      </c>
      <c r="C1639" s="2212">
        <f t="shared" si="311"/>
        <v>0</v>
      </c>
      <c r="D1639" s="2096" t="s">
        <v>5600</v>
      </c>
      <c r="E1639" s="2138" t="s">
        <v>5601</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ht="15" outlineLevel="1">
      <c r="A1640" s="2126" t="str">
        <f t="shared" si="306"/>
        <v/>
      </c>
      <c r="B1640" s="2301" t="s">
        <v>6140</v>
      </c>
      <c r="C1640" s="2212">
        <f t="shared" si="311"/>
        <v>0</v>
      </c>
      <c r="D1640" s="2096" t="s">
        <v>5528</v>
      </c>
      <c r="E1640" s="2138" t="s">
        <v>5529</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ht="15"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ht="15" outlineLevel="1">
      <c r="A1642" s="2126" t="str">
        <f t="shared" si="306"/>
        <v/>
      </c>
      <c r="B1642" s="2193" t="s">
        <v>2182</v>
      </c>
      <c r="C1642" s="2212">
        <f t="shared" si="311"/>
        <v>0</v>
      </c>
      <c r="D1642" s="2096">
        <v>0</v>
      </c>
      <c r="E1642" s="2138" t="s">
        <v>5526</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ht="15"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6025</v>
      </c>
      <c r="K1644" s="2252"/>
      <c r="L1644" s="2254">
        <f>SUM(L1632:L1643)</f>
        <v>0</v>
      </c>
      <c r="M1644" s="2254">
        <f>SUM(M1632:M1643)</f>
        <v>0</v>
      </c>
      <c r="N1644" s="2254">
        <f>SUM(N1632:N1643)</f>
        <v>0</v>
      </c>
      <c r="O1644" s="2254">
        <f>SUM(O1632:O1643)</f>
        <v>0</v>
      </c>
      <c r="P1644" s="2404"/>
    </row>
    <row r="1645" spans="1:19" s="2049" customFormat="1" ht="15"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ht="15" outlineLevel="1">
      <c r="A1646" s="2126" t="str">
        <f t="shared" ref="A1646:A1664" si="312">IF(G1646&lt;&gt;0,1,"")</f>
        <v/>
      </c>
      <c r="B1646" s="2345"/>
      <c r="C1646" s="2346">
        <f>IF(G1646&gt;0,1,0)</f>
        <v>0</v>
      </c>
      <c r="D1646" s="2096"/>
      <c r="E1646" s="2347" t="s">
        <v>6026</v>
      </c>
      <c r="F1646" s="2348" t="s">
        <v>2271</v>
      </c>
      <c r="G1646" s="2405"/>
      <c r="H1646" s="2348"/>
      <c r="I1646" s="2348"/>
      <c r="J1646" s="2348"/>
      <c r="K1646" s="2348"/>
      <c r="L1646" s="2349"/>
      <c r="M1646" s="2349"/>
      <c r="N1646" s="2349"/>
      <c r="O1646" s="2350"/>
      <c r="P1646" s="2333"/>
      <c r="Q1646" s="2210"/>
      <c r="R1646" s="2210"/>
      <c r="S1646" s="2210"/>
    </row>
    <row r="1647" spans="1:19" s="2049" customFormat="1" ht="15"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ht="15"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ht="15"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ht="15" outlineLevel="1">
      <c r="A1650" s="2126" t="str">
        <f t="shared" si="312"/>
        <v/>
      </c>
      <c r="B1650" s="2345"/>
      <c r="C1650" s="2346">
        <f>IF(G1650&gt;0,1,0)</f>
        <v>0</v>
      </c>
      <c r="D1650" s="2096"/>
      <c r="E1650" s="2347" t="s">
        <v>6121</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ht="15"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ht="15"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ht="15"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ht="15"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ht="15" outlineLevel="1">
      <c r="A1655" s="2126" t="str">
        <f t="shared" si="312"/>
        <v/>
      </c>
      <c r="B1655" s="2301" t="s">
        <v>633</v>
      </c>
      <c r="C1655" s="2351"/>
      <c r="D1655" s="2096" t="s">
        <v>4965</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ht="15" outlineLevel="1">
      <c r="A1656" s="2126" t="str">
        <f t="shared" si="312"/>
        <v/>
      </c>
      <c r="B1656" s="2301" t="s">
        <v>564</v>
      </c>
      <c r="C1656" s="2351"/>
      <c r="D1656" s="2096"/>
      <c r="E1656" s="2352" t="s">
        <v>4990</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ht="15" outlineLevel="1">
      <c r="A1657" s="2126" t="str">
        <f t="shared" si="312"/>
        <v/>
      </c>
      <c r="B1657" s="2301" t="s">
        <v>636</v>
      </c>
      <c r="C1657" s="2351"/>
      <c r="D1657" s="2096" t="s">
        <v>1742</v>
      </c>
      <c r="E1657" s="2352" t="s">
        <v>5241</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ht="15" outlineLevel="1">
      <c r="A1658" s="2126" t="str">
        <f t="shared" si="312"/>
        <v/>
      </c>
      <c r="B1658" s="2301" t="s">
        <v>21</v>
      </c>
      <c r="C1658" s="2351"/>
      <c r="D1658" s="2096" t="s">
        <v>5242</v>
      </c>
      <c r="E1658" s="2352" t="s">
        <v>5243</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ht="15"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ht="15" outlineLevel="1">
      <c r="A1660" s="2126" t="str">
        <f t="shared" si="312"/>
        <v/>
      </c>
      <c r="B1660" s="2301" t="s">
        <v>633</v>
      </c>
      <c r="C1660" s="2351"/>
      <c r="D1660" s="2096" t="s">
        <v>4965</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ht="15" outlineLevel="1">
      <c r="A1661" s="2126" t="str">
        <f t="shared" si="312"/>
        <v/>
      </c>
      <c r="B1661" s="2301" t="s">
        <v>564</v>
      </c>
      <c r="C1661" s="2351"/>
      <c r="D1661" s="2096"/>
      <c r="E1661" s="2352" t="s">
        <v>4990</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ht="15" outlineLevel="1">
      <c r="A1662" s="2126" t="str">
        <f t="shared" si="312"/>
        <v/>
      </c>
      <c r="B1662" s="2301" t="s">
        <v>636</v>
      </c>
      <c r="C1662" s="2351"/>
      <c r="D1662" s="2096" t="s">
        <v>1742</v>
      </c>
      <c r="E1662" s="2352" t="s">
        <v>5241</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ht="15" outlineLevel="1">
      <c r="A1663" s="2126" t="str">
        <f t="shared" si="312"/>
        <v/>
      </c>
      <c r="B1663" s="2301" t="s">
        <v>21</v>
      </c>
      <c r="C1663" s="2351"/>
      <c r="D1663" s="2096" t="s">
        <v>5242</v>
      </c>
      <c r="E1663" s="2352" t="s">
        <v>5243</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ht="15"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5" outlineLevel="1">
      <c r="A1665" s="2126" t="str">
        <f>A1664</f>
        <v/>
      </c>
      <c r="B1665" s="2205"/>
      <c r="C1665" s="2202"/>
      <c r="D1665" s="2358"/>
      <c r="E1665" s="2211" t="s">
        <v>6037</v>
      </c>
      <c r="F1665" s="2212"/>
      <c r="G1665" s="2394"/>
      <c r="H1665" s="2359"/>
      <c r="I1665" s="2359"/>
      <c r="J1665" s="2359"/>
      <c r="K1665" s="2359"/>
      <c r="L1665" s="2359"/>
      <c r="M1665" s="2359"/>
      <c r="N1665" s="2359"/>
      <c r="O1665" s="2359"/>
      <c r="P1665" s="2393"/>
      <c r="Q1665" s="2210"/>
      <c r="R1665" s="2210"/>
      <c r="S1665" s="2210"/>
    </row>
    <row r="1666" spans="1:16383" s="2049" customFormat="1" ht="15" outlineLevel="1">
      <c r="A1666" s="2126" t="str">
        <f t="shared" ref="A1666:A1671" si="313">IF(G1666&lt;&gt;0,1,"")</f>
        <v/>
      </c>
      <c r="B1666" s="2196" t="s">
        <v>1404</v>
      </c>
      <c r="C1666" s="2202"/>
      <c r="D1666" s="2096">
        <v>0</v>
      </c>
      <c r="E1666" s="2138" t="s">
        <v>6257</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ht="15" outlineLevel="1">
      <c r="A1667" s="2126" t="str">
        <f t="shared" si="313"/>
        <v/>
      </c>
      <c r="B1667" s="2196" t="s">
        <v>1133</v>
      </c>
      <c r="C1667" s="2202"/>
      <c r="D1667" s="2096">
        <v>0</v>
      </c>
      <c r="E1667" s="2138" t="s">
        <v>6243</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ht="15" outlineLevel="1">
      <c r="A1668" s="2126" t="str">
        <f t="shared" si="313"/>
        <v/>
      </c>
      <c r="B1668" s="2196" t="s">
        <v>1134</v>
      </c>
      <c r="C1668" s="2202"/>
      <c r="D1668" s="2096">
        <v>0</v>
      </c>
      <c r="E1668" s="2138" t="s">
        <v>6244</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ht="15"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ht="15"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ht="15"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ht="15" outlineLevel="1">
      <c r="A1672" s="2126" t="str">
        <f>IF(G1672&lt;&gt;0,1,"")</f>
        <v/>
      </c>
      <c r="B1672" s="2065" t="s">
        <v>5342</v>
      </c>
      <c r="C1672" s="2202"/>
      <c r="D1672" s="2096" t="s">
        <v>5343</v>
      </c>
      <c r="E1672" s="2138" t="s">
        <v>5344</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ht="15" outlineLevel="1">
      <c r="A1673" s="2126" t="str">
        <f>IF(G1673&lt;&gt;0,1,"")</f>
        <v/>
      </c>
      <c r="B1673" s="2205"/>
      <c r="C1673" s="2407">
        <f>IF(G1673&gt;0,C1664+1,C1664)</f>
        <v>0</v>
      </c>
      <c r="D1673" s="2408"/>
      <c r="E1673" s="2409" t="s">
        <v>6141</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5" outlineLevel="1">
      <c r="A1674" s="2126" t="str">
        <f>A1673</f>
        <v/>
      </c>
      <c r="B1674" s="2205"/>
      <c r="C1674" s="2202"/>
      <c r="D1674" s="2203"/>
      <c r="E1674" s="2211" t="s">
        <v>6037</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ht="15" outlineLevel="1">
      <c r="A1675" s="2126" t="str">
        <f>IF(G1675&lt;&gt;0,1,"")</f>
        <v/>
      </c>
      <c r="B1675" s="2077" t="s">
        <v>5073</v>
      </c>
      <c r="C1675" s="2202"/>
      <c r="D1675" s="2096">
        <v>0</v>
      </c>
      <c r="E1675" s="2138" t="s">
        <v>5074</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ht="15" outlineLevel="1">
      <c r="A1676" s="2126"/>
      <c r="B1676" s="2077" t="s">
        <v>5076</v>
      </c>
      <c r="C1676" s="2202"/>
      <c r="D1676" s="2096">
        <v>0</v>
      </c>
      <c r="E1676" s="2138" t="s">
        <v>5077</v>
      </c>
      <c r="F1676" s="2096" t="s">
        <v>5078</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ht="15" outlineLevel="1">
      <c r="A1677" s="2126" t="str">
        <f>IF(G1677&lt;&gt;0,1,"")</f>
        <v/>
      </c>
      <c r="B1677" s="2074" t="s">
        <v>486</v>
      </c>
      <c r="C1677" s="2202"/>
      <c r="D1677" s="2096">
        <v>0</v>
      </c>
      <c r="E1677" s="2138" t="s">
        <v>4996</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ht="15"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ht="15" outlineLevel="1">
      <c r="A1679" s="2126" t="str">
        <f>IF(G1679&lt;&gt;0,1,"")</f>
        <v/>
      </c>
      <c r="B1679" s="2417" t="s">
        <v>5289</v>
      </c>
      <c r="C1679" s="2202"/>
      <c r="D1679" s="2096" t="s">
        <v>5066</v>
      </c>
      <c r="E1679" s="2138" t="s">
        <v>5290</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ht="15"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5" outlineLevel="1">
      <c r="A1681" s="2126" t="str">
        <f>A1680</f>
        <v/>
      </c>
      <c r="B1681" s="2205"/>
      <c r="C1681" s="2202"/>
      <c r="D1681" s="2203"/>
      <c r="E1681" s="2211" t="s">
        <v>6037</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ht="15" outlineLevel="1">
      <c r="A1682" s="2126" t="str">
        <f t="shared" ref="A1682:A1688" si="320">IF(G1682&lt;&gt;0,1,"")</f>
        <v/>
      </c>
      <c r="B1682" s="2205" t="s">
        <v>6142</v>
      </c>
      <c r="C1682" s="2202"/>
      <c r="D1682" s="2096">
        <v>0</v>
      </c>
      <c r="E1682" s="2138" t="s">
        <v>5157</v>
      </c>
      <c r="F1682" s="2096" t="s">
        <v>5092</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ht="15" outlineLevel="1">
      <c r="A1683" s="2126" t="str">
        <f t="shared" si="320"/>
        <v/>
      </c>
      <c r="B1683" s="2417" t="s">
        <v>5146</v>
      </c>
      <c r="C1683" s="2202"/>
      <c r="D1683" s="2096">
        <v>0</v>
      </c>
      <c r="E1683" s="2138" t="s">
        <v>6263</v>
      </c>
      <c r="F1683" s="2096" t="s">
        <v>5092</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ht="15"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ht="15"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ht="15"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ht="15" outlineLevel="1">
      <c r="A1687" s="2126" t="str">
        <f t="shared" si="320"/>
        <v/>
      </c>
      <c r="B1687" s="2193" t="s">
        <v>514</v>
      </c>
      <c r="C1687" s="2202"/>
      <c r="D1687" s="2096" t="s">
        <v>5338</v>
      </c>
      <c r="E1687" s="2138" t="s">
        <v>5339</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ht="15" outlineLevel="1">
      <c r="A1688" s="2418" t="str">
        <f t="shared" si="320"/>
        <v/>
      </c>
      <c r="B1688" s="2419"/>
      <c r="C1688" s="2407">
        <f>IF(G1688&gt;0,C1680+1,C1680)</f>
        <v>0</v>
      </c>
      <c r="D1688" s="2408"/>
      <c r="E1688" s="2409" t="s">
        <v>6143</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5" outlineLevel="1">
      <c r="A1689" s="2126" t="str">
        <f>A1688</f>
        <v/>
      </c>
      <c r="B1689" s="2205"/>
      <c r="C1689" s="2202"/>
      <c r="D1689" s="2203"/>
      <c r="E1689" s="2211" t="s">
        <v>6037</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ht="15" outlineLevel="1">
      <c r="A1690" s="2126" t="str">
        <f t="shared" ref="A1690:A1696" si="322">IF(G1690&lt;&gt;0,1,"")</f>
        <v/>
      </c>
      <c r="B1690" s="2205" t="s">
        <v>6142</v>
      </c>
      <c r="C1690" s="2202"/>
      <c r="D1690" s="2096">
        <v>0</v>
      </c>
      <c r="E1690" s="2138" t="s">
        <v>5157</v>
      </c>
      <c r="F1690" s="2096" t="s">
        <v>5092</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ht="15" outlineLevel="1">
      <c r="A1691" s="2126" t="str">
        <f t="shared" si="322"/>
        <v/>
      </c>
      <c r="B1691" s="2417" t="s">
        <v>5146</v>
      </c>
      <c r="C1691" s="2202"/>
      <c r="D1691" s="2096">
        <v>0</v>
      </c>
      <c r="E1691" s="2138" t="s">
        <v>6263</v>
      </c>
      <c r="F1691" s="2096" t="s">
        <v>5092</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ht="15"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ht="15"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ht="15"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ht="15" outlineLevel="1">
      <c r="A1695" s="2126" t="str">
        <f t="shared" si="322"/>
        <v/>
      </c>
      <c r="B1695" s="2205" t="s">
        <v>984</v>
      </c>
      <c r="C1695" s="2202"/>
      <c r="D1695" s="2096">
        <v>0</v>
      </c>
      <c r="E1695" s="2138" t="s">
        <v>5188</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ht="15" outlineLevel="1">
      <c r="A1696" s="2126" t="str">
        <f t="shared" si="322"/>
        <v/>
      </c>
      <c r="B1696" s="2205" t="s">
        <v>1436</v>
      </c>
      <c r="C1696" s="2202"/>
      <c r="D1696" s="2096" t="s">
        <v>5338</v>
      </c>
      <c r="E1696" s="2138" t="s">
        <v>5339</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ht="15" outlineLevel="1">
      <c r="A1697" s="2126" t="str">
        <f>IF(G1697&lt;&gt;0,1,"")</f>
        <v/>
      </c>
      <c r="B1697" s="2205"/>
      <c r="C1697" s="2407">
        <f>IF(G1697&gt;0,C1688+1,C1688)</f>
        <v>0</v>
      </c>
      <c r="D1697" s="2408"/>
      <c r="E1697" s="2409" t="s">
        <v>6144</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5" outlineLevel="1">
      <c r="A1698" s="2126" t="str">
        <f>A1697</f>
        <v/>
      </c>
      <c r="B1698" s="2205"/>
      <c r="C1698" s="2202"/>
      <c r="D1698" s="2203"/>
      <c r="E1698" s="2211" t="s">
        <v>6037</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ht="15" outlineLevel="1">
      <c r="A1699" s="2126" t="str">
        <f t="shared" ref="A1699:A1705" si="326">IF(G1699&lt;&gt;0,1,"")</f>
        <v/>
      </c>
      <c r="B1699" s="2417" t="s">
        <v>5154</v>
      </c>
      <c r="C1699" s="2202"/>
      <c r="D1699" s="2096">
        <v>0</v>
      </c>
      <c r="E1699" s="2138" t="s">
        <v>5155</v>
      </c>
      <c r="F1699" s="2096" t="s">
        <v>5092</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ht="15" outlineLevel="1">
      <c r="A1700" s="2126" t="str">
        <f t="shared" si="326"/>
        <v/>
      </c>
      <c r="B1700" s="2417" t="s">
        <v>5146</v>
      </c>
      <c r="C1700" s="2202"/>
      <c r="D1700" s="2096">
        <v>0</v>
      </c>
      <c r="E1700" s="2138" t="s">
        <v>5147</v>
      </c>
      <c r="F1700" s="2096" t="s">
        <v>5092</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ht="15"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ht="15"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ht="15"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ht="15" outlineLevel="1">
      <c r="A1704" s="2126" t="str">
        <f t="shared" si="326"/>
        <v/>
      </c>
      <c r="B1704" s="2417" t="s">
        <v>5324</v>
      </c>
      <c r="C1704" s="2202"/>
      <c r="D1704" s="2096" t="s">
        <v>5316</v>
      </c>
      <c r="E1704" s="2138" t="s">
        <v>5325</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ht="15" outlineLevel="1">
      <c r="A1705" s="2126" t="str">
        <f t="shared" si="326"/>
        <v/>
      </c>
      <c r="B1705" s="2205"/>
      <c r="C1705" s="2202">
        <f>IF(G1705&gt;0,C1697+1,C1697)</f>
        <v>0</v>
      </c>
      <c r="D1705" s="2203"/>
      <c r="E1705" s="2361" t="s">
        <v>6123</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5" outlineLevel="1">
      <c r="A1706" s="2126" t="str">
        <f>A1705</f>
        <v/>
      </c>
      <c r="B1706" s="2205"/>
      <c r="C1706" s="2202"/>
      <c r="D1706" s="2203"/>
      <c r="E1706" s="2211" t="s">
        <v>6037</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ht="15" outlineLevel="1">
      <c r="A1707" s="2126" t="str">
        <f>IF(G1707&lt;&gt;0,1,"")</f>
        <v/>
      </c>
      <c r="B1707" s="2077" t="s">
        <v>5073</v>
      </c>
      <c r="C1707" s="2202"/>
      <c r="D1707" s="2096">
        <v>0</v>
      </c>
      <c r="E1707" s="2138" t="s">
        <v>5074</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ht="15" outlineLevel="1">
      <c r="A1708" s="2126" t="str">
        <f>IF(G1708&lt;&gt;0,1,"")</f>
        <v/>
      </c>
      <c r="B1708" s="2074" t="s">
        <v>486</v>
      </c>
      <c r="C1708" s="2202"/>
      <c r="D1708" s="2096">
        <v>0</v>
      </c>
      <c r="E1708" s="2138" t="s">
        <v>4996</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ht="15"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ht="15" outlineLevel="1">
      <c r="A1710" s="2126" t="str">
        <f>IF(G1710&lt;&gt;0,1,"")</f>
        <v/>
      </c>
      <c r="B1710" s="2065" t="s">
        <v>6145</v>
      </c>
      <c r="C1710" s="2202"/>
      <c r="D1710" s="2096" t="s">
        <v>5066</v>
      </c>
      <c r="E1710" s="2138" t="s">
        <v>5294</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ht="15"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5" outlineLevel="1">
      <c r="A1712" s="2126" t="str">
        <f>A1711</f>
        <v/>
      </c>
      <c r="B1712" s="2205"/>
      <c r="C1712" s="2202"/>
      <c r="D1712" s="2203"/>
      <c r="E1712" s="2211" t="s">
        <v>6037</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ht="15"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ht="15"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ht="15" outlineLevel="1">
      <c r="A1715" s="2126" t="str">
        <f>IF(G1715&lt;&gt;0,1,"")</f>
        <v/>
      </c>
      <c r="B1715" s="2065" t="s">
        <v>5342</v>
      </c>
      <c r="C1715" s="2202"/>
      <c r="D1715" s="2096" t="s">
        <v>5343</v>
      </c>
      <c r="E1715" s="2138" t="s">
        <v>5344</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ht="15" outlineLevel="1">
      <c r="A1716" s="2126" t="str">
        <f>IF(G1716&lt;&gt;0,1,"")</f>
        <v/>
      </c>
      <c r="B1716" s="2205"/>
      <c r="C1716" s="2202">
        <f>IF(G1716&gt;0,C1711+1,C1711)</f>
        <v>0</v>
      </c>
      <c r="D1716" s="2203"/>
      <c r="E1716" s="2361" t="s">
        <v>6125</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5" outlineLevel="1">
      <c r="A1717" s="2126" t="str">
        <f>A1716</f>
        <v/>
      </c>
      <c r="B1717" s="2205"/>
      <c r="C1717" s="2202"/>
      <c r="D1717" s="2203"/>
      <c r="E1717" s="2211" t="s">
        <v>6037</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ht="15"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ht="15"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ht="15"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ht="15" outlineLevel="1">
      <c r="A1721" s="2126" t="str">
        <f>IF(G1721&lt;&gt;0,1,"")</f>
        <v/>
      </c>
      <c r="B1721" s="2065" t="s">
        <v>5342</v>
      </c>
      <c r="C1721" s="2202"/>
      <c r="D1721" s="2096" t="s">
        <v>5343</v>
      </c>
      <c r="E1721" s="2138" t="s">
        <v>5344</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5" outlineLevel="1">
      <c r="A1723" s="2126" t="str">
        <f>+A1722</f>
        <v/>
      </c>
      <c r="B1723" s="2362"/>
      <c r="C1723" s="2202"/>
      <c r="D1723" s="2203"/>
      <c r="E1723" s="2211" t="s">
        <v>6037</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ht="15"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ht="15" outlineLevel="1">
      <c r="A1725" s="2126" t="str">
        <f t="shared" si="328"/>
        <v/>
      </c>
      <c r="B1725" s="2196" t="s">
        <v>1504</v>
      </c>
      <c r="C1725" s="2202"/>
      <c r="D1725" s="2096">
        <v>0</v>
      </c>
      <c r="E1725" s="2138" t="s">
        <v>5081</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ht="15"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ht="15"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ht="15" outlineLevel="1">
      <c r="A1728" s="2126" t="str">
        <f t="shared" si="328"/>
        <v/>
      </c>
      <c r="B1728" s="2205" t="s">
        <v>6112</v>
      </c>
      <c r="C1728" s="2202"/>
      <c r="D1728" s="2096" t="s">
        <v>5639</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ht="15"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ht="15" outlineLevel="1">
      <c r="A1730" s="2126" t="str">
        <f t="shared" si="328"/>
        <v/>
      </c>
      <c r="B1730" s="2196" t="s">
        <v>523</v>
      </c>
      <c r="C1730" s="2363"/>
      <c r="D1730" s="2096">
        <v>0</v>
      </c>
      <c r="E1730" s="2138" t="s">
        <v>5170</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ht="15" outlineLevel="1">
      <c r="A1731" s="2126" t="str">
        <f t="shared" si="328"/>
        <v/>
      </c>
      <c r="B1731" s="2196" t="s">
        <v>1581</v>
      </c>
      <c r="C1731" s="2363"/>
      <c r="D1731" s="2096">
        <v>0</v>
      </c>
      <c r="E1731" s="2138" t="s">
        <v>5628</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ht="15" outlineLevel="1">
      <c r="A1732" s="2126" t="str">
        <f t="shared" si="328"/>
        <v/>
      </c>
      <c r="B1732" s="2196" t="s">
        <v>5082</v>
      </c>
      <c r="C1732" s="2363"/>
      <c r="D1732" s="2096">
        <v>0</v>
      </c>
      <c r="E1732" s="2138" t="s">
        <v>5083</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ht="15" outlineLevel="1">
      <c r="A1733" s="2126" t="str">
        <f t="shared" si="328"/>
        <v/>
      </c>
      <c r="B1733" s="2196" t="s">
        <v>5086</v>
      </c>
      <c r="C1733" s="2363"/>
      <c r="D1733" s="2096" t="s">
        <v>5087</v>
      </c>
      <c r="E1733" s="2138" t="s">
        <v>5088</v>
      </c>
      <c r="F1733" s="2096" t="s">
        <v>5089</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ht="15" outlineLevel="1">
      <c r="A1734" s="2126" t="str">
        <f t="shared" si="328"/>
        <v/>
      </c>
      <c r="B1734" s="2196" t="s">
        <v>5093</v>
      </c>
      <c r="C1734" s="2363"/>
      <c r="D1734" s="2096">
        <v>0</v>
      </c>
      <c r="E1734" s="2138" t="s">
        <v>5094</v>
      </c>
      <c r="F1734" s="2096" t="s">
        <v>5092</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ht="15" outlineLevel="1">
      <c r="A1735" s="2126" t="str">
        <f t="shared" si="328"/>
        <v/>
      </c>
      <c r="B1735" s="2196" t="s">
        <v>5097</v>
      </c>
      <c r="C1735" s="2363"/>
      <c r="D1735" s="2096">
        <v>0</v>
      </c>
      <c r="E1735" s="2138" t="s">
        <v>5098</v>
      </c>
      <c r="F1735" s="2096" t="s">
        <v>5092</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ht="15" outlineLevel="1">
      <c r="A1736" s="2126" t="str">
        <f t="shared" si="328"/>
        <v/>
      </c>
      <c r="B1736" s="2196" t="s">
        <v>6138</v>
      </c>
      <c r="C1736" s="2363"/>
      <c r="D1736" s="2096">
        <v>0</v>
      </c>
      <c r="E1736" s="2138" t="s">
        <v>4969</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ht="15" outlineLevel="1">
      <c r="A1737" s="2126" t="str">
        <f t="shared" si="328"/>
        <v/>
      </c>
      <c r="B1737" s="2196" t="s">
        <v>5099</v>
      </c>
      <c r="C1737" s="2363"/>
      <c r="D1737" s="2096">
        <v>0</v>
      </c>
      <c r="E1737" s="2138" t="s">
        <v>5100</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ht="15" outlineLevel="1">
      <c r="A1738" s="2126" t="str">
        <f t="shared" si="328"/>
        <v/>
      </c>
      <c r="B1738" s="2196" t="s">
        <v>5101</v>
      </c>
      <c r="C1738" s="2363"/>
      <c r="D1738" s="2096">
        <v>0</v>
      </c>
      <c r="E1738" s="2138" t="s">
        <v>5102</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ht="15" outlineLevel="1">
      <c r="A1739" s="2126" t="str">
        <f t="shared" si="328"/>
        <v/>
      </c>
      <c r="B1739" s="2196" t="s">
        <v>791</v>
      </c>
      <c r="C1739" s="2363"/>
      <c r="D1739" s="2096" t="s">
        <v>5253</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ht="15" outlineLevel="1">
      <c r="A1740" s="2126" t="str">
        <f t="shared" si="328"/>
        <v/>
      </c>
      <c r="B1740" s="2196" t="s">
        <v>795</v>
      </c>
      <c r="C1740" s="2363"/>
      <c r="D1740" s="2096" t="s">
        <v>5242</v>
      </c>
      <c r="E1740" s="2138" t="s">
        <v>5254</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ht="15" outlineLevel="1">
      <c r="A1741" s="2126" t="str">
        <f>IF(G1741&lt;&gt;0,1,"")</f>
        <v/>
      </c>
      <c r="B1741" s="2196" t="s">
        <v>899</v>
      </c>
      <c r="C1741" s="2202"/>
      <c r="D1741" s="2096" t="s">
        <v>5268</v>
      </c>
      <c r="E1741" s="2138" t="s">
        <v>5269</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ht="15" outlineLevel="1">
      <c r="A1742" s="2126" t="str">
        <f>IF(G1742&lt;&gt;0,1,"")</f>
        <v/>
      </c>
      <c r="B1742" s="2196" t="s">
        <v>1433</v>
      </c>
      <c r="C1742" s="2202"/>
      <c r="D1742" s="2096" t="s">
        <v>5263</v>
      </c>
      <c r="E1742" s="2138" t="s">
        <v>5264</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 customHeight="1">
      <c r="A1743" s="2423" t="str">
        <f>IF(G1743&lt;&gt;0,1,"")</f>
        <v/>
      </c>
      <c r="B1743" s="2424"/>
      <c r="C1743" s="2407">
        <f>IF(G1743&gt;0,C1722+1,C1722)</f>
        <v>0</v>
      </c>
      <c r="D1743" s="2425"/>
      <c r="E1743" s="2409" t="s">
        <v>6126</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5" outlineLevel="1">
      <c r="A1744" s="2126" t="str">
        <f>A1743</f>
        <v/>
      </c>
      <c r="B1744" s="2205"/>
      <c r="C1744" s="2202"/>
      <c r="D1744" s="2203"/>
      <c r="E1744" s="2211" t="s">
        <v>6037</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ht="15" outlineLevel="1">
      <c r="A1745" s="2126" t="str">
        <f>IF(G1745&lt;&gt;0,1,"")</f>
        <v/>
      </c>
      <c r="B1745" s="2205" t="s">
        <v>650</v>
      </c>
      <c r="C1745" s="2212"/>
      <c r="D1745" s="2096">
        <v>0</v>
      </c>
      <c r="E1745" s="2138" t="s">
        <v>5207</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ht="15"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ht="15"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ht="15" outlineLevel="1">
      <c r="A1748" s="2126" t="str">
        <f>IF(G1748&lt;&gt;0,1,"")</f>
        <v/>
      </c>
      <c r="B1748" s="2205" t="s">
        <v>651</v>
      </c>
      <c r="C1748" s="2212"/>
      <c r="D1748" s="2096" t="s">
        <v>5388</v>
      </c>
      <c r="E1748" s="2138" t="s">
        <v>5391</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 customHeight="1">
      <c r="A1749" s="2418" t="str">
        <f>IF(G1749&lt;&gt;0,1,"")</f>
        <v/>
      </c>
      <c r="B1749" s="2419"/>
      <c r="C1749" s="2407">
        <f>IF(G1749&gt;0,C1743+1,C1743)</f>
        <v>0</v>
      </c>
      <c r="D1749" s="2408"/>
      <c r="E1749" s="2409" t="s">
        <v>6146</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5" outlineLevel="1">
      <c r="A1750" s="2126" t="str">
        <f>A1749</f>
        <v/>
      </c>
      <c r="B1750" s="2205"/>
      <c r="C1750" s="2202"/>
      <c r="D1750" s="2203"/>
      <c r="E1750" s="2211" t="s">
        <v>6037</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ht="15" outlineLevel="1">
      <c r="A1751" s="2126" t="str">
        <f t="shared" ref="A1751:A1759" si="336">IF(G1751&lt;&gt;0,1,"")</f>
        <v/>
      </c>
      <c r="B1751" s="2428" t="s">
        <v>1420</v>
      </c>
      <c r="C1751" s="2212"/>
      <c r="D1751" s="2096">
        <v>0</v>
      </c>
      <c r="E1751" s="2138" t="s">
        <v>5164</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ht="15" outlineLevel="1">
      <c r="A1752" s="2126" t="str">
        <f t="shared" si="336"/>
        <v/>
      </c>
      <c r="B1752" s="2428" t="s">
        <v>2003</v>
      </c>
      <c r="C1752" s="2212"/>
      <c r="D1752" s="2096">
        <v>0</v>
      </c>
      <c r="E1752" s="2138" t="s">
        <v>5165</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ht="15" outlineLevel="1">
      <c r="A1753" s="2126" t="str">
        <f t="shared" si="336"/>
        <v/>
      </c>
      <c r="B1753" s="2429" t="s">
        <v>6147</v>
      </c>
      <c r="C1753" s="2212"/>
      <c r="D1753" s="2096">
        <v>0</v>
      </c>
      <c r="E1753" s="2138" t="s">
        <v>5401</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ht="15" outlineLevel="1">
      <c r="A1754" s="2126" t="str">
        <f t="shared" si="336"/>
        <v/>
      </c>
      <c r="B1754" s="2431" t="s">
        <v>5402</v>
      </c>
      <c r="C1754" s="2202"/>
      <c r="D1754" s="2096">
        <v>0</v>
      </c>
      <c r="E1754" s="2138" t="s">
        <v>5403</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ht="15" outlineLevel="1">
      <c r="A1755" s="2126" t="str">
        <f t="shared" si="336"/>
        <v/>
      </c>
      <c r="B1755" s="2432" t="s">
        <v>9</v>
      </c>
      <c r="C1755" s="2202"/>
      <c r="D1755" s="2096" t="s">
        <v>5395</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ht="15" outlineLevel="1">
      <c r="A1756" s="2126" t="str">
        <f t="shared" si="336"/>
        <v/>
      </c>
      <c r="B1756" s="2432" t="s">
        <v>583</v>
      </c>
      <c r="C1756" s="2202"/>
      <c r="D1756" s="2096" t="s">
        <v>5396</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ht="15" outlineLevel="1">
      <c r="A1757" s="2126" t="str">
        <f t="shared" si="336"/>
        <v/>
      </c>
      <c r="B1757" s="2205" t="s">
        <v>651</v>
      </c>
      <c r="C1757" s="2212"/>
      <c r="D1757" s="2096" t="s">
        <v>5388</v>
      </c>
      <c r="E1757" s="2138" t="s">
        <v>5391</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ht="15" outlineLevel="1">
      <c r="A1758" s="2126" t="str">
        <f t="shared" si="336"/>
        <v/>
      </c>
      <c r="B1758" s="2433" t="s">
        <v>1950</v>
      </c>
      <c r="C1758" s="2212"/>
      <c r="D1758" s="2096" t="s">
        <v>5388</v>
      </c>
      <c r="E1758" s="2138" t="s">
        <v>5389</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 customHeight="1">
      <c r="A1759" s="2418" t="str">
        <f t="shared" si="336"/>
        <v/>
      </c>
      <c r="B1759" s="2419"/>
      <c r="C1759" s="2407">
        <f>IF(G1759&gt;0,C1749+1,C1749)</f>
        <v>0</v>
      </c>
      <c r="D1759" s="2408"/>
      <c r="E1759" s="2409" t="s">
        <v>6148</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5" outlineLevel="1">
      <c r="A1760" s="2126" t="str">
        <f>A1759</f>
        <v/>
      </c>
      <c r="B1760" s="2205"/>
      <c r="C1760" s="2202"/>
      <c r="D1760" s="2203"/>
      <c r="E1760" s="2211" t="s">
        <v>6037</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ht="15" outlineLevel="1">
      <c r="A1761" s="2126" t="str">
        <f>IF(G1761&lt;&gt;0,1,"")</f>
        <v/>
      </c>
      <c r="B1761" s="2205" t="s">
        <v>5220</v>
      </c>
      <c r="C1761" s="2212"/>
      <c r="D1761" s="2096" t="s">
        <v>5221</v>
      </c>
      <c r="E1761" s="2138" t="s">
        <v>5222</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ht="15" outlineLevel="1">
      <c r="A1762" s="2126" t="str">
        <f>IF(G1762&lt;&gt;0,1,"")</f>
        <v/>
      </c>
      <c r="B1762" s="2205" t="s">
        <v>5281</v>
      </c>
      <c r="C1762" s="2212"/>
      <c r="D1762" s="2096" t="s">
        <v>5282</v>
      </c>
      <c r="E1762" s="2138" t="s">
        <v>5283</v>
      </c>
      <c r="F1762" s="2096" t="s">
        <v>5284</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ht="15" outlineLevel="1">
      <c r="A1763" s="2126" t="str">
        <f>IF(G1763&lt;&gt;0,1,"")</f>
        <v/>
      </c>
      <c r="B1763" s="2205" t="s">
        <v>5082</v>
      </c>
      <c r="C1763" s="2202"/>
      <c r="D1763" s="2096">
        <v>0</v>
      </c>
      <c r="E1763" s="2138" t="s">
        <v>5083</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ht="15" outlineLevel="1">
      <c r="A1764" s="2126" t="str">
        <f>IF(G1764&lt;&gt;0,1,"")</f>
        <v/>
      </c>
      <c r="B1764" s="2205" t="s">
        <v>5084</v>
      </c>
      <c r="C1764" s="2202"/>
      <c r="D1764" s="2096">
        <v>0</v>
      </c>
      <c r="E1764" s="2138" t="s">
        <v>5085</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ht="15" outlineLevel="1">
      <c r="A1765" s="2126" t="str">
        <f t="shared" ref="A1765:A1775" si="337">IF(G1765&lt;&gt;0,1,"")</f>
        <v/>
      </c>
      <c r="B1765" s="2205" t="s">
        <v>278</v>
      </c>
      <c r="C1765" s="2202"/>
      <c r="D1765" s="2096">
        <v>0</v>
      </c>
      <c r="E1765" s="2138" t="s">
        <v>6264</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ht="15" outlineLevel="1">
      <c r="A1766" s="2126" t="str">
        <f t="shared" si="337"/>
        <v/>
      </c>
      <c r="B1766" s="2205" t="s">
        <v>6149</v>
      </c>
      <c r="C1766" s="2202"/>
      <c r="D1766" s="2096">
        <v>0</v>
      </c>
      <c r="E1766" s="2138" t="s">
        <v>6265</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ht="15" outlineLevel="1">
      <c r="A1767" s="2126" t="str">
        <f t="shared" si="337"/>
        <v/>
      </c>
      <c r="B1767" s="2205" t="s">
        <v>742</v>
      </c>
      <c r="C1767" s="2202"/>
      <c r="D1767" s="2096">
        <v>0</v>
      </c>
      <c r="E1767" s="2138" t="s">
        <v>6266</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30" outlineLevel="1">
      <c r="A1768" s="2126" t="str">
        <f t="shared" si="337"/>
        <v/>
      </c>
      <c r="B1768" s="2205" t="s">
        <v>4976</v>
      </c>
      <c r="C1768" s="2202"/>
      <c r="D1768" s="2096">
        <v>0</v>
      </c>
      <c r="E1768" s="2222" t="s">
        <v>6267</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ht="15" outlineLevel="1">
      <c r="A1769" s="2126" t="str">
        <f t="shared" si="337"/>
        <v/>
      </c>
      <c r="B1769" s="2205" t="s">
        <v>6147</v>
      </c>
      <c r="C1769" s="2202"/>
      <c r="D1769" s="2096">
        <v>0</v>
      </c>
      <c r="E1769" s="2138" t="s">
        <v>6268</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ht="15"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ht="15" outlineLevel="1">
      <c r="A1771" s="2126" t="str">
        <f t="shared" si="337"/>
        <v/>
      </c>
      <c r="B1771" s="2205" t="s">
        <v>5404</v>
      </c>
      <c r="C1771" s="2202"/>
      <c r="D1771" s="2096" t="s">
        <v>5405</v>
      </c>
      <c r="E1771" s="2138" t="s">
        <v>5406</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ht="15" outlineLevel="1">
      <c r="A1772" s="2126" t="str">
        <f t="shared" si="337"/>
        <v/>
      </c>
      <c r="B1772" s="2205" t="s">
        <v>9</v>
      </c>
      <c r="C1772" s="2202"/>
      <c r="D1772" s="2096" t="s">
        <v>5395</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ht="15" outlineLevel="1">
      <c r="A1773" s="2126" t="str">
        <f t="shared" si="337"/>
        <v/>
      </c>
      <c r="B1773" s="2205" t="s">
        <v>651</v>
      </c>
      <c r="C1773" s="2212"/>
      <c r="D1773" s="2096" t="s">
        <v>5388</v>
      </c>
      <c r="E1773" s="2138" t="s">
        <v>5391</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ht="15" outlineLevel="1">
      <c r="A1774" s="2126" t="str">
        <f t="shared" si="337"/>
        <v/>
      </c>
      <c r="B1774" s="2205" t="s">
        <v>1950</v>
      </c>
      <c r="C1774" s="2212"/>
      <c r="D1774" s="2096" t="s">
        <v>5388</v>
      </c>
      <c r="E1774" s="2138" t="s">
        <v>5389</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ht="15" outlineLevel="1">
      <c r="A1775" s="2126" t="str">
        <f t="shared" si="337"/>
        <v/>
      </c>
      <c r="B1775" s="2205" t="s">
        <v>5397</v>
      </c>
      <c r="C1775" s="2212"/>
      <c r="D1775" s="2096" t="s">
        <v>5398</v>
      </c>
      <c r="E1775" s="2138" t="s">
        <v>5399</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 customHeight="1">
      <c r="A1776" s="2418" t="str">
        <f>IF(G1776&lt;&gt;0,1,"")</f>
        <v/>
      </c>
      <c r="B1776" s="2205"/>
      <c r="C1776" s="2407">
        <f>IF(G1776&gt;0,C1759+1,C1759)</f>
        <v>0</v>
      </c>
      <c r="D1776" s="2408"/>
      <c r="E1776" s="2409" t="s">
        <v>6113</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5" outlineLevel="1">
      <c r="A1777" s="2126" t="str">
        <f>A1776</f>
        <v/>
      </c>
      <c r="B1777" s="2205"/>
      <c r="C1777" s="2202"/>
      <c r="D1777" s="2203"/>
      <c r="E1777" s="2211" t="s">
        <v>6037</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ht="15" outlineLevel="1">
      <c r="A1778" s="2126" t="str">
        <f>IF(G1778&lt;&gt;0,1,"")</f>
        <v/>
      </c>
      <c r="B1778" s="2205" t="s">
        <v>5556</v>
      </c>
      <c r="C1778" s="2212"/>
      <c r="D1778" s="2096" t="s">
        <v>5548</v>
      </c>
      <c r="E1778" s="2138" t="s">
        <v>5557</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ht="15" outlineLevel="1">
      <c r="A1779" s="2126" t="str">
        <f>IF(G1779&lt;&gt;0,1,"")</f>
        <v/>
      </c>
      <c r="B1779" s="2205" t="s">
        <v>877</v>
      </c>
      <c r="C1779" s="2202"/>
      <c r="D1779" s="2096">
        <v>0</v>
      </c>
      <c r="E1779" s="2138" t="s">
        <v>5713</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ht="15" outlineLevel="1">
      <c r="A1780" s="2126" t="str">
        <f>IF(G1780&lt;&gt;0,1,"")</f>
        <v/>
      </c>
      <c r="B1780" s="2205" t="s">
        <v>288</v>
      </c>
      <c r="C1780" s="2212"/>
      <c r="D1780" s="2096">
        <v>0</v>
      </c>
      <c r="E1780" s="2138" t="s">
        <v>5627</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ht="15"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ht="15"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ht="15" outlineLevel="1">
      <c r="A1783" s="2126" t="str">
        <f t="shared" si="338"/>
        <v/>
      </c>
      <c r="B1783" s="2205" t="s">
        <v>5648</v>
      </c>
      <c r="C1783" s="2212"/>
      <c r="D1783" s="2096" t="s">
        <v>5638</v>
      </c>
      <c r="E1783" s="2138" t="s">
        <v>5649</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 customHeight="1">
      <c r="A1784" s="2423" t="str">
        <f>IF(G1784&lt;&gt;0,1,"")</f>
        <v/>
      </c>
      <c r="B1784" s="2205"/>
      <c r="C1784" s="2407">
        <f>IF(G1784&gt;0,C1776+1,C1776)</f>
        <v>0</v>
      </c>
      <c r="D1784" s="2425"/>
      <c r="E1784" s="2409" t="s">
        <v>6150</v>
      </c>
      <c r="F1784" s="2410" t="s">
        <v>2379</v>
      </c>
      <c r="G1784" s="2434"/>
      <c r="H1784" s="2413"/>
      <c r="I1784" s="2413"/>
      <c r="J1784" s="2426"/>
      <c r="K1784" s="2426"/>
      <c r="L1784" s="2416"/>
      <c r="M1784" s="2416"/>
      <c r="N1784" s="2416"/>
      <c r="O1784" s="2416"/>
      <c r="P1784" s="2427"/>
    </row>
    <row r="1785" spans="1:19" s="2443" customFormat="1" ht="15" outlineLevel="1">
      <c r="A1785" s="2435" t="str">
        <f>A1784</f>
        <v/>
      </c>
      <c r="B1785" s="2205"/>
      <c r="C1785" s="2436"/>
      <c r="D1785" s="2437"/>
      <c r="E1785" s="2438" t="s">
        <v>6037</v>
      </c>
      <c r="F1785" s="2437"/>
      <c r="G1785" s="2439"/>
      <c r="H1785" s="2440"/>
      <c r="I1785" s="2440"/>
      <c r="J1785" s="2440"/>
      <c r="K1785" s="2440"/>
      <c r="L1785" s="2440"/>
      <c r="M1785" s="2440"/>
      <c r="N1785" s="2440"/>
      <c r="O1785" s="2440"/>
      <c r="P1785" s="2441"/>
      <c r="Q1785" s="2442"/>
      <c r="R1785" s="2210"/>
      <c r="S1785" s="2442"/>
    </row>
    <row r="1786" spans="1:19" s="2049" customFormat="1" ht="15" outlineLevel="1">
      <c r="A1786" s="2126" t="str">
        <f t="shared" si="338"/>
        <v/>
      </c>
      <c r="B1786" s="2205" t="s">
        <v>6151</v>
      </c>
      <c r="C1786" s="2212"/>
      <c r="D1786" s="2096" t="s">
        <v>5570</v>
      </c>
      <c r="E1786" s="2138" t="s">
        <v>5574</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ht="15" outlineLevel="1">
      <c r="A1787" s="2126" t="str">
        <f t="shared" si="338"/>
        <v/>
      </c>
      <c r="B1787" s="2205" t="s">
        <v>877</v>
      </c>
      <c r="C1787" s="2212"/>
      <c r="D1787" s="2096">
        <v>0</v>
      </c>
      <c r="E1787" s="2138" t="s">
        <v>5713</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ht="15" outlineLevel="1">
      <c r="A1788" s="2126" t="str">
        <f>IF(G1788&lt;&gt;0,1,"")</f>
        <v/>
      </c>
      <c r="B1788" s="2205" t="s">
        <v>288</v>
      </c>
      <c r="C1788" s="2212"/>
      <c r="D1788" s="2096">
        <v>0</v>
      </c>
      <c r="E1788" s="2138" t="s">
        <v>5627</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ht="15"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ht="15"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ht="15"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ht="15"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ht="15" outlineLevel="1">
      <c r="A1793" s="2126" t="str">
        <f t="shared" si="338"/>
        <v/>
      </c>
      <c r="B1793" s="2205" t="s">
        <v>6152</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ht="15"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ht="15" outlineLevel="1">
      <c r="A1795" s="2126" t="str">
        <f>IF(G1795&lt;&gt;0,1,"")</f>
        <v/>
      </c>
      <c r="B1795" s="2205" t="s">
        <v>6153</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ht="15" outlineLevel="1">
      <c r="A1796" s="2126" t="str">
        <f>IF(G1796&lt;&gt;0,1,"")</f>
        <v/>
      </c>
      <c r="B1796" s="2205" t="s">
        <v>6154</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ht="15"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ht="15"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ht="15" outlineLevel="1">
      <c r="A1799" s="2126" t="str">
        <f t="shared" si="338"/>
        <v/>
      </c>
      <c r="B1799" s="2205" t="s">
        <v>6</v>
      </c>
      <c r="C1799" s="2212"/>
      <c r="D1799" s="2096">
        <v>0</v>
      </c>
      <c r="E1799" s="2138" t="s">
        <v>3552</v>
      </c>
      <c r="F1799" s="2096" t="s">
        <v>5720</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ht="15" outlineLevel="1">
      <c r="A1800" s="2126" t="str">
        <f t="shared" si="338"/>
        <v/>
      </c>
      <c r="B1800" s="2205" t="s">
        <v>669</v>
      </c>
      <c r="C1800" s="2212"/>
      <c r="D1800" s="2096">
        <v>0</v>
      </c>
      <c r="E1800" s="2138" t="s">
        <v>5715</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ht="15" outlineLevel="1">
      <c r="A1801" s="2126" t="str">
        <f t="shared" si="338"/>
        <v/>
      </c>
      <c r="B1801" s="2205" t="s">
        <v>1521</v>
      </c>
      <c r="C1801" s="2212"/>
      <c r="D1801" s="2096" t="s">
        <v>5487</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 customHeight="1">
      <c r="A1802" s="2418" t="str">
        <f>IF(G1802&lt;&gt;0,1,"")</f>
        <v/>
      </c>
      <c r="B1802" s="2205"/>
      <c r="C1802" s="2407">
        <f>IF(G1802&gt;0,C1784+1,C1784)</f>
        <v>0</v>
      </c>
      <c r="D1802" s="2408"/>
      <c r="E1802" s="2409" t="s">
        <v>6155</v>
      </c>
      <c r="F1802" s="2410" t="s">
        <v>2379</v>
      </c>
      <c r="G1802" s="2411">
        <f>G1632</f>
        <v>0</v>
      </c>
      <c r="H1802" s="2412"/>
      <c r="I1802" s="2412"/>
      <c r="J1802" s="2414"/>
      <c r="K1802" s="2414"/>
      <c r="L1802" s="2415"/>
      <c r="M1802" s="2415"/>
      <c r="N1802" s="2415"/>
      <c r="O1802" s="2415"/>
      <c r="P1802" s="2420"/>
    </row>
    <row r="1803" spans="1:19" s="2049" customFormat="1" ht="15" outlineLevel="1">
      <c r="A1803" s="2126" t="str">
        <f>A1802</f>
        <v/>
      </c>
      <c r="B1803" s="2205"/>
      <c r="C1803" s="2202"/>
      <c r="D1803" s="2203"/>
      <c r="E1803" s="2218" t="s">
        <v>6037</v>
      </c>
      <c r="F1803" s="2202"/>
      <c r="G1803" s="2395"/>
      <c r="H1803" s="2208"/>
      <c r="I1803" s="2208"/>
      <c r="J1803" s="2208"/>
      <c r="K1803" s="2208"/>
      <c r="L1803" s="2208"/>
      <c r="M1803" s="2208"/>
      <c r="N1803" s="2208"/>
      <c r="O1803" s="2208"/>
      <c r="P1803" s="2385"/>
      <c r="Q1803" s="2210"/>
      <c r="R1803" s="2210"/>
      <c r="S1803" s="2210"/>
    </row>
    <row r="1804" spans="1:19" s="2049" customFormat="1" ht="15" outlineLevel="1">
      <c r="A1804" s="2126" t="str">
        <f t="shared" ref="A1804:A1816" si="339">IF(G1804&lt;&gt;0,1,"")</f>
        <v/>
      </c>
      <c r="B1804" s="2205" t="s">
        <v>4999</v>
      </c>
      <c r="C1804" s="2212"/>
      <c r="D1804" s="2096">
        <v>0</v>
      </c>
      <c r="E1804" s="2138" t="s">
        <v>5000</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ht="15"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ht="15"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ht="15"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ht="15" outlineLevel="1">
      <c r="A1808" s="2126" t="str">
        <f t="shared" si="339"/>
        <v/>
      </c>
      <c r="B1808" s="2301" t="s">
        <v>5614</v>
      </c>
      <c r="C1808" s="2212"/>
      <c r="D1808" s="2096">
        <v>0</v>
      </c>
      <c r="E1808" s="2138" t="s">
        <v>5615</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ht="15" outlineLevel="1">
      <c r="A1809" s="2126" t="str">
        <f t="shared" si="339"/>
        <v/>
      </c>
      <c r="B1809" s="2301" t="s">
        <v>5620</v>
      </c>
      <c r="C1809" s="2212"/>
      <c r="D1809" s="2096">
        <v>0</v>
      </c>
      <c r="E1809" s="2138" t="s">
        <v>5621</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ht="15" outlineLevel="1">
      <c r="A1810" s="2126" t="str">
        <f t="shared" si="339"/>
        <v/>
      </c>
      <c r="B1810" s="2301" t="s">
        <v>5622</v>
      </c>
      <c r="C1810" s="2212"/>
      <c r="D1810" s="2096">
        <v>0</v>
      </c>
      <c r="E1810" s="2138" t="s">
        <v>5623</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ht="15" outlineLevel="1">
      <c r="A1811" s="2126" t="str">
        <f t="shared" si="339"/>
        <v/>
      </c>
      <c r="B1811" s="2301" t="s">
        <v>5622</v>
      </c>
      <c r="C1811" s="2212"/>
      <c r="D1811" s="2096">
        <v>0</v>
      </c>
      <c r="E1811" s="2138" t="s">
        <v>5623</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ht="15" outlineLevel="1">
      <c r="A1812" s="2126" t="str">
        <f t="shared" si="339"/>
        <v/>
      </c>
      <c r="B1812" s="2301" t="s">
        <v>1521</v>
      </c>
      <c r="C1812" s="2212"/>
      <c r="D1812" s="2096" t="s">
        <v>5487</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ht="15" outlineLevel="1">
      <c r="A1813" s="2126" t="str">
        <f t="shared" si="339"/>
        <v/>
      </c>
      <c r="B1813" s="2301" t="s">
        <v>346</v>
      </c>
      <c r="C1813" s="2212"/>
      <c r="D1813" s="2096" t="s">
        <v>5477</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ht="15"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ht="15" outlineLevel="1">
      <c r="A1815" s="2126" t="str">
        <f t="shared" si="339"/>
        <v/>
      </c>
      <c r="B1815" s="2301" t="s">
        <v>6156</v>
      </c>
      <c r="C1815" s="2212"/>
      <c r="D1815" s="2096">
        <v>0</v>
      </c>
      <c r="E1815" s="2138" t="s">
        <v>5373</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ht="15" outlineLevel="1">
      <c r="A1816" s="2126" t="str">
        <f t="shared" si="339"/>
        <v/>
      </c>
      <c r="B1816" s="2301" t="s">
        <v>5374</v>
      </c>
      <c r="C1816" s="2212"/>
      <c r="D1816" s="2096">
        <v>0</v>
      </c>
      <c r="E1816" s="2138" t="s">
        <v>6269</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ht="15" outlineLevel="1">
      <c r="A1817" s="2126" t="str">
        <f>IF(G1817&lt;&gt;0,1,"")</f>
        <v/>
      </c>
      <c r="B1817" s="2301" t="s">
        <v>1178</v>
      </c>
      <c r="C1817" s="2212"/>
      <c r="D1817" s="2096" t="s">
        <v>5469</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ht="15" outlineLevel="1">
      <c r="A1818" s="2126" t="str">
        <f>IF(G1818&lt;&gt;0,1,"")</f>
        <v/>
      </c>
      <c r="B1818" s="2301" t="s">
        <v>1585</v>
      </c>
      <c r="C1818" s="2212"/>
      <c r="D1818" s="2096" t="s">
        <v>5376</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 customHeight="1">
      <c r="A1819" s="2418" t="str">
        <f>IF(G1819&lt;&gt;0,1,"")</f>
        <v/>
      </c>
      <c r="B1819" s="2419"/>
      <c r="C1819" s="2407">
        <f>IF(G1819&gt;0,C1802+1,C1802)</f>
        <v>0</v>
      </c>
      <c r="D1819" s="2408"/>
      <c r="E1819" s="2409" t="s">
        <v>6157</v>
      </c>
      <c r="F1819" s="2410" t="s">
        <v>2379</v>
      </c>
      <c r="G1819" s="2411"/>
      <c r="H1819" s="2412"/>
      <c r="I1819" s="2412"/>
      <c r="J1819" s="2414"/>
      <c r="K1819" s="2414"/>
      <c r="L1819" s="2415"/>
      <c r="M1819" s="2415"/>
      <c r="N1819" s="2415"/>
      <c r="O1819" s="2415"/>
      <c r="P1819" s="2420"/>
    </row>
    <row r="1820" spans="1:19" s="2232" customFormat="1" ht="15" outlineLevel="1">
      <c r="A1820" s="2126" t="str">
        <f>A1819</f>
        <v/>
      </c>
      <c r="B1820" s="2444"/>
      <c r="C1820" s="2202"/>
      <c r="D1820" s="2203"/>
      <c r="E1820" s="2218" t="s">
        <v>6037</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ht="15"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ht="15" outlineLevel="1">
      <c r="A1822" s="2126">
        <f>IF(G1822=0,0,1)</f>
        <v>0</v>
      </c>
      <c r="B1822" s="2196" t="s">
        <v>6158</v>
      </c>
      <c r="C1822" s="2212"/>
      <c r="D1822" s="2096">
        <v>0</v>
      </c>
      <c r="E1822" s="2303" t="s">
        <v>4971</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ht="15" outlineLevel="1">
      <c r="A1823" s="2126">
        <f>IF(G1823=0,0,1)</f>
        <v>0</v>
      </c>
      <c r="B1823" s="2196" t="s">
        <v>6159</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ht="15" outlineLevel="1">
      <c r="A1824" s="2126">
        <f t="shared" ref="A1824:A1842" si="345">IF(G1824=0,0,1)</f>
        <v>0</v>
      </c>
      <c r="B1824" s="2205" t="s">
        <v>245</v>
      </c>
      <c r="C1824" s="2333"/>
      <c r="D1824" s="2096">
        <v>0</v>
      </c>
      <c r="E1824" s="2303" t="s">
        <v>5783</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ht="15" outlineLevel="1">
      <c r="A1825" s="2126">
        <f t="shared" si="345"/>
        <v>0</v>
      </c>
      <c r="B1825" s="2205" t="s">
        <v>5648</v>
      </c>
      <c r="C1825" s="2212"/>
      <c r="D1825" s="2096" t="s">
        <v>5638</v>
      </c>
      <c r="E1825" s="2303" t="s">
        <v>5649</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ht="15"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ht="15"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ht="15"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ht="15" outlineLevel="1">
      <c r="A1829" s="2126">
        <f t="shared" si="345"/>
        <v>0</v>
      </c>
      <c r="B1829" s="2446" t="s">
        <v>2005</v>
      </c>
      <c r="C1829" s="2212"/>
      <c r="D1829" s="2096" t="s">
        <v>5463</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ht="15"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ht="15"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ht="15"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ht="15"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ht="15" outlineLevel="1">
      <c r="A1834" s="2126">
        <f t="shared" si="345"/>
        <v>0</v>
      </c>
      <c r="B1834" s="2196" t="s">
        <v>669</v>
      </c>
      <c r="C1834" s="2212"/>
      <c r="D1834" s="2096">
        <v>0</v>
      </c>
      <c r="E1834" s="2303" t="s">
        <v>5715</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ht="15"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ht="15"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ht="15" outlineLevel="1">
      <c r="A1837" s="2126">
        <f t="shared" si="345"/>
        <v>0</v>
      </c>
      <c r="B1837" s="2196" t="s">
        <v>318</v>
      </c>
      <c r="C1837" s="2212"/>
      <c r="D1837" s="2096">
        <v>0</v>
      </c>
      <c r="E1837" s="2303" t="s">
        <v>5187</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ht="15" outlineLevel="1">
      <c r="A1838" s="2126">
        <f t="shared" si="345"/>
        <v>0</v>
      </c>
      <c r="B1838" s="2196" t="s">
        <v>1910</v>
      </c>
      <c r="C1838" s="2212"/>
      <c r="D1838" s="2096" t="s">
        <v>5570</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ht="15" outlineLevel="1">
      <c r="A1839" s="2126">
        <f t="shared" si="345"/>
        <v>0</v>
      </c>
      <c r="B1839" s="2196" t="s">
        <v>6</v>
      </c>
      <c r="C1839" s="2212"/>
      <c r="D1839" s="2096">
        <v>0</v>
      </c>
      <c r="E1839" s="2303" t="s">
        <v>3552</v>
      </c>
      <c r="F1839" s="2445" t="s">
        <v>5720</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ht="15"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ht="15"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ht="15" outlineLevel="1">
      <c r="A1842" s="2126">
        <f t="shared" si="345"/>
        <v>0</v>
      </c>
      <c r="B1842" s="2196" t="s">
        <v>6159</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 customHeight="1">
      <c r="A1843" s="2418" t="str">
        <f>IF(G1843=0,"",1)</f>
        <v/>
      </c>
      <c r="B1843" s="2419"/>
      <c r="C1843" s="2407">
        <f>IF(G1843&gt;0,C1819+1,C1819)</f>
        <v>0</v>
      </c>
      <c r="D1843" s="2408"/>
      <c r="E1843" s="2409" t="s">
        <v>6160</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5"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 customHeight="1">
      <c r="A1845" s="2449" t="str">
        <f t="shared" ref="A1845:A1856" si="346">IF(G1845=0,"",1)</f>
        <v/>
      </c>
      <c r="B1845" s="2459" t="s">
        <v>4913</v>
      </c>
      <c r="C1845" s="94"/>
      <c r="D1845" s="759"/>
      <c r="E1845" s="2460" t="s">
        <v>6270</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 customHeight="1">
      <c r="A1846" s="2449" t="str">
        <f t="shared" si="346"/>
        <v/>
      </c>
      <c r="B1846" s="2429" t="s">
        <v>864</v>
      </c>
      <c r="C1846" s="94"/>
      <c r="D1846" s="759"/>
      <c r="E1846" s="2460" t="s">
        <v>6271</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 customHeight="1">
      <c r="A1847" s="2449" t="str">
        <f>IF(G1847=0,"",1)</f>
        <v/>
      </c>
      <c r="B1847" s="2429" t="s">
        <v>518</v>
      </c>
      <c r="C1847" s="94"/>
      <c r="D1847" s="759"/>
      <c r="E1847" s="2460" t="s">
        <v>6272</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 customHeight="1">
      <c r="A1848" s="2449" t="str">
        <f t="shared" si="346"/>
        <v/>
      </c>
      <c r="B1848" s="2429" t="s">
        <v>6147</v>
      </c>
      <c r="C1848" s="94"/>
      <c r="D1848" s="759"/>
      <c r="E1848" s="2460" t="s">
        <v>6273</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 customHeight="1">
      <c r="A1852" s="2449" t="str">
        <f t="shared" si="346"/>
        <v/>
      </c>
      <c r="B1852" s="2429" t="s">
        <v>6161</v>
      </c>
      <c r="C1852" s="94"/>
      <c r="D1852" s="759" t="s">
        <v>5260</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 customHeight="1">
      <c r="A1853" s="2449" t="str">
        <f t="shared" si="346"/>
        <v/>
      </c>
      <c r="B1853" s="2429" t="s">
        <v>1674</v>
      </c>
      <c r="C1853" s="94"/>
      <c r="D1853" s="759" t="s">
        <v>5250</v>
      </c>
      <c r="E1853" s="2460" t="s">
        <v>5251</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 customHeight="1">
      <c r="A1854" s="2449" t="str">
        <f t="shared" si="346"/>
        <v/>
      </c>
      <c r="B1854" s="2429" t="s">
        <v>144</v>
      </c>
      <c r="C1854" s="94"/>
      <c r="D1854" s="759" t="s">
        <v>5244</v>
      </c>
      <c r="E1854" s="2460" t="s">
        <v>5245</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 customHeight="1">
      <c r="A1855" s="2449" t="str">
        <f t="shared" si="346"/>
        <v/>
      </c>
      <c r="B1855" s="2429" t="s">
        <v>1831</v>
      </c>
      <c r="C1855" s="94"/>
      <c r="D1855" s="759" t="s">
        <v>5388</v>
      </c>
      <c r="E1855" s="2460" t="s">
        <v>6274</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 customHeight="1">
      <c r="A1856" s="2423" t="str">
        <f t="shared" si="346"/>
        <v/>
      </c>
      <c r="B1856" s="2424"/>
      <c r="C1856" s="2407">
        <f>IF(G1856&gt;0,C1843+1,C1843)</f>
        <v>0</v>
      </c>
      <c r="D1856" s="2425"/>
      <c r="E1856" s="2409" t="s">
        <v>6162</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5"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 customHeight="1">
      <c r="A1858" s="2449" t="str">
        <f t="shared" ref="A1858:A1869" si="348">IF(G1858=0,"",1)</f>
        <v/>
      </c>
      <c r="B1858" s="2459" t="s">
        <v>5205</v>
      </c>
      <c r="C1858" s="94"/>
      <c r="D1858" s="759"/>
      <c r="E1858" s="2460" t="s">
        <v>5206</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 customHeight="1">
      <c r="A1865" s="2449" t="str">
        <f t="shared" si="348"/>
        <v/>
      </c>
      <c r="B1865" s="2429" t="s">
        <v>6161</v>
      </c>
      <c r="C1865" s="94"/>
      <c r="D1865" s="759" t="s">
        <v>5260</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 customHeight="1">
      <c r="A1866" s="2449" t="str">
        <f>IF(G1866=0,"",1)</f>
        <v/>
      </c>
      <c r="B1866" s="2429" t="s">
        <v>6163</v>
      </c>
      <c r="C1866" s="94"/>
      <c r="D1866" s="759" t="s">
        <v>5496</v>
      </c>
      <c r="E1866" s="2460" t="s">
        <v>5497</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 customHeight="1">
      <c r="A1867" s="2449" t="str">
        <f t="shared" si="348"/>
        <v/>
      </c>
      <c r="B1867" s="2429" t="s">
        <v>1674</v>
      </c>
      <c r="C1867" s="94"/>
      <c r="D1867" s="759" t="s">
        <v>5250</v>
      </c>
      <c r="E1867" s="2460" t="s">
        <v>6275</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 customHeight="1">
      <c r="A1868" s="2449" t="str">
        <f t="shared" si="348"/>
        <v/>
      </c>
      <c r="B1868" s="2429" t="s">
        <v>144</v>
      </c>
      <c r="C1868" s="94"/>
      <c r="D1868" s="759" t="s">
        <v>5244</v>
      </c>
      <c r="E1868" s="2460" t="s">
        <v>5245</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ht="15"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5" outlineLevel="1">
      <c r="A1871" s="2126" t="str">
        <f>A1870</f>
        <v/>
      </c>
      <c r="B1871" s="2205"/>
      <c r="C1871" s="2202"/>
      <c r="D1871" s="2203"/>
      <c r="E1871" s="2218" t="s">
        <v>6037</v>
      </c>
      <c r="F1871" s="2202"/>
      <c r="G1871" s="2395"/>
      <c r="H1871" s="2208"/>
      <c r="I1871" s="2208"/>
      <c r="J1871" s="2208"/>
      <c r="K1871" s="2208"/>
      <c r="L1871" s="2208"/>
      <c r="M1871" s="2208"/>
      <c r="N1871" s="2208"/>
      <c r="O1871" s="2208"/>
      <c r="P1871" s="2209"/>
      <c r="Q1871" s="2210"/>
      <c r="R1871" s="2210"/>
      <c r="S1871" s="2210"/>
    </row>
    <row r="1872" spans="1:19" s="2049" customFormat="1" ht="15"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ht="15" outlineLevel="1">
      <c r="A1873" s="2126" t="str">
        <f>IF(G1873&lt;&gt;0,1,"")</f>
        <v/>
      </c>
      <c r="B1873" s="2205" t="s">
        <v>86</v>
      </c>
      <c r="C1873" s="2212"/>
      <c r="D1873" s="2096">
        <v>0</v>
      </c>
      <c r="E1873" s="2138" t="s">
        <v>5711</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ht="15"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ht="15"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ht="15"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5" outlineLevel="1">
      <c r="A1877" s="2126" t="str">
        <f>A1876</f>
        <v/>
      </c>
      <c r="B1877" s="2196"/>
      <c r="C1877" s="2202"/>
      <c r="D1877" s="2203"/>
      <c r="E1877" s="2218" t="s">
        <v>6037</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ht="15" outlineLevel="1">
      <c r="A1878" s="2126" t="str">
        <f t="shared" ref="A1878:A1894" si="350">IF(G1878&lt;&gt;0,1,"")</f>
        <v/>
      </c>
      <c r="B1878" s="2205" t="s">
        <v>1906</v>
      </c>
      <c r="C1878" s="2212"/>
      <c r="D1878" s="2096">
        <v>0</v>
      </c>
      <c r="E1878" s="2138" t="s">
        <v>6276</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ht="15"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ht="15" outlineLevel="1">
      <c r="A1880" s="2126" t="str">
        <f>IF(G1880&lt;&gt;0,1,"")</f>
        <v/>
      </c>
      <c r="B1880" s="2205" t="s">
        <v>5670</v>
      </c>
      <c r="C1880" s="2212"/>
      <c r="D1880" s="2096" t="s">
        <v>5646</v>
      </c>
      <c r="E1880" s="2138" t="s">
        <v>5665</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ht="15" outlineLevel="1">
      <c r="A1881" s="2126" t="str">
        <f t="shared" si="350"/>
        <v/>
      </c>
      <c r="B1881" s="2205" t="s">
        <v>445</v>
      </c>
      <c r="C1881" s="2212"/>
      <c r="D1881" s="2096" t="s">
        <v>5645</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ht="15"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ht="15"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ht="15"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ht="15" outlineLevel="1">
      <c r="A1885" s="2126" t="str">
        <f>IF(G1885&lt;&gt;0,1,"")</f>
        <v/>
      </c>
      <c r="B1885" s="2205" t="s">
        <v>86</v>
      </c>
      <c r="C1885" s="2212"/>
      <c r="D1885" s="2096">
        <v>0</v>
      </c>
      <c r="E1885" s="2138" t="s">
        <v>5711</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ht="15" outlineLevel="1">
      <c r="A1886" s="2126" t="str">
        <f>IF(G1886&lt;&gt;0,1,"")</f>
        <v/>
      </c>
      <c r="B1886" s="2205" t="s">
        <v>86</v>
      </c>
      <c r="C1886" s="2212"/>
      <c r="D1886" s="2096">
        <v>0</v>
      </c>
      <c r="E1886" s="2138" t="s">
        <v>5711</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ht="15" outlineLevel="1">
      <c r="A1887" s="2126" t="str">
        <f t="shared" si="350"/>
        <v/>
      </c>
      <c r="B1887" s="2196" t="s">
        <v>1985</v>
      </c>
      <c r="C1887" s="2212"/>
      <c r="D1887" s="2096">
        <v>0</v>
      </c>
      <c r="E1887" s="2138" t="s">
        <v>5175</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ht="15"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ht="15" outlineLevel="1">
      <c r="A1889" s="2126" t="str">
        <f>IF(G1889&lt;&gt;0,1,"")</f>
        <v/>
      </c>
      <c r="B1889" s="2205" t="s">
        <v>5707</v>
      </c>
      <c r="C1889" s="2212"/>
      <c r="D1889" s="2096">
        <v>0</v>
      </c>
      <c r="E1889" s="2138" t="s">
        <v>5708</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ht="15"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ht="15" outlineLevel="1">
      <c r="A1891" s="2126" t="str">
        <f t="shared" si="350"/>
        <v/>
      </c>
      <c r="B1891" s="2196" t="s">
        <v>6</v>
      </c>
      <c r="C1891" s="2212"/>
      <c r="D1891" s="2096"/>
      <c r="E1891" s="2138" t="s">
        <v>3552</v>
      </c>
      <c r="F1891" s="2096" t="s">
        <v>5720</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ht="15" outlineLevel="1">
      <c r="A1892" s="2126" t="str">
        <f t="shared" si="350"/>
        <v/>
      </c>
      <c r="B1892" s="2196" t="s">
        <v>1406</v>
      </c>
      <c r="C1892" s="2212"/>
      <c r="D1892" s="2096" t="s">
        <v>5258</v>
      </c>
      <c r="E1892" s="2138" t="s">
        <v>5259</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ht="15" outlineLevel="1">
      <c r="A1893" s="2126" t="str">
        <f>IF(G1893&lt;&gt;0,1,"")</f>
        <v/>
      </c>
      <c r="B1893" s="2196" t="s">
        <v>2001</v>
      </c>
      <c r="C1893" s="2212"/>
      <c r="D1893" s="2096" t="s">
        <v>5488</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ht="15" outlineLevel="1">
      <c r="A1894" s="2126" t="str">
        <f t="shared" si="350"/>
        <v/>
      </c>
      <c r="B1894" s="2196" t="s">
        <v>5491</v>
      </c>
      <c r="C1894" s="2212"/>
      <c r="D1894" s="2096" t="s">
        <v>5492</v>
      </c>
      <c r="E1894" s="2138" t="s">
        <v>5493</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ht="15" outlineLevel="1">
      <c r="A1895" s="2126">
        <f>A1630</f>
        <v>0</v>
      </c>
      <c r="B1895" s="2301"/>
      <c r="C1895" s="2367"/>
      <c r="D1895" s="2368"/>
      <c r="E1895" s="2582"/>
      <c r="F1895" s="2581"/>
      <c r="G1895" s="2581"/>
      <c r="H1895" s="2581"/>
      <c r="I1895" s="2581"/>
      <c r="J1895" s="2591" t="s">
        <v>6035</v>
      </c>
      <c r="K1895" s="2591"/>
      <c r="L1895" s="2369">
        <f>SUM(L1646:L1894)</f>
        <v>0</v>
      </c>
      <c r="M1895" s="2369">
        <f>SUM(M1646:M1894)</f>
        <v>0</v>
      </c>
      <c r="N1895" s="2369">
        <f>SUM(N1646:N1894)</f>
        <v>0</v>
      </c>
      <c r="O1895" s="2369">
        <f>SUM(O1646:O1894)</f>
        <v>0</v>
      </c>
      <c r="P1895" s="2390"/>
      <c r="Q1895" s="2210"/>
      <c r="R1895" s="2210"/>
      <c r="S1895" s="2210"/>
    </row>
    <row r="1896" spans="1:19" s="2049" customFormat="1" ht="15"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ht="15" outlineLevel="1">
      <c r="A1897" s="2126">
        <f>A1911</f>
        <v>0</v>
      </c>
      <c r="B1897" s="2331"/>
      <c r="C1897" s="2568" t="s">
        <v>6209</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ht="15" outlineLevel="1">
      <c r="A1898" s="2126">
        <f>A1897</f>
        <v>0</v>
      </c>
      <c r="B1898" s="2205" t="s">
        <v>6016</v>
      </c>
      <c r="C1898" s="2592" t="s">
        <v>1704</v>
      </c>
      <c r="D1898" s="2593" t="s">
        <v>2589</v>
      </c>
      <c r="E1898" s="2595" t="s">
        <v>2590</v>
      </c>
      <c r="F1898" s="2592" t="s">
        <v>2585</v>
      </c>
      <c r="G1898" s="2053" t="s">
        <v>6017</v>
      </c>
      <c r="H1898" s="2056" t="s">
        <v>6018</v>
      </c>
      <c r="I1898" s="2563"/>
      <c r="J1898" s="2563"/>
      <c r="K1898" s="2564"/>
      <c r="L1898" s="2056" t="s">
        <v>6019</v>
      </c>
      <c r="M1898" s="2563"/>
      <c r="N1898" s="2563"/>
      <c r="O1898" s="2564"/>
      <c r="P1898" s="2477" t="s">
        <v>2591</v>
      </c>
      <c r="Q1898" s="2210"/>
      <c r="R1898" s="2210"/>
      <c r="S1898" s="2210"/>
    </row>
    <row r="1899" spans="1:19" s="2049" customFormat="1" ht="15" outlineLevel="1">
      <c r="A1899" s="2126">
        <f>A1898</f>
        <v>0</v>
      </c>
      <c r="B1899" s="2205"/>
      <c r="C1899" s="2592"/>
      <c r="D1899" s="2594"/>
      <c r="E1899" s="2596"/>
      <c r="F1899" s="2592"/>
      <c r="G1899" s="2055" t="s">
        <v>2280</v>
      </c>
      <c r="H1899" s="2056" t="s">
        <v>6020</v>
      </c>
      <c r="I1899" s="2056" t="s">
        <v>6021</v>
      </c>
      <c r="J1899" s="2056" t="s">
        <v>6022</v>
      </c>
      <c r="K1899" s="2056" t="s">
        <v>6023</v>
      </c>
      <c r="L1899" s="2056" t="s">
        <v>6020</v>
      </c>
      <c r="M1899" s="2056" t="s">
        <v>6021</v>
      </c>
      <c r="N1899" s="2056" t="s">
        <v>6022</v>
      </c>
      <c r="O1899" s="2056" t="s">
        <v>6023</v>
      </c>
      <c r="P1899" s="2477"/>
      <c r="Q1899" s="2210"/>
      <c r="R1899" s="2210"/>
      <c r="S1899" s="2210"/>
    </row>
    <row r="1900" spans="1:19" s="2049" customFormat="1" ht="15"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ht="15" outlineLevel="1">
      <c r="A1901" s="2126" t="str">
        <f>IF(G1901&lt;&gt;0,1,"")</f>
        <v/>
      </c>
      <c r="B1901" s="2196" t="str">
        <f>IF($F$8=15,"tr400","tr4001")</f>
        <v>tr4001</v>
      </c>
      <c r="C1901" s="2212">
        <f>IF(G1901&gt;0,1,0)</f>
        <v>0</v>
      </c>
      <c r="D1901" s="2096" t="s">
        <v>5507</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ht="15" outlineLevel="1">
      <c r="A1902" s="2126" t="str">
        <f>IF(G1902&lt;&gt;0,1,"")</f>
        <v/>
      </c>
      <c r="B1902" s="2062" t="str">
        <f>"FCO100-"&amp;$F$8</f>
        <v>FCO100-22</v>
      </c>
      <c r="C1902" s="2212">
        <f>IF(G1902&gt;0,C1901+1,C1901)</f>
        <v>0</v>
      </c>
      <c r="D1902" s="2096" t="s">
        <v>5513</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ht="15"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ht="15" outlineLevel="1">
      <c r="A1904" s="2126" t="str">
        <f t="shared" si="359"/>
        <v/>
      </c>
      <c r="B1904" s="2205" t="str">
        <f>"LA"&amp;$F$6</f>
        <v>LA18</v>
      </c>
      <c r="C1904" s="2212">
        <f t="shared" ref="C1904:C1910" si="360">IF(G1904&gt;0,C1903+1,C1903)</f>
        <v>0</v>
      </c>
      <c r="D1904" s="2096" t="s">
        <v>5517</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ht="15" outlineLevel="1">
      <c r="A1905" s="2126" t="str">
        <f t="shared" si="359"/>
        <v/>
      </c>
      <c r="B1905" s="2301" t="s">
        <v>1458</v>
      </c>
      <c r="C1905" s="2212">
        <f t="shared" si="360"/>
        <v>0</v>
      </c>
      <c r="D1905" s="2096" t="s">
        <v>5603</v>
      </c>
      <c r="E1905" s="2138" t="s">
        <v>5604</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ht="15" outlineLevel="1">
      <c r="A1906" s="2126" t="str">
        <f t="shared" si="359"/>
        <v/>
      </c>
      <c r="B1906" s="2301" t="s">
        <v>949</v>
      </c>
      <c r="C1906" s="2212">
        <f t="shared" si="360"/>
        <v>0</v>
      </c>
      <c r="D1906" s="2096" t="s">
        <v>5600</v>
      </c>
      <c r="E1906" s="2138" t="s">
        <v>5601</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ht="15" outlineLevel="1">
      <c r="A1907" s="2126" t="str">
        <f t="shared" si="359"/>
        <v/>
      </c>
      <c r="B1907" s="2301" t="s">
        <v>1457</v>
      </c>
      <c r="C1907" s="2212">
        <f t="shared" si="360"/>
        <v>0</v>
      </c>
      <c r="D1907" s="2096" t="s">
        <v>5536</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ht="15"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ht="15"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ht="15"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ht="15" outlineLevel="1">
      <c r="A1911" s="2126">
        <f>IF(SUM(L1911:O1911)&gt;0,1,)</f>
        <v>0</v>
      </c>
      <c r="B1911" s="2205"/>
      <c r="C1911" s="2337"/>
      <c r="D1911" s="2338"/>
      <c r="E1911" s="2339"/>
      <c r="F1911" s="2337"/>
      <c r="G1911" s="2389"/>
      <c r="H1911" s="2337"/>
      <c r="I1911" s="2337"/>
      <c r="J1911" s="2061" t="s">
        <v>6025</v>
      </c>
      <c r="K1911" s="2337"/>
      <c r="L1911" s="2339">
        <f>SUM(L1901:L1910)</f>
        <v>0</v>
      </c>
      <c r="M1911" s="2339">
        <f>SUM(M1901:M1910)</f>
        <v>0</v>
      </c>
      <c r="N1911" s="2339">
        <f>SUM(N1901:N1910)</f>
        <v>0</v>
      </c>
      <c r="O1911" s="2339">
        <f>SUM(O1901:O1910)</f>
        <v>0</v>
      </c>
      <c r="P1911" s="2390"/>
      <c r="Q1911" s="2210"/>
      <c r="R1911" s="2210"/>
      <c r="S1911" s="2210"/>
    </row>
    <row r="1912" spans="1:19" s="2049" customFormat="1" ht="15"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ht="15" outlineLevel="1">
      <c r="A1913" s="2126" t="str">
        <f t="shared" ref="A1913:A1931" si="361">IF(G1913&lt;&gt;0,1,"")</f>
        <v/>
      </c>
      <c r="B1913" s="2345"/>
      <c r="C1913" s="2346">
        <f>IF(G1913&gt;0,1,0)</f>
        <v>0</v>
      </c>
      <c r="D1913" s="2096"/>
      <c r="E1913" s="2347" t="s">
        <v>6026</v>
      </c>
      <c r="F1913" s="2348" t="s">
        <v>2271</v>
      </c>
      <c r="G1913" s="2405"/>
      <c r="H1913" s="2348"/>
      <c r="I1913" s="2348"/>
      <c r="J1913" s="2348"/>
      <c r="K1913" s="2348"/>
      <c r="L1913" s="2349"/>
      <c r="M1913" s="2349"/>
      <c r="N1913" s="2349"/>
      <c r="O1913" s="2350"/>
      <c r="P1913" s="2333"/>
      <c r="Q1913" s="2210"/>
      <c r="R1913" s="2210"/>
      <c r="S1913" s="2210"/>
    </row>
    <row r="1914" spans="1:19" s="2049" customFormat="1" ht="15"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ht="15"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ht="15"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ht="15" outlineLevel="1">
      <c r="A1917" s="2126" t="str">
        <f t="shared" si="361"/>
        <v/>
      </c>
      <c r="B1917" s="2345"/>
      <c r="C1917" s="2346">
        <f>IF(G1917&gt;0,1,0)</f>
        <v>0</v>
      </c>
      <c r="D1917" s="2096"/>
      <c r="E1917" s="2347" t="s">
        <v>6121</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ht="15"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ht="15"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ht="15"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ht="15"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ht="15" outlineLevel="1">
      <c r="A1922" s="2126" t="str">
        <f t="shared" si="361"/>
        <v/>
      </c>
      <c r="B1922" s="2301" t="s">
        <v>633</v>
      </c>
      <c r="C1922" s="2351"/>
      <c r="D1922" s="2096" t="s">
        <v>4965</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ht="15" outlineLevel="1">
      <c r="A1923" s="2126" t="str">
        <f t="shared" si="361"/>
        <v/>
      </c>
      <c r="B1923" s="2301" t="s">
        <v>564</v>
      </c>
      <c r="C1923" s="2351"/>
      <c r="D1923" s="2096"/>
      <c r="E1923" s="2352" t="s">
        <v>4990</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ht="15" outlineLevel="1">
      <c r="A1924" s="2126" t="str">
        <f t="shared" si="361"/>
        <v/>
      </c>
      <c r="B1924" s="2301" t="s">
        <v>636</v>
      </c>
      <c r="C1924" s="2351"/>
      <c r="D1924" s="2096" t="s">
        <v>1742</v>
      </c>
      <c r="E1924" s="2352" t="s">
        <v>5241</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ht="15" outlineLevel="1">
      <c r="A1925" s="2126" t="str">
        <f t="shared" si="361"/>
        <v/>
      </c>
      <c r="B1925" s="2301" t="s">
        <v>21</v>
      </c>
      <c r="C1925" s="2351"/>
      <c r="D1925" s="2096" t="s">
        <v>5242</v>
      </c>
      <c r="E1925" s="2352" t="s">
        <v>5243</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ht="15"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ht="15" outlineLevel="1">
      <c r="A1927" s="2126" t="str">
        <f t="shared" si="361"/>
        <v/>
      </c>
      <c r="B1927" s="2301" t="s">
        <v>633</v>
      </c>
      <c r="C1927" s="2351"/>
      <c r="D1927" s="2096" t="s">
        <v>4965</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ht="15" outlineLevel="1">
      <c r="A1928" s="2126" t="str">
        <f t="shared" si="361"/>
        <v/>
      </c>
      <c r="B1928" s="2301" t="s">
        <v>564</v>
      </c>
      <c r="C1928" s="2351"/>
      <c r="D1928" s="2096"/>
      <c r="E1928" s="2352" t="s">
        <v>4990</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ht="15" outlineLevel="1">
      <c r="A1929" s="2126" t="str">
        <f t="shared" si="361"/>
        <v/>
      </c>
      <c r="B1929" s="2301" t="s">
        <v>636</v>
      </c>
      <c r="C1929" s="2351"/>
      <c r="D1929" s="2096" t="s">
        <v>1742</v>
      </c>
      <c r="E1929" s="2352" t="s">
        <v>5241</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ht="15" outlineLevel="1">
      <c r="A1930" s="2126" t="str">
        <f t="shared" si="361"/>
        <v/>
      </c>
      <c r="B1930" s="2301" t="s">
        <v>21</v>
      </c>
      <c r="C1930" s="2351"/>
      <c r="D1930" s="2096" t="s">
        <v>5242</v>
      </c>
      <c r="E1930" s="2352" t="s">
        <v>5243</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ht="15"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5" outlineLevel="1">
      <c r="A1932" s="2126" t="str">
        <f>A1931</f>
        <v/>
      </c>
      <c r="B1932" s="2205"/>
      <c r="C1932" s="2202"/>
      <c r="D1932" s="2358"/>
      <c r="E1932" s="2211" t="s">
        <v>6037</v>
      </c>
      <c r="F1932" s="2212"/>
      <c r="G1932" s="2394"/>
      <c r="H1932" s="2359"/>
      <c r="I1932" s="2359"/>
      <c r="J1932" s="2359"/>
      <c r="K1932" s="2359"/>
      <c r="L1932" s="2359"/>
      <c r="M1932" s="2359"/>
      <c r="N1932" s="2359"/>
      <c r="O1932" s="2359"/>
      <c r="P1932" s="2393"/>
      <c r="Q1932" s="2210"/>
      <c r="R1932" s="2210"/>
      <c r="S1932" s="2210"/>
    </row>
    <row r="1933" spans="1:19" s="2049" customFormat="1" ht="15" outlineLevel="1">
      <c r="A1933" s="2126" t="str">
        <f>IF(G1933&lt;&gt;0,1,"")</f>
        <v/>
      </c>
      <c r="B1933" s="2196" t="s">
        <v>5755</v>
      </c>
      <c r="C1933" s="2202"/>
      <c r="D1933" s="2096">
        <v>0</v>
      </c>
      <c r="E1933" s="2138" t="s">
        <v>5756</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ht="15" outlineLevel="1">
      <c r="A1934" s="2126" t="str">
        <f t="shared" ref="A1934:A1947" si="362">IF(G1934&lt;&gt;0,1,"")</f>
        <v/>
      </c>
      <c r="B1934" s="2196" t="s">
        <v>5757</v>
      </c>
      <c r="C1934" s="2202"/>
      <c r="D1934" s="2096">
        <v>0</v>
      </c>
      <c r="E1934" s="2138" t="s">
        <v>5758</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ht="15" outlineLevel="1">
      <c r="A1935" s="2126" t="str">
        <f t="shared" si="362"/>
        <v/>
      </c>
      <c r="B1935" s="2196" t="s">
        <v>5761</v>
      </c>
      <c r="C1935" s="2202"/>
      <c r="D1935" s="2096">
        <v>0</v>
      </c>
      <c r="E1935" s="2138" t="s">
        <v>5762</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ht="15" outlineLevel="1">
      <c r="A1936" s="2126" t="str">
        <f t="shared" si="362"/>
        <v/>
      </c>
      <c r="B1936" s="2196" t="s">
        <v>5763</v>
      </c>
      <c r="C1936" s="2202"/>
      <c r="D1936" s="2096">
        <v>0</v>
      </c>
      <c r="E1936" s="2138" t="s">
        <v>5764</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ht="15" outlineLevel="1">
      <c r="A1937" s="2126" t="str">
        <f t="shared" si="362"/>
        <v/>
      </c>
      <c r="B1937" s="2196" t="s">
        <v>5765</v>
      </c>
      <c r="C1937" s="2202"/>
      <c r="D1937" s="2096">
        <v>0</v>
      </c>
      <c r="E1937" s="2138" t="s">
        <v>5766</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ht="15" outlineLevel="1">
      <c r="A1938" s="2126" t="str">
        <f t="shared" si="362"/>
        <v/>
      </c>
      <c r="B1938" s="2196" t="s">
        <v>5769</v>
      </c>
      <c r="C1938" s="2202"/>
      <c r="D1938" s="2096">
        <v>0</v>
      </c>
      <c r="E1938" s="2138" t="s">
        <v>5770</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ht="15" outlineLevel="1">
      <c r="A1939" s="2126" t="str">
        <f t="shared" si="362"/>
        <v/>
      </c>
      <c r="B1939" s="2196" t="s">
        <v>5771</v>
      </c>
      <c r="C1939" s="2202"/>
      <c r="D1939" s="2096">
        <v>0</v>
      </c>
      <c r="E1939" s="2138" t="s">
        <v>5772</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ht="15" outlineLevel="1">
      <c r="A1940" s="2126" t="str">
        <f t="shared" si="362"/>
        <v/>
      </c>
      <c r="B1940" s="2196" t="s">
        <v>5775</v>
      </c>
      <c r="C1940" s="2202"/>
      <c r="D1940" s="2096">
        <v>0</v>
      </c>
      <c r="E1940" s="2138" t="s">
        <v>5776</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ht="15" outlineLevel="1">
      <c r="A1941" s="2126" t="str">
        <f t="shared" si="362"/>
        <v/>
      </c>
      <c r="B1941" s="2196" t="s">
        <v>5777</v>
      </c>
      <c r="C1941" s="2202"/>
      <c r="D1941" s="2096">
        <v>0</v>
      </c>
      <c r="E1941" s="2138" t="s">
        <v>5778</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ht="15" outlineLevel="1">
      <c r="A1942" s="2126" t="str">
        <f t="shared" si="362"/>
        <v/>
      </c>
      <c r="B1942" s="2196" t="s">
        <v>5781</v>
      </c>
      <c r="C1942" s="2202"/>
      <c r="D1942" s="2096">
        <v>0</v>
      </c>
      <c r="E1942" s="2138" t="s">
        <v>5782</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ht="15" outlineLevel="1">
      <c r="A1943" s="2126" t="str">
        <f t="shared" si="362"/>
        <v/>
      </c>
      <c r="B1943" s="2196" t="s">
        <v>4757</v>
      </c>
      <c r="C1943" s="2202"/>
      <c r="D1943" s="2096">
        <v>0</v>
      </c>
      <c r="E1943" s="2138" t="s">
        <v>4983</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ht="15" outlineLevel="1">
      <c r="A1944" s="2126" t="str">
        <f t="shared" si="362"/>
        <v/>
      </c>
      <c r="B1944" s="2196" t="s">
        <v>4978</v>
      </c>
      <c r="C1944" s="2202"/>
      <c r="D1944" s="2096">
        <v>0</v>
      </c>
      <c r="E1944" s="2138" t="s">
        <v>4979</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ht="15"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ht="15"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ht="15"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ht="15"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ht="15"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ht="15" outlineLevel="1">
      <c r="A1950" s="2126" t="str">
        <f>IF(G1950&lt;&gt;0,1,"")</f>
        <v/>
      </c>
      <c r="B1950" s="2065" t="s">
        <v>5342</v>
      </c>
      <c r="C1950" s="2202"/>
      <c r="D1950" s="2096" t="s">
        <v>5343</v>
      </c>
      <c r="E1950" s="2138" t="s">
        <v>5344</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ht="15" outlineLevel="1">
      <c r="A1951" s="2126" t="str">
        <f>IF(G1951&lt;&gt;0,1,"")</f>
        <v/>
      </c>
      <c r="B1951" s="2205"/>
      <c r="C1951" s="2202">
        <f>IF(G1951&gt;0,C1931+1,C1927)</f>
        <v>0</v>
      </c>
      <c r="D1951" s="2203"/>
      <c r="E1951" s="2361" t="s">
        <v>6141</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5" outlineLevel="1">
      <c r="A1952" s="2126" t="str">
        <f>A1951</f>
        <v/>
      </c>
      <c r="B1952" s="2205"/>
      <c r="C1952" s="2202"/>
      <c r="D1952" s="2203"/>
      <c r="E1952" s="2211" t="s">
        <v>6037</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ht="15" outlineLevel="1">
      <c r="A1953" s="2126" t="str">
        <f t="shared" ref="A1953:A1959" si="371">IF(G1953&lt;&gt;0,1,"")</f>
        <v/>
      </c>
      <c r="B1953" s="2077" t="s">
        <v>5069</v>
      </c>
      <c r="C1953" s="2202"/>
      <c r="D1953" s="2096">
        <v>0</v>
      </c>
      <c r="E1953" s="2138" t="s">
        <v>5070</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ht="15" outlineLevel="1">
      <c r="A1954" s="2126" t="str">
        <f t="shared" si="371"/>
        <v/>
      </c>
      <c r="B1954" s="2077" t="s">
        <v>5076</v>
      </c>
      <c r="C1954" s="2202"/>
      <c r="D1954" s="2096">
        <v>0</v>
      </c>
      <c r="E1954" s="2138" t="s">
        <v>5077</v>
      </c>
      <c r="F1954" s="2096" t="s">
        <v>5078</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ht="15" outlineLevel="1">
      <c r="A1955" s="2126" t="str">
        <f t="shared" si="371"/>
        <v/>
      </c>
      <c r="B1955" s="2074" t="s">
        <v>486</v>
      </c>
      <c r="C1955" s="2202"/>
      <c r="D1955" s="2096">
        <v>0</v>
      </c>
      <c r="E1955" s="2138" t="s">
        <v>4996</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ht="15" outlineLevel="1">
      <c r="A1956" s="2126" t="str">
        <f t="shared" si="371"/>
        <v/>
      </c>
      <c r="B1956" s="2205" t="s">
        <v>6164</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ht="15" outlineLevel="1">
      <c r="A1957" s="2126" t="str">
        <f t="shared" si="371"/>
        <v/>
      </c>
      <c r="B1957" s="2205" t="s">
        <v>6165</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ht="15" outlineLevel="1">
      <c r="A1958" s="2126" t="str">
        <f t="shared" si="371"/>
        <v/>
      </c>
      <c r="B1958" s="2065" t="s">
        <v>6145</v>
      </c>
      <c r="C1958" s="2202"/>
      <c r="D1958" s="2096" t="s">
        <v>5066</v>
      </c>
      <c r="E1958" s="2138" t="s">
        <v>5294</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ht="15" outlineLevel="1">
      <c r="A1959" s="2126" t="str">
        <f t="shared" si="371"/>
        <v/>
      </c>
      <c r="B1959" s="2205"/>
      <c r="C1959" s="2202">
        <f>IF(G1959&gt;0,C1931+2,C1931)</f>
        <v>0</v>
      </c>
      <c r="D1959" s="2203"/>
      <c r="E1959" s="2361" t="s">
        <v>6166</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5" outlineLevel="1">
      <c r="A1960" s="2126" t="str">
        <f>A1959</f>
        <v/>
      </c>
      <c r="B1960" s="2205"/>
      <c r="C1960" s="2202"/>
      <c r="D1960" s="2203"/>
      <c r="E1960" s="2211" t="s">
        <v>6037</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ht="15"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ht="15"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ht="15"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ht="15"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ht="15" outlineLevel="1">
      <c r="A1965" s="2126" t="str">
        <f t="shared" si="374"/>
        <v/>
      </c>
      <c r="B1965" s="2065" t="s">
        <v>5342</v>
      </c>
      <c r="C1965" s="2202"/>
      <c r="D1965" s="2096" t="s">
        <v>5343</v>
      </c>
      <c r="E1965" s="2138" t="s">
        <v>5344</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ht="15"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5" outlineLevel="1">
      <c r="A1967" s="2126" t="str">
        <f>+A1966</f>
        <v/>
      </c>
      <c r="B1967" s="2362"/>
      <c r="C1967" s="2202"/>
      <c r="D1967" s="2203"/>
      <c r="E1967" s="2211" t="s">
        <v>6037</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ht="15"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ht="15" outlineLevel="1">
      <c r="A1969" s="2126" t="str">
        <f t="shared" si="375"/>
        <v/>
      </c>
      <c r="B1969" s="2196" t="s">
        <v>1504</v>
      </c>
      <c r="C1969" s="2202"/>
      <c r="D1969" s="2096">
        <v>0</v>
      </c>
      <c r="E1969" s="2138" t="s">
        <v>5081</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ht="15"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ht="15"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ht="15" outlineLevel="1">
      <c r="A1972" s="2126" t="str">
        <f t="shared" si="375"/>
        <v/>
      </c>
      <c r="B1972" s="2205" t="s">
        <v>6112</v>
      </c>
      <c r="C1972" s="2202"/>
      <c r="D1972" s="2096" t="s">
        <v>5639</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ht="15"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ht="15" outlineLevel="1">
      <c r="A1974" s="2126" t="str">
        <f t="shared" si="375"/>
        <v/>
      </c>
      <c r="B1974" s="2196" t="s">
        <v>523</v>
      </c>
      <c r="C1974" s="2363"/>
      <c r="D1974" s="2096">
        <v>0</v>
      </c>
      <c r="E1974" s="2138" t="s">
        <v>5170</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ht="15" outlineLevel="1">
      <c r="A1975" s="2126" t="str">
        <f t="shared" si="375"/>
        <v/>
      </c>
      <c r="B1975" s="2196" t="s">
        <v>1581</v>
      </c>
      <c r="C1975" s="2363"/>
      <c r="D1975" s="2096">
        <v>0</v>
      </c>
      <c r="E1975" s="2138" t="s">
        <v>5628</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ht="15" outlineLevel="1">
      <c r="A1976" s="2126" t="str">
        <f t="shared" si="375"/>
        <v/>
      </c>
      <c r="B1976" s="2196" t="s">
        <v>5082</v>
      </c>
      <c r="C1976" s="2363"/>
      <c r="D1976" s="2096">
        <v>0</v>
      </c>
      <c r="E1976" s="2138" t="s">
        <v>5083</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ht="15" outlineLevel="1">
      <c r="A1977" s="2126" t="str">
        <f t="shared" si="375"/>
        <v/>
      </c>
      <c r="B1977" s="2196" t="s">
        <v>5086</v>
      </c>
      <c r="C1977" s="2363"/>
      <c r="D1977" s="2096" t="s">
        <v>5087</v>
      </c>
      <c r="E1977" s="2138" t="s">
        <v>5088</v>
      </c>
      <c r="F1977" s="2096" t="s">
        <v>5089</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ht="15"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ht="15" outlineLevel="1">
      <c r="A1979" s="2126" t="str">
        <f>IF(G1979&lt;&gt;0,1,"")</f>
        <v/>
      </c>
      <c r="B1979" s="2196" t="s">
        <v>5093</v>
      </c>
      <c r="C1979" s="2363"/>
      <c r="D1979" s="2096">
        <v>0</v>
      </c>
      <c r="E1979" s="2138" t="s">
        <v>5094</v>
      </c>
      <c r="F1979" s="2096" t="s">
        <v>5092</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ht="15"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ht="15" outlineLevel="1">
      <c r="A1981" s="2126" t="str">
        <f t="shared" ref="A1981:A1986" si="376">IF(G1981&lt;&gt;0,1,"")</f>
        <v/>
      </c>
      <c r="B1981" s="2196" t="s">
        <v>5097</v>
      </c>
      <c r="C1981" s="2363"/>
      <c r="D1981" s="2096">
        <v>0</v>
      </c>
      <c r="E1981" s="2138" t="s">
        <v>5098</v>
      </c>
      <c r="F1981" s="2096" t="s">
        <v>5092</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ht="15" outlineLevel="1">
      <c r="A1982" s="2126" t="str">
        <f t="shared" si="376"/>
        <v/>
      </c>
      <c r="B1982" s="2196" t="s">
        <v>6138</v>
      </c>
      <c r="C1982" s="2363"/>
      <c r="D1982" s="2096">
        <v>0</v>
      </c>
      <c r="E1982" s="2138" t="s">
        <v>4969</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ht="15" outlineLevel="1">
      <c r="A1983" s="2126" t="str">
        <f t="shared" si="376"/>
        <v/>
      </c>
      <c r="B1983" s="2196" t="s">
        <v>5099</v>
      </c>
      <c r="C1983" s="2363"/>
      <c r="D1983" s="2096">
        <v>0</v>
      </c>
      <c r="E1983" s="2138" t="s">
        <v>5100</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ht="15" outlineLevel="1">
      <c r="A1984" s="2126" t="str">
        <f t="shared" si="376"/>
        <v/>
      </c>
      <c r="B1984" s="2196" t="s">
        <v>5101</v>
      </c>
      <c r="C1984" s="2363"/>
      <c r="D1984" s="2096">
        <v>0</v>
      </c>
      <c r="E1984" s="2138" t="s">
        <v>5102</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ht="15" outlineLevel="1">
      <c r="A1985" s="2126" t="str">
        <f t="shared" si="376"/>
        <v/>
      </c>
      <c r="B1985" s="2196" t="s">
        <v>791</v>
      </c>
      <c r="C1985" s="2363"/>
      <c r="D1985" s="2096" t="s">
        <v>5253</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ht="15" outlineLevel="1">
      <c r="A1986" s="2126" t="str">
        <f t="shared" si="376"/>
        <v/>
      </c>
      <c r="B1986" s="2196" t="s">
        <v>795</v>
      </c>
      <c r="C1986" s="2363"/>
      <c r="D1986" s="2096" t="s">
        <v>5242</v>
      </c>
      <c r="E1986" s="2138" t="s">
        <v>5254</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ht="15" outlineLevel="1">
      <c r="A1987" s="2126" t="str">
        <f>IF(G1987&lt;&gt;0,1,"")</f>
        <v/>
      </c>
      <c r="B1987" s="2196" t="s">
        <v>899</v>
      </c>
      <c r="C1987" s="2202"/>
      <c r="D1987" s="2096" t="s">
        <v>5268</v>
      </c>
      <c r="E1987" s="2138" t="s">
        <v>5269</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ht="15" outlineLevel="1">
      <c r="A1988" s="2126" t="str">
        <f>IF(G1988&lt;&gt;0,1,"")</f>
        <v/>
      </c>
      <c r="B1988" s="2196" t="s">
        <v>1433</v>
      </c>
      <c r="C1988" s="2202"/>
      <c r="D1988" s="2096" t="s">
        <v>5263</v>
      </c>
      <c r="E1988" s="2138" t="s">
        <v>5264</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ht="15" outlineLevel="1">
      <c r="A1989" s="2126" t="str">
        <f>IF(G1989&lt;&gt;0,1,"")</f>
        <v/>
      </c>
      <c r="B1989" s="2196"/>
      <c r="C1989" s="2202">
        <f>IF(G1989&gt;0,C1966+1,C1966)</f>
        <v>0</v>
      </c>
      <c r="D1989" s="2203"/>
      <c r="E1989" s="2320" t="s">
        <v>6113</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5" outlineLevel="1">
      <c r="A1990" s="2126" t="str">
        <f>A1989</f>
        <v/>
      </c>
      <c r="B1990" s="2196"/>
      <c r="C1990" s="2202"/>
      <c r="D1990" s="2203"/>
      <c r="E1990" s="2211" t="s">
        <v>6037</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ht="15" outlineLevel="1">
      <c r="A1991" s="2126" t="str">
        <f>IF(G1991&lt;&gt;0,1,"")</f>
        <v/>
      </c>
      <c r="B1991" s="2196" t="s">
        <v>5558</v>
      </c>
      <c r="C1991" s="2212"/>
      <c r="D1991" s="2096" t="s">
        <v>5548</v>
      </c>
      <c r="E1991" s="2138" t="s">
        <v>5559</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ht="15" outlineLevel="1">
      <c r="A1992" s="2126" t="str">
        <f>IF(G1992&lt;&gt;0,1,"")</f>
        <v/>
      </c>
      <c r="B1992" s="2196" t="s">
        <v>877</v>
      </c>
      <c r="C1992" s="2202"/>
      <c r="D1992" s="2096">
        <v>0</v>
      </c>
      <c r="E1992" s="2138" t="s">
        <v>5713</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ht="15" outlineLevel="1">
      <c r="A1993" s="2126" t="str">
        <f>IF(G1993&lt;&gt;0,1,"")</f>
        <v/>
      </c>
      <c r="B1993" s="2196" t="s">
        <v>288</v>
      </c>
      <c r="C1993" s="2212"/>
      <c r="D1993" s="2096">
        <v>0</v>
      </c>
      <c r="E1993" s="2138" t="s">
        <v>5627</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ht="15"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ht="15" outlineLevel="1">
      <c r="A1995" s="2126" t="str">
        <f>IF(G1995&lt;&gt;0,1,"")</f>
        <v/>
      </c>
      <c r="B1995" s="2196"/>
      <c r="C1995" s="2202">
        <f>IF(G1995&gt;0,C1989+1,C1989)</f>
        <v>0</v>
      </c>
      <c r="D1995" s="2203"/>
      <c r="E1995" s="2320" t="s">
        <v>6150</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5" outlineLevel="1">
      <c r="A1996" s="2435" t="str">
        <f>A1995</f>
        <v/>
      </c>
      <c r="B1996" s="2196"/>
      <c r="C1996" s="2436"/>
      <c r="D1996" s="2437"/>
      <c r="E1996" s="2438" t="s">
        <v>6037</v>
      </c>
      <c r="F1996" s="2437"/>
      <c r="G1996" s="2439"/>
      <c r="H1996" s="2440"/>
      <c r="I1996" s="2440"/>
      <c r="J1996" s="2440"/>
      <c r="K1996" s="2440"/>
      <c r="L1996" s="2440"/>
      <c r="M1996" s="2440"/>
      <c r="N1996" s="2440"/>
      <c r="O1996" s="2440"/>
      <c r="P1996" s="2441"/>
      <c r="Q1996" s="2442"/>
      <c r="R1996" s="2210"/>
      <c r="S1996" s="2442"/>
    </row>
    <row r="1997" spans="1:255" s="2049" customFormat="1" ht="15" outlineLevel="1">
      <c r="A1997" s="2126" t="str">
        <f>IF(G1997&lt;&gt;0,1,"")</f>
        <v/>
      </c>
      <c r="B1997" s="2196" t="s">
        <v>6151</v>
      </c>
      <c r="C1997" s="2212"/>
      <c r="D1997" s="2096" t="s">
        <v>5570</v>
      </c>
      <c r="E1997" s="2138" t="s">
        <v>5574</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ht="15" outlineLevel="1">
      <c r="A1998" s="2126" t="str">
        <f t="shared" ref="A1998:A2012" si="381">IF(G1998&lt;&gt;0,1,"")</f>
        <v/>
      </c>
      <c r="B1998" s="2196" t="s">
        <v>877</v>
      </c>
      <c r="C1998" s="2212"/>
      <c r="D1998" s="2096">
        <v>0</v>
      </c>
      <c r="E1998" s="2138" t="s">
        <v>5713</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ht="15" outlineLevel="1">
      <c r="A1999" s="2126" t="str">
        <f t="shared" si="381"/>
        <v/>
      </c>
      <c r="B1999" s="2196" t="s">
        <v>288</v>
      </c>
      <c r="C1999" s="2212"/>
      <c r="D1999" s="2096">
        <v>0</v>
      </c>
      <c r="E1999" s="2138" t="s">
        <v>5627</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ht="15"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ht="15"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ht="15"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ht="15"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ht="15" outlineLevel="1">
      <c r="A2004" s="2126" t="str">
        <f t="shared" si="381"/>
        <v/>
      </c>
      <c r="B2004" s="2205" t="s">
        <v>6152</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ht="15"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ht="15" outlineLevel="1">
      <c r="A2006" s="2126" t="str">
        <f t="shared" si="381"/>
        <v/>
      </c>
      <c r="B2006" s="2205" t="s">
        <v>6153</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ht="15" outlineLevel="1">
      <c r="A2007" s="2126" t="str">
        <f t="shared" si="381"/>
        <v/>
      </c>
      <c r="B2007" s="2205" t="s">
        <v>6154</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ht="15"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ht="15"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ht="15" outlineLevel="1">
      <c r="A2010" s="2126" t="str">
        <f t="shared" si="381"/>
        <v/>
      </c>
      <c r="B2010" s="2205" t="s">
        <v>6</v>
      </c>
      <c r="C2010" s="2212"/>
      <c r="D2010" s="2096">
        <v>0</v>
      </c>
      <c r="E2010" s="2138" t="s">
        <v>3552</v>
      </c>
      <c r="F2010" s="2096" t="s">
        <v>5720</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ht="15" outlineLevel="1">
      <c r="A2011" s="2126" t="str">
        <f t="shared" si="381"/>
        <v/>
      </c>
      <c r="B2011" s="2205" t="s">
        <v>669</v>
      </c>
      <c r="C2011" s="2212"/>
      <c r="D2011" s="2096">
        <v>0</v>
      </c>
      <c r="E2011" s="2138" t="s">
        <v>5715</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ht="15" outlineLevel="1">
      <c r="A2012" s="2126" t="str">
        <f t="shared" si="381"/>
        <v/>
      </c>
      <c r="B2012" s="2205" t="s">
        <v>1521</v>
      </c>
      <c r="C2012" s="2212"/>
      <c r="D2012" s="2096" t="s">
        <v>5487</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ht="15" outlineLevel="1">
      <c r="A2013" s="2126" t="str">
        <f>IF(G2013&lt;&gt;0,1,"")</f>
        <v/>
      </c>
      <c r="B2013" s="2205"/>
      <c r="C2013" s="2202">
        <f>IF(G2013&gt;0,C1995+1,C1995)</f>
        <v>0</v>
      </c>
      <c r="D2013" s="2203"/>
      <c r="E2013" s="2204" t="s">
        <v>6167</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5" outlineLevel="1">
      <c r="A2014" s="2126" t="str">
        <f>A2013</f>
        <v/>
      </c>
      <c r="B2014" s="2205"/>
      <c r="C2014" s="2202"/>
      <c r="D2014" s="2203"/>
      <c r="E2014" s="2218" t="s">
        <v>6037</v>
      </c>
      <c r="F2014" s="2202"/>
      <c r="G2014" s="2395"/>
      <c r="H2014" s="2208"/>
      <c r="I2014" s="2208"/>
      <c r="J2014" s="2208"/>
      <c r="K2014" s="2208"/>
      <c r="L2014" s="2208"/>
      <c r="M2014" s="2208"/>
      <c r="N2014" s="2208"/>
      <c r="O2014" s="2208"/>
      <c r="P2014" s="2385"/>
      <c r="Q2014" s="2210"/>
      <c r="R2014" s="2210"/>
      <c r="S2014" s="2210"/>
    </row>
    <row r="2015" spans="1:19" s="2049" customFormat="1" ht="15" outlineLevel="1">
      <c r="A2015" s="2126" t="str">
        <f t="shared" ref="A2015:A2026" si="386">IF(G2015&lt;&gt;0,1,"")</f>
        <v/>
      </c>
      <c r="B2015" s="2196" t="s">
        <v>694</v>
      </c>
      <c r="C2015" s="2212"/>
      <c r="D2015" s="2096">
        <v>0</v>
      </c>
      <c r="E2015" s="2138" t="s">
        <v>5005</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ht="15"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ht="15" outlineLevel="1">
      <c r="A2017" s="2126" t="str">
        <f t="shared" si="386"/>
        <v/>
      </c>
      <c r="B2017" s="2301" t="s">
        <v>1473</v>
      </c>
      <c r="C2017" s="2212"/>
      <c r="D2017" s="2096">
        <v>0</v>
      </c>
      <c r="E2017" s="2138" t="s">
        <v>6250</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ht="15" outlineLevel="1">
      <c r="A2018" s="2126" t="str">
        <f t="shared" si="386"/>
        <v/>
      </c>
      <c r="B2018" s="2301" t="s">
        <v>5614</v>
      </c>
      <c r="C2018" s="2212"/>
      <c r="D2018" s="2096">
        <v>0</v>
      </c>
      <c r="E2018" s="2138" t="s">
        <v>5615</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ht="15" outlineLevel="1">
      <c r="A2019" s="2126" t="str">
        <f t="shared" si="386"/>
        <v/>
      </c>
      <c r="B2019" s="2301" t="s">
        <v>5620</v>
      </c>
      <c r="C2019" s="2212"/>
      <c r="D2019" s="2096">
        <v>0</v>
      </c>
      <c r="E2019" s="2138" t="s">
        <v>5621</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ht="15" outlineLevel="1">
      <c r="A2020" s="2126" t="str">
        <f t="shared" si="386"/>
        <v/>
      </c>
      <c r="B2020" s="2301" t="s">
        <v>5622</v>
      </c>
      <c r="C2020" s="2212"/>
      <c r="D2020" s="2096">
        <v>0</v>
      </c>
      <c r="E2020" s="2138" t="s">
        <v>5623</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ht="15" outlineLevel="1">
      <c r="A2021" s="2126" t="str">
        <f t="shared" si="386"/>
        <v/>
      </c>
      <c r="B2021" s="2301" t="s">
        <v>6168</v>
      </c>
      <c r="C2021" s="2212"/>
      <c r="D2021" s="2096"/>
      <c r="E2021" s="2138" t="s">
        <v>5613</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ht="15"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ht="15"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ht="15" outlineLevel="1">
      <c r="A2024" s="2126" t="str">
        <f t="shared" si="386"/>
        <v/>
      </c>
      <c r="B2024" s="2196" t="s">
        <v>1561</v>
      </c>
      <c r="C2024" s="2212"/>
      <c r="D2024" s="2096" t="s">
        <v>5477</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ht="15" outlineLevel="1">
      <c r="A2025" s="2126" t="str">
        <f t="shared" si="386"/>
        <v/>
      </c>
      <c r="B2025" s="2196" t="s">
        <v>1521</v>
      </c>
      <c r="C2025" s="2212"/>
      <c r="D2025" s="2096" t="s">
        <v>5487</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ht="15"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5" outlineLevel="1">
      <c r="A2027" s="2126" t="str">
        <f>A2026</f>
        <v/>
      </c>
      <c r="B2027" s="2205"/>
      <c r="C2027" s="2202"/>
      <c r="D2027" s="2203"/>
      <c r="E2027" s="2218" t="s">
        <v>6037</v>
      </c>
      <c r="F2027" s="2202"/>
      <c r="G2027" s="2395"/>
      <c r="H2027" s="2208"/>
      <c r="I2027" s="2208"/>
      <c r="J2027" s="2208"/>
      <c r="K2027" s="2208"/>
      <c r="L2027" s="2208"/>
      <c r="M2027" s="2208"/>
      <c r="N2027" s="2208"/>
      <c r="O2027" s="2208"/>
      <c r="P2027" s="2209"/>
      <c r="Q2027" s="2210"/>
      <c r="R2027" s="2210"/>
      <c r="S2027" s="2210"/>
    </row>
    <row r="2028" spans="1:19" s="2049" customFormat="1" ht="15"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ht="15" outlineLevel="1">
      <c r="A2029" s="2126" t="str">
        <f>IF(G2029&lt;&gt;0,1,"")</f>
        <v/>
      </c>
      <c r="B2029" s="2205" t="s">
        <v>86</v>
      </c>
      <c r="C2029" s="2212"/>
      <c r="D2029" s="2096">
        <v>0</v>
      </c>
      <c r="E2029" s="2138" t="s">
        <v>5711</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ht="15"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ht="15"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ht="15" outlineLevel="1">
      <c r="A2032" s="2126" t="str">
        <f>IF(G2032&lt;&gt;0,1,"")</f>
        <v/>
      </c>
      <c r="B2032" s="2196"/>
      <c r="C2032" s="2202">
        <f>IF(G2032&gt;0,C2026+1,C2026)</f>
        <v>0</v>
      </c>
      <c r="D2032" s="2203"/>
      <c r="E2032" s="2204" t="s">
        <v>6169</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5" outlineLevel="1">
      <c r="A2033" s="2126" t="str">
        <f>A2032</f>
        <v/>
      </c>
      <c r="B2033" s="2196"/>
      <c r="C2033" s="2202"/>
      <c r="D2033" s="2203"/>
      <c r="E2033" s="2218" t="s">
        <v>6037</v>
      </c>
      <c r="F2033" s="2202"/>
      <c r="G2033" s="2394"/>
      <c r="H2033" s="2208"/>
      <c r="I2033" s="2208"/>
      <c r="J2033" s="2208"/>
      <c r="K2033" s="2208"/>
      <c r="L2033" s="2208"/>
      <c r="M2033" s="2208"/>
      <c r="N2033" s="2208"/>
      <c r="O2033" s="2208"/>
      <c r="P2033" s="2385"/>
      <c r="Q2033" s="2210"/>
      <c r="R2033" s="2210"/>
      <c r="S2033" s="2210"/>
    </row>
    <row r="2034" spans="1:19" s="2049" customFormat="1" ht="15"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ht="15"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ht="15" outlineLevel="1">
      <c r="A2036" s="2126" t="str">
        <f>IF(G2036&lt;&gt;0,1,"")</f>
        <v/>
      </c>
      <c r="B2036" s="2205" t="s">
        <v>1301</v>
      </c>
      <c r="C2036" s="2212"/>
      <c r="D2036" s="2096" t="s">
        <v>5642</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ht="15" outlineLevel="1">
      <c r="A2037" s="2126" t="str">
        <f>IF(G2037&lt;&gt;0,1,"")</f>
        <v/>
      </c>
      <c r="B2037" s="2205" t="s">
        <v>2151</v>
      </c>
      <c r="C2037" s="2212"/>
      <c r="D2037" s="2096" t="s">
        <v>5645</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ht="15"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ht="15"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ht="15"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ht="15" outlineLevel="1">
      <c r="A2041" s="2126" t="str">
        <f t="shared" si="391"/>
        <v/>
      </c>
      <c r="B2041" s="2205" t="s">
        <v>86</v>
      </c>
      <c r="C2041" s="2212"/>
      <c r="D2041" s="2096">
        <v>0</v>
      </c>
      <c r="E2041" s="2138" t="s">
        <v>5711</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ht="15" outlineLevel="1">
      <c r="A2042" s="2126" t="str">
        <f t="shared" si="391"/>
        <v/>
      </c>
      <c r="B2042" s="2205" t="s">
        <v>1985</v>
      </c>
      <c r="C2042" s="2212"/>
      <c r="D2042" s="2096">
        <v>0</v>
      </c>
      <c r="E2042" s="2138" t="s">
        <v>5175</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ht="15"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ht="15"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ht="15" outlineLevel="1">
      <c r="A2045" s="2126" t="str">
        <f t="shared" si="391"/>
        <v/>
      </c>
      <c r="B2045" s="2205" t="s">
        <v>5707</v>
      </c>
      <c r="C2045" s="2212"/>
      <c r="D2045" s="2096">
        <v>0</v>
      </c>
      <c r="E2045" s="2138" t="s">
        <v>5708</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ht="15"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ht="15" outlineLevel="1">
      <c r="A2047" s="2126" t="str">
        <f t="shared" si="391"/>
        <v/>
      </c>
      <c r="B2047" s="2205" t="s">
        <v>6</v>
      </c>
      <c r="C2047" s="2212"/>
      <c r="D2047" s="2096">
        <v>0</v>
      </c>
      <c r="E2047" s="2138" t="s">
        <v>3552</v>
      </c>
      <c r="F2047" s="2096" t="s">
        <v>5720</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ht="15" outlineLevel="1">
      <c r="A2048" s="2126" t="str">
        <f t="shared" si="391"/>
        <v/>
      </c>
      <c r="B2048" s="2205" t="s">
        <v>669</v>
      </c>
      <c r="C2048" s="2212"/>
      <c r="D2048" s="2096">
        <v>0</v>
      </c>
      <c r="E2048" s="2138" t="s">
        <v>5715</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ht="15" outlineLevel="1">
      <c r="A2049" s="2126" t="str">
        <f>IF(G2049&lt;&gt;0,1,"")</f>
        <v/>
      </c>
      <c r="B2049" s="2205" t="s">
        <v>2001</v>
      </c>
      <c r="C2049" s="2212"/>
      <c r="D2049" s="2096" t="s">
        <v>5488</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ht="15" outlineLevel="1">
      <c r="A2050" s="2126" t="str">
        <f t="shared" si="391"/>
        <v/>
      </c>
      <c r="B2050" s="2205" t="s">
        <v>246</v>
      </c>
      <c r="C2050" s="2212"/>
      <c r="D2050" s="2096" t="s">
        <v>5489</v>
      </c>
      <c r="E2050" s="2138" t="s">
        <v>5490</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ht="15" outlineLevel="1">
      <c r="A2051" s="2126">
        <f>A1899</f>
        <v>0</v>
      </c>
      <c r="B2051" s="2301"/>
      <c r="C2051" s="2476" t="s">
        <v>6035</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ht="15"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ht="15"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ht="15" outlineLevel="1">
      <c r="A2054" s="2126">
        <f>A2053</f>
        <v>0</v>
      </c>
      <c r="B2054" s="2205" t="s">
        <v>6016</v>
      </c>
      <c r="C2054" s="2592" t="s">
        <v>1704</v>
      </c>
      <c r="D2054" s="2593" t="s">
        <v>2589</v>
      </c>
      <c r="E2054" s="2595" t="s">
        <v>2590</v>
      </c>
      <c r="F2054" s="2592" t="s">
        <v>2585</v>
      </c>
      <c r="G2054" s="2053" t="s">
        <v>6017</v>
      </c>
      <c r="H2054" s="2056" t="s">
        <v>6018</v>
      </c>
      <c r="I2054" s="2563"/>
      <c r="J2054" s="2563"/>
      <c r="K2054" s="2564"/>
      <c r="L2054" s="2056" t="s">
        <v>6019</v>
      </c>
      <c r="M2054" s="2563"/>
      <c r="N2054" s="2563"/>
      <c r="O2054" s="2564"/>
      <c r="P2054" s="2477" t="s">
        <v>2591</v>
      </c>
      <c r="Q2054" s="2210"/>
      <c r="R2054" s="2210"/>
      <c r="S2054" s="2210"/>
    </row>
    <row r="2055" spans="1:19" s="2049" customFormat="1" ht="15" outlineLevel="1">
      <c r="A2055" s="2126">
        <f>A2054</f>
        <v>0</v>
      </c>
      <c r="B2055" s="2205"/>
      <c r="C2055" s="2592"/>
      <c r="D2055" s="2594"/>
      <c r="E2055" s="2596"/>
      <c r="F2055" s="2592"/>
      <c r="G2055" s="2055" t="s">
        <v>2280</v>
      </c>
      <c r="H2055" s="2056" t="s">
        <v>6020</v>
      </c>
      <c r="I2055" s="2056" t="s">
        <v>6021</v>
      </c>
      <c r="J2055" s="2056" t="s">
        <v>6022</v>
      </c>
      <c r="K2055" s="2056" t="s">
        <v>6023</v>
      </c>
      <c r="L2055" s="2056" t="s">
        <v>6020</v>
      </c>
      <c r="M2055" s="2056" t="s">
        <v>6021</v>
      </c>
      <c r="N2055" s="2056" t="s">
        <v>6022</v>
      </c>
      <c r="O2055" s="2056" t="s">
        <v>6023</v>
      </c>
      <c r="P2055" s="2477"/>
      <c r="Q2055" s="2210"/>
      <c r="R2055" s="2210"/>
      <c r="S2055" s="2210"/>
    </row>
    <row r="2056" spans="1:19" s="2049" customFormat="1" ht="15"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ht="15" outlineLevel="1">
      <c r="A2057" s="2126" t="str">
        <f>IF(G2057&lt;&gt;0,1,"")</f>
        <v/>
      </c>
      <c r="B2057" s="2196" t="str">
        <f>IF($F$8=15,"tr400","tr4001")</f>
        <v>tr4001</v>
      </c>
      <c r="C2057" s="2212">
        <f>IF(G2057&gt;0,1,0)</f>
        <v>0</v>
      </c>
      <c r="D2057" s="2096" t="s">
        <v>5507</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ht="15" outlineLevel="1">
      <c r="A2058" s="2126" t="str">
        <f>IF(G2058&lt;&gt;0,1,"")</f>
        <v/>
      </c>
      <c r="B2058" s="2062" t="str">
        <f>"FCO100-"&amp;$F$8</f>
        <v>FCO100-22</v>
      </c>
      <c r="C2058" s="2212">
        <f>IF(G2058&gt;0,C2057+1,C2057)</f>
        <v>0</v>
      </c>
      <c r="D2058" s="2096" t="s">
        <v>5513</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ht="15" outlineLevel="1">
      <c r="A2059" s="2474" t="str">
        <f>IF(G2059&lt;&gt;0,1,"")</f>
        <v/>
      </c>
      <c r="B2059" s="2480" t="str">
        <f>"FCO100-"&amp;$F$8</f>
        <v>FCO100-22</v>
      </c>
      <c r="C2059" s="2481">
        <f>IF(G2059&gt;0,C2058+1,C2058)</f>
        <v>0</v>
      </c>
      <c r="D2059" s="2482" t="s">
        <v>5513</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6139</v>
      </c>
      <c r="Q2059" s="2382"/>
      <c r="R2059" s="2382"/>
      <c r="S2059" s="2382"/>
    </row>
    <row r="2060" spans="1:19" s="2049" customFormat="1" ht="15"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ht="15" outlineLevel="1">
      <c r="A2061" s="2126" t="str">
        <f t="shared" si="400"/>
        <v/>
      </c>
      <c r="B2061" s="2205" t="str">
        <f>"LA"&amp;$F$6</f>
        <v>LA18</v>
      </c>
      <c r="C2061" s="2212">
        <f t="shared" ref="C2061:C2068" si="401">IF(G2061&gt;0,C2060+1,C2060)</f>
        <v>0</v>
      </c>
      <c r="D2061" s="2096" t="s">
        <v>5517</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ht="15" outlineLevel="1">
      <c r="A2062" s="2474" t="str">
        <f>IF(G2062&lt;&gt;0,1,"")</f>
        <v/>
      </c>
      <c r="B2062" s="2486" t="str">
        <f>"LA"&amp;$F$6</f>
        <v>LA18</v>
      </c>
      <c r="C2062" s="2481">
        <f>IF(G2062&gt;0,C2061+1,C2061)</f>
        <v>0</v>
      </c>
      <c r="D2062" s="2482" t="s">
        <v>5517</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6139</v>
      </c>
      <c r="Q2062" s="2382"/>
      <c r="R2062" s="2382"/>
      <c r="S2062" s="2382"/>
    </row>
    <row r="2063" spans="1:19" s="2049" customFormat="1" ht="15" outlineLevel="1">
      <c r="A2063" s="2126" t="str">
        <f t="shared" si="400"/>
        <v/>
      </c>
      <c r="B2063" s="2301" t="s">
        <v>1458</v>
      </c>
      <c r="C2063" s="2212">
        <f>IF(G2063&gt;0,C2061+1,C2061)</f>
        <v>0</v>
      </c>
      <c r="D2063" s="2096" t="s">
        <v>5603</v>
      </c>
      <c r="E2063" s="2138" t="s">
        <v>5604</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ht="15" outlineLevel="1">
      <c r="A2064" s="2126" t="str">
        <f t="shared" si="400"/>
        <v/>
      </c>
      <c r="B2064" s="2301" t="s">
        <v>949</v>
      </c>
      <c r="C2064" s="2212">
        <f t="shared" si="401"/>
        <v>0</v>
      </c>
      <c r="D2064" s="2096" t="s">
        <v>5600</v>
      </c>
      <c r="E2064" s="2138" t="s">
        <v>5601</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ht="15" outlineLevel="1">
      <c r="A2065" s="2126" t="str">
        <f t="shared" si="400"/>
        <v/>
      </c>
      <c r="B2065" s="2301" t="s">
        <v>1457</v>
      </c>
      <c r="C2065" s="2212">
        <f t="shared" si="401"/>
        <v>0</v>
      </c>
      <c r="D2065" s="2096" t="s">
        <v>5536</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ht="15"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ht="15"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ht="15"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ht="15" outlineLevel="1">
      <c r="A2069" s="2126">
        <f>IF(SUM(L2069:O2069)&gt;0,1,)</f>
        <v>0</v>
      </c>
      <c r="B2069" s="2205"/>
      <c r="C2069" s="2337"/>
      <c r="D2069" s="2338"/>
      <c r="E2069" s="2339"/>
      <c r="F2069" s="2337"/>
      <c r="G2069" s="2389"/>
      <c r="H2069" s="2337"/>
      <c r="I2069" s="2337"/>
      <c r="J2069" s="2061" t="s">
        <v>6025</v>
      </c>
      <c r="K2069" s="2337"/>
      <c r="L2069" s="2339">
        <f>SUM(L2057:L2068)</f>
        <v>0</v>
      </c>
      <c r="M2069" s="2339">
        <f>SUM(M2057:M2068)</f>
        <v>0</v>
      </c>
      <c r="N2069" s="2339">
        <f>SUM(N2057:N2068)</f>
        <v>0</v>
      </c>
      <c r="O2069" s="2339">
        <f>SUM(O2057:O2068)</f>
        <v>0</v>
      </c>
      <c r="P2069" s="2390"/>
      <c r="Q2069" s="2210"/>
      <c r="R2069" s="2210"/>
      <c r="S2069" s="2210"/>
    </row>
    <row r="2070" spans="1:19" s="2049" customFormat="1" ht="15"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ht="15" outlineLevel="1">
      <c r="A2071" s="2126" t="str">
        <f t="shared" ref="A2071:A2089" si="402">IF(G2071&lt;&gt;0,1,"")</f>
        <v/>
      </c>
      <c r="B2071" s="2345"/>
      <c r="C2071" s="2346">
        <f>IF(G2071&gt;0,1,0)</f>
        <v>0</v>
      </c>
      <c r="D2071" s="2096"/>
      <c r="E2071" s="2347" t="s">
        <v>6026</v>
      </c>
      <c r="F2071" s="2348" t="s">
        <v>2271</v>
      </c>
      <c r="G2071" s="2405"/>
      <c r="H2071" s="2348"/>
      <c r="I2071" s="2348"/>
      <c r="J2071" s="2348"/>
      <c r="K2071" s="2348"/>
      <c r="L2071" s="2349"/>
      <c r="M2071" s="2349"/>
      <c r="N2071" s="2349"/>
      <c r="O2071" s="2350"/>
      <c r="P2071" s="2333"/>
      <c r="Q2071" s="2210"/>
      <c r="R2071" s="2210"/>
      <c r="S2071" s="2210"/>
    </row>
    <row r="2072" spans="1:19" s="2049" customFormat="1" ht="15"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ht="15"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ht="15"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ht="15" outlineLevel="1">
      <c r="A2075" s="2126" t="str">
        <f t="shared" si="402"/>
        <v/>
      </c>
      <c r="B2075" s="2345"/>
      <c r="C2075" s="2346">
        <f>IF(G2075&gt;0,1,0)</f>
        <v>0</v>
      </c>
      <c r="D2075" s="2096"/>
      <c r="E2075" s="2347" t="s">
        <v>6121</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ht="15"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ht="15"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ht="15"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ht="15"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ht="15" outlineLevel="1">
      <c r="A2080" s="2126" t="str">
        <f t="shared" si="402"/>
        <v/>
      </c>
      <c r="B2080" s="2301" t="s">
        <v>633</v>
      </c>
      <c r="C2080" s="2351"/>
      <c r="D2080" s="2096" t="s">
        <v>4965</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ht="15" outlineLevel="1">
      <c r="A2081" s="2126" t="str">
        <f t="shared" si="402"/>
        <v/>
      </c>
      <c r="B2081" s="2301" t="s">
        <v>564</v>
      </c>
      <c r="C2081" s="2351"/>
      <c r="D2081" s="2096"/>
      <c r="E2081" s="2352" t="s">
        <v>4990</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ht="15" outlineLevel="1">
      <c r="A2082" s="2126" t="str">
        <f t="shared" si="402"/>
        <v/>
      </c>
      <c r="B2082" s="2301" t="s">
        <v>636</v>
      </c>
      <c r="C2082" s="2351"/>
      <c r="D2082" s="2096" t="s">
        <v>1742</v>
      </c>
      <c r="E2082" s="2352" t="s">
        <v>5241</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ht="15" outlineLevel="1">
      <c r="A2083" s="2126" t="str">
        <f t="shared" si="402"/>
        <v/>
      </c>
      <c r="B2083" s="2301" t="s">
        <v>21</v>
      </c>
      <c r="C2083" s="2351"/>
      <c r="D2083" s="2096" t="s">
        <v>5242</v>
      </c>
      <c r="E2083" s="2352" t="s">
        <v>5243</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ht="15"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ht="15" outlineLevel="1">
      <c r="A2085" s="2126" t="str">
        <f t="shared" si="402"/>
        <v/>
      </c>
      <c r="B2085" s="2301" t="s">
        <v>633</v>
      </c>
      <c r="C2085" s="2351"/>
      <c r="D2085" s="2096" t="s">
        <v>4965</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ht="15" outlineLevel="1">
      <c r="A2086" s="2126" t="str">
        <f t="shared" si="402"/>
        <v/>
      </c>
      <c r="B2086" s="2301" t="s">
        <v>564</v>
      </c>
      <c r="C2086" s="2351"/>
      <c r="D2086" s="2096"/>
      <c r="E2086" s="2352" t="s">
        <v>4990</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ht="15" outlineLevel="1">
      <c r="A2087" s="2126" t="str">
        <f t="shared" si="402"/>
        <v/>
      </c>
      <c r="B2087" s="2301" t="s">
        <v>636</v>
      </c>
      <c r="C2087" s="2351"/>
      <c r="D2087" s="2096" t="s">
        <v>1742</v>
      </c>
      <c r="E2087" s="2352" t="s">
        <v>5241</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ht="15" outlineLevel="1">
      <c r="A2088" s="2126" t="str">
        <f t="shared" si="402"/>
        <v/>
      </c>
      <c r="B2088" s="2301" t="s">
        <v>21</v>
      </c>
      <c r="C2088" s="2351"/>
      <c r="D2088" s="2096" t="s">
        <v>5242</v>
      </c>
      <c r="E2088" s="2352" t="s">
        <v>5243</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ht="15"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5" outlineLevel="1">
      <c r="A2090" s="2126" t="str">
        <f>A2089</f>
        <v/>
      </c>
      <c r="B2090" s="2205"/>
      <c r="C2090" s="2202"/>
      <c r="D2090" s="2358"/>
      <c r="E2090" s="2211" t="s">
        <v>6037</v>
      </c>
      <c r="F2090" s="2212"/>
      <c r="G2090" s="2394"/>
      <c r="H2090" s="2359"/>
      <c r="I2090" s="2359"/>
      <c r="J2090" s="2359"/>
      <c r="K2090" s="2359"/>
      <c r="L2090" s="2359"/>
      <c r="M2090" s="2359"/>
      <c r="N2090" s="2359"/>
      <c r="O2090" s="2359"/>
      <c r="P2090" s="2393"/>
      <c r="Q2090" s="2210"/>
      <c r="R2090" s="2210"/>
      <c r="S2090" s="2210"/>
    </row>
    <row r="2091" spans="1:19" s="2049" customFormat="1" ht="15" outlineLevel="1">
      <c r="A2091" s="2126" t="str">
        <f t="shared" ref="A2091:A2107" si="403">IF(G2091&lt;&gt;0,1,"")</f>
        <v/>
      </c>
      <c r="B2091" s="2196" t="s">
        <v>5755</v>
      </c>
      <c r="C2091" s="2202"/>
      <c r="D2091" s="2096">
        <v>0</v>
      </c>
      <c r="E2091" s="2138" t="s">
        <v>5756</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ht="15" outlineLevel="1">
      <c r="A2092" s="2126" t="str">
        <f t="shared" si="403"/>
        <v/>
      </c>
      <c r="B2092" s="2196" t="s">
        <v>5757</v>
      </c>
      <c r="C2092" s="2202"/>
      <c r="D2092" s="2096">
        <v>0</v>
      </c>
      <c r="E2092" s="2138" t="s">
        <v>5758</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ht="15" outlineLevel="1">
      <c r="A2093" s="2126" t="str">
        <f t="shared" si="403"/>
        <v/>
      </c>
      <c r="B2093" s="2196" t="s">
        <v>5761</v>
      </c>
      <c r="C2093" s="2202"/>
      <c r="D2093" s="2096">
        <v>0</v>
      </c>
      <c r="E2093" s="2138" t="s">
        <v>5762</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ht="15" outlineLevel="1">
      <c r="A2094" s="2126" t="str">
        <f t="shared" si="403"/>
        <v/>
      </c>
      <c r="B2094" s="2196" t="s">
        <v>5763</v>
      </c>
      <c r="C2094" s="2202"/>
      <c r="D2094" s="2096">
        <v>0</v>
      </c>
      <c r="E2094" s="2138" t="s">
        <v>5764</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ht="15" outlineLevel="1">
      <c r="A2095" s="2126" t="str">
        <f t="shared" si="403"/>
        <v/>
      </c>
      <c r="B2095" s="2196" t="s">
        <v>5765</v>
      </c>
      <c r="C2095" s="2202"/>
      <c r="D2095" s="2096">
        <v>0</v>
      </c>
      <c r="E2095" s="2138" t="s">
        <v>5766</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ht="15" outlineLevel="1">
      <c r="A2096" s="2126" t="str">
        <f t="shared" si="403"/>
        <v/>
      </c>
      <c r="B2096" s="2196" t="s">
        <v>5769</v>
      </c>
      <c r="C2096" s="2202"/>
      <c r="D2096" s="2096">
        <v>0</v>
      </c>
      <c r="E2096" s="2138" t="s">
        <v>5770</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ht="15" outlineLevel="1">
      <c r="A2097" s="2126" t="str">
        <f t="shared" si="403"/>
        <v/>
      </c>
      <c r="B2097" s="2196" t="s">
        <v>5771</v>
      </c>
      <c r="C2097" s="2202"/>
      <c r="D2097" s="2096">
        <v>0</v>
      </c>
      <c r="E2097" s="2138" t="s">
        <v>5772</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ht="15" outlineLevel="1">
      <c r="A2098" s="2126" t="str">
        <f t="shared" si="403"/>
        <v/>
      </c>
      <c r="B2098" s="2196" t="s">
        <v>5775</v>
      </c>
      <c r="C2098" s="2202"/>
      <c r="D2098" s="2096">
        <v>0</v>
      </c>
      <c r="E2098" s="2138" t="s">
        <v>5776</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ht="15" outlineLevel="1">
      <c r="A2099" s="2126" t="str">
        <f t="shared" si="403"/>
        <v/>
      </c>
      <c r="B2099" s="2196" t="s">
        <v>5777</v>
      </c>
      <c r="C2099" s="2202"/>
      <c r="D2099" s="2096">
        <v>0</v>
      </c>
      <c r="E2099" s="2138" t="s">
        <v>5778</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ht="15" outlineLevel="1">
      <c r="A2100" s="2126" t="str">
        <f t="shared" si="403"/>
        <v/>
      </c>
      <c r="B2100" s="2196" t="s">
        <v>5781</v>
      </c>
      <c r="C2100" s="2202"/>
      <c r="D2100" s="2096">
        <v>0</v>
      </c>
      <c r="E2100" s="2138" t="s">
        <v>5782</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ht="15" outlineLevel="1">
      <c r="A2101" s="2126" t="str">
        <f t="shared" si="403"/>
        <v/>
      </c>
      <c r="B2101" s="2196" t="s">
        <v>4757</v>
      </c>
      <c r="C2101" s="2202"/>
      <c r="D2101" s="2096">
        <v>0</v>
      </c>
      <c r="E2101" s="2138" t="s">
        <v>4983</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ht="15" outlineLevel="1">
      <c r="A2102" s="2126" t="str">
        <f t="shared" si="403"/>
        <v/>
      </c>
      <c r="B2102" s="2196" t="s">
        <v>4978</v>
      </c>
      <c r="C2102" s="2202"/>
      <c r="D2102" s="2096">
        <v>0</v>
      </c>
      <c r="E2102" s="2138" t="s">
        <v>4979</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ht="15"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ht="15"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ht="15"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ht="15"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ht="15"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ht="15" outlineLevel="1">
      <c r="A2108" s="2126" t="str">
        <f>IF(G2108&lt;&gt;0,1,"")</f>
        <v/>
      </c>
      <c r="B2108" s="2065" t="s">
        <v>5342</v>
      </c>
      <c r="C2108" s="2202"/>
      <c r="D2108" s="2096" t="s">
        <v>5343</v>
      </c>
      <c r="E2108" s="2138" t="s">
        <v>5344</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ht="15" outlineLevel="1">
      <c r="A2109" s="2126" t="str">
        <f>IF(G2109&lt;&gt;0,1,"")</f>
        <v/>
      </c>
      <c r="B2109" s="2205"/>
      <c r="C2109" s="2202">
        <f>IF(G2109&gt;0,C2089+1,C2085)</f>
        <v>0</v>
      </c>
      <c r="D2109" s="2203"/>
      <c r="E2109" s="2361" t="s">
        <v>6141</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5" outlineLevel="1">
      <c r="A2110" s="2126" t="str">
        <f>A2109</f>
        <v/>
      </c>
      <c r="B2110" s="2205"/>
      <c r="C2110" s="2202"/>
      <c r="D2110" s="2203"/>
      <c r="E2110" s="2211" t="s">
        <v>6037</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ht="15" outlineLevel="1">
      <c r="A2111" s="2126" t="str">
        <f t="shared" ref="A2111:A2117" si="410">IF(G2111&lt;&gt;0,1,"")</f>
        <v/>
      </c>
      <c r="B2111" s="2077" t="s">
        <v>5069</v>
      </c>
      <c r="C2111" s="2202"/>
      <c r="D2111" s="2096">
        <v>0</v>
      </c>
      <c r="E2111" s="2138" t="s">
        <v>5070</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ht="15" outlineLevel="1">
      <c r="A2112" s="2126" t="str">
        <f t="shared" si="410"/>
        <v/>
      </c>
      <c r="B2112" s="2077" t="s">
        <v>5076</v>
      </c>
      <c r="C2112" s="2202"/>
      <c r="D2112" s="2096">
        <v>0</v>
      </c>
      <c r="E2112" s="2138" t="s">
        <v>5077</v>
      </c>
      <c r="F2112" s="2096" t="s">
        <v>5078</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ht="15" outlineLevel="1">
      <c r="A2113" s="2126" t="str">
        <f t="shared" si="410"/>
        <v/>
      </c>
      <c r="B2113" s="2074" t="s">
        <v>486</v>
      </c>
      <c r="C2113" s="2202"/>
      <c r="D2113" s="2096">
        <v>0</v>
      </c>
      <c r="E2113" s="2138" t="s">
        <v>4996</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ht="15" outlineLevel="1">
      <c r="A2114" s="2126" t="str">
        <f t="shared" si="410"/>
        <v/>
      </c>
      <c r="B2114" s="2205" t="s">
        <v>6164</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ht="15" outlineLevel="1">
      <c r="A2115" s="2126" t="str">
        <f t="shared" si="410"/>
        <v/>
      </c>
      <c r="B2115" s="2205" t="s">
        <v>6165</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ht="15" outlineLevel="1">
      <c r="A2116" s="2126" t="str">
        <f t="shared" si="410"/>
        <v/>
      </c>
      <c r="B2116" s="2065" t="s">
        <v>6145</v>
      </c>
      <c r="C2116" s="2202"/>
      <c r="D2116" s="2096" t="s">
        <v>5066</v>
      </c>
      <c r="E2116" s="2138" t="s">
        <v>5294</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ht="15" outlineLevel="1">
      <c r="A2117" s="2126" t="str">
        <f t="shared" si="410"/>
        <v/>
      </c>
      <c r="B2117" s="2205"/>
      <c r="C2117" s="2202">
        <f>IF(G2117&gt;0,C2089+2,C2089)</f>
        <v>0</v>
      </c>
      <c r="D2117" s="2203"/>
      <c r="E2117" s="2361" t="s">
        <v>6166</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5" outlineLevel="1">
      <c r="A2118" s="2126" t="str">
        <f>A2117</f>
        <v/>
      </c>
      <c r="B2118" s="2205"/>
      <c r="C2118" s="2202"/>
      <c r="D2118" s="2203"/>
      <c r="E2118" s="2211" t="s">
        <v>6037</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ht="15"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ht="15"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ht="15"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ht="15"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ht="15" outlineLevel="1">
      <c r="A2123" s="2126" t="str">
        <f t="shared" si="413"/>
        <v/>
      </c>
      <c r="B2123" s="2065" t="s">
        <v>5342</v>
      </c>
      <c r="C2123" s="2202"/>
      <c r="D2123" s="2096" t="s">
        <v>5343</v>
      </c>
      <c r="E2123" s="2138" t="s">
        <v>5344</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ht="15"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5" outlineLevel="1">
      <c r="A2125" s="2126" t="str">
        <f>+A2124</f>
        <v/>
      </c>
      <c r="B2125" s="2362"/>
      <c r="C2125" s="2202"/>
      <c r="D2125" s="2203"/>
      <c r="E2125" s="2211" t="s">
        <v>6037</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ht="15"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ht="15" outlineLevel="1">
      <c r="A2127" s="2126" t="str">
        <f t="shared" si="414"/>
        <v/>
      </c>
      <c r="B2127" s="2196" t="s">
        <v>1504</v>
      </c>
      <c r="C2127" s="2202"/>
      <c r="D2127" s="2096">
        <v>0</v>
      </c>
      <c r="E2127" s="2138" t="s">
        <v>5081</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ht="15"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ht="15"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ht="15" outlineLevel="1">
      <c r="A2130" s="2126" t="str">
        <f t="shared" si="414"/>
        <v/>
      </c>
      <c r="B2130" s="2205" t="s">
        <v>6112</v>
      </c>
      <c r="C2130" s="2202"/>
      <c r="D2130" s="2096" t="s">
        <v>5639</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ht="15"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ht="15" outlineLevel="1">
      <c r="A2132" s="2126" t="str">
        <f t="shared" si="414"/>
        <v/>
      </c>
      <c r="B2132" s="2196" t="s">
        <v>523</v>
      </c>
      <c r="C2132" s="2363"/>
      <c r="D2132" s="2096">
        <v>0</v>
      </c>
      <c r="E2132" s="2138" t="s">
        <v>5170</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ht="15" outlineLevel="1">
      <c r="A2133" s="2126" t="str">
        <f t="shared" si="414"/>
        <v/>
      </c>
      <c r="B2133" s="2196" t="s">
        <v>1581</v>
      </c>
      <c r="C2133" s="2363"/>
      <c r="D2133" s="2096">
        <v>0</v>
      </c>
      <c r="E2133" s="2138" t="s">
        <v>5628</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ht="15" outlineLevel="1">
      <c r="A2134" s="2126" t="str">
        <f t="shared" si="414"/>
        <v/>
      </c>
      <c r="B2134" s="2196" t="s">
        <v>5082</v>
      </c>
      <c r="C2134" s="2363"/>
      <c r="D2134" s="2096">
        <v>0</v>
      </c>
      <c r="E2134" s="2138" t="s">
        <v>5083</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ht="15" outlineLevel="1">
      <c r="A2135" s="2126" t="str">
        <f t="shared" si="414"/>
        <v/>
      </c>
      <c r="B2135" s="2196" t="s">
        <v>5086</v>
      </c>
      <c r="C2135" s="2363"/>
      <c r="D2135" s="2096" t="s">
        <v>5087</v>
      </c>
      <c r="E2135" s="2138" t="s">
        <v>5088</v>
      </c>
      <c r="F2135" s="2096" t="s">
        <v>5089</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ht="15"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ht="15" outlineLevel="1">
      <c r="A2137" s="2126" t="str">
        <f>IF(G2137&lt;&gt;0,1,"")</f>
        <v/>
      </c>
      <c r="B2137" s="2196" t="s">
        <v>5093</v>
      </c>
      <c r="C2137" s="2363"/>
      <c r="D2137" s="2096">
        <v>0</v>
      </c>
      <c r="E2137" s="2138" t="s">
        <v>5094</v>
      </c>
      <c r="F2137" s="2096" t="s">
        <v>5092</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ht="15"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ht="15" outlineLevel="1">
      <c r="A2139" s="2126" t="str">
        <f t="shared" ref="A2139:A2144" si="415">IF(G2139&lt;&gt;0,1,"")</f>
        <v/>
      </c>
      <c r="B2139" s="2196" t="s">
        <v>5097</v>
      </c>
      <c r="C2139" s="2363"/>
      <c r="D2139" s="2096">
        <v>0</v>
      </c>
      <c r="E2139" s="2138" t="s">
        <v>5098</v>
      </c>
      <c r="F2139" s="2096" t="s">
        <v>5092</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ht="15" outlineLevel="1">
      <c r="A2140" s="2126" t="str">
        <f t="shared" si="415"/>
        <v/>
      </c>
      <c r="B2140" s="2196" t="s">
        <v>6138</v>
      </c>
      <c r="C2140" s="2363"/>
      <c r="D2140" s="2096">
        <v>0</v>
      </c>
      <c r="E2140" s="2138" t="s">
        <v>4969</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ht="15" outlineLevel="1">
      <c r="A2141" s="2126" t="str">
        <f t="shared" si="415"/>
        <v/>
      </c>
      <c r="B2141" s="2196" t="s">
        <v>5099</v>
      </c>
      <c r="C2141" s="2363"/>
      <c r="D2141" s="2096">
        <v>0</v>
      </c>
      <c r="E2141" s="2138" t="s">
        <v>5100</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ht="15" outlineLevel="1">
      <c r="A2142" s="2126" t="str">
        <f t="shared" si="415"/>
        <v/>
      </c>
      <c r="B2142" s="2196" t="s">
        <v>5101</v>
      </c>
      <c r="C2142" s="2363"/>
      <c r="D2142" s="2096">
        <v>0</v>
      </c>
      <c r="E2142" s="2138" t="s">
        <v>5102</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ht="15" outlineLevel="1">
      <c r="A2143" s="2126" t="str">
        <f t="shared" si="415"/>
        <v/>
      </c>
      <c r="B2143" s="2196" t="s">
        <v>791</v>
      </c>
      <c r="C2143" s="2363"/>
      <c r="D2143" s="2096" t="s">
        <v>5253</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ht="15" outlineLevel="1">
      <c r="A2144" s="2126" t="str">
        <f t="shared" si="415"/>
        <v/>
      </c>
      <c r="B2144" s="2196" t="s">
        <v>795</v>
      </c>
      <c r="C2144" s="2363"/>
      <c r="D2144" s="2096" t="s">
        <v>5242</v>
      </c>
      <c r="E2144" s="2138" t="s">
        <v>5254</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ht="15" outlineLevel="1">
      <c r="A2145" s="2126" t="str">
        <f>IF(G2145&lt;&gt;0,1,"")</f>
        <v/>
      </c>
      <c r="B2145" s="2196" t="s">
        <v>899</v>
      </c>
      <c r="C2145" s="2202"/>
      <c r="D2145" s="2096" t="s">
        <v>5268</v>
      </c>
      <c r="E2145" s="2138" t="s">
        <v>5269</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ht="15" outlineLevel="1">
      <c r="A2146" s="2126" t="str">
        <f>IF(G2146&lt;&gt;0,1,"")</f>
        <v/>
      </c>
      <c r="B2146" s="2196" t="s">
        <v>1433</v>
      </c>
      <c r="C2146" s="2202"/>
      <c r="D2146" s="2096" t="s">
        <v>5263</v>
      </c>
      <c r="E2146" s="2138" t="s">
        <v>5264</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ht="15" outlineLevel="1">
      <c r="A2147" s="2126" t="str">
        <f>IF(G2147&lt;&gt;0,1,"")</f>
        <v/>
      </c>
      <c r="B2147" s="2196"/>
      <c r="C2147" s="2202">
        <f>IF(G2147&gt;0,C2124+1,C2124)</f>
        <v>0</v>
      </c>
      <c r="D2147" s="2203"/>
      <c r="E2147" s="2320" t="s">
        <v>6113</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5" outlineLevel="1">
      <c r="A2148" s="2126" t="str">
        <f>A2147</f>
        <v/>
      </c>
      <c r="B2148" s="2196"/>
      <c r="C2148" s="2202"/>
      <c r="D2148" s="2203"/>
      <c r="E2148" s="2211" t="s">
        <v>6037</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ht="15" outlineLevel="1">
      <c r="A2149" s="2126" t="str">
        <f>IF(G2149&lt;&gt;0,1,"")</f>
        <v/>
      </c>
      <c r="B2149" s="2196" t="s">
        <v>5558</v>
      </c>
      <c r="C2149" s="2212"/>
      <c r="D2149" s="2096" t="s">
        <v>5548</v>
      </c>
      <c r="E2149" s="2138" t="s">
        <v>5559</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ht="15" outlineLevel="1">
      <c r="A2150" s="2126" t="str">
        <f>IF(G2150&lt;&gt;0,1,"")</f>
        <v/>
      </c>
      <c r="B2150" s="2196" t="s">
        <v>877</v>
      </c>
      <c r="C2150" s="2202"/>
      <c r="D2150" s="2096">
        <v>0</v>
      </c>
      <c r="E2150" s="2138" t="s">
        <v>5713</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ht="15" outlineLevel="1">
      <c r="A2151" s="2126" t="str">
        <f>IF(G2151&lt;&gt;0,1,"")</f>
        <v/>
      </c>
      <c r="B2151" s="2196" t="s">
        <v>288</v>
      </c>
      <c r="C2151" s="2212"/>
      <c r="D2151" s="2096">
        <v>0</v>
      </c>
      <c r="E2151" s="2138" t="s">
        <v>5627</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ht="15"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ht="15" outlineLevel="1">
      <c r="A2153" s="2126" t="str">
        <f>IF(G2153&lt;&gt;0,1,"")</f>
        <v/>
      </c>
      <c r="B2153" s="2196"/>
      <c r="C2153" s="2202">
        <f>IF(G2153&gt;0,C2147+1,C2147)</f>
        <v>0</v>
      </c>
      <c r="D2153" s="2203"/>
      <c r="E2153" s="2320" t="s">
        <v>6150</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5" outlineLevel="1">
      <c r="A2154" s="2435" t="str">
        <f>A2153</f>
        <v/>
      </c>
      <c r="B2154" s="2196"/>
      <c r="C2154" s="2436"/>
      <c r="D2154" s="2437"/>
      <c r="E2154" s="2438" t="s">
        <v>6037</v>
      </c>
      <c r="F2154" s="2437"/>
      <c r="G2154" s="2439"/>
      <c r="H2154" s="2440"/>
      <c r="I2154" s="2440"/>
      <c r="J2154" s="2440"/>
      <c r="K2154" s="2440"/>
      <c r="L2154" s="2440"/>
      <c r="M2154" s="2440"/>
      <c r="N2154" s="2440"/>
      <c r="O2154" s="2440"/>
      <c r="P2154" s="2441"/>
      <c r="Q2154" s="2442"/>
      <c r="R2154" s="2210"/>
      <c r="S2154" s="2442"/>
    </row>
    <row r="2155" spans="1:255" s="2049" customFormat="1" ht="15" outlineLevel="1">
      <c r="A2155" s="2126" t="str">
        <f t="shared" ref="A2155:A2170" si="420">IF(G2155&lt;&gt;0,1,"")</f>
        <v/>
      </c>
      <c r="B2155" s="2196" t="s">
        <v>6151</v>
      </c>
      <c r="C2155" s="2212"/>
      <c r="D2155" s="2096" t="s">
        <v>5570</v>
      </c>
      <c r="E2155" s="2138" t="s">
        <v>5574</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ht="15" outlineLevel="1">
      <c r="A2156" s="2126" t="str">
        <f t="shared" si="420"/>
        <v/>
      </c>
      <c r="B2156" s="2196" t="s">
        <v>877</v>
      </c>
      <c r="C2156" s="2212"/>
      <c r="D2156" s="2096">
        <v>0</v>
      </c>
      <c r="E2156" s="2138" t="s">
        <v>5713</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ht="15" outlineLevel="1">
      <c r="A2157" s="2126" t="str">
        <f t="shared" si="420"/>
        <v/>
      </c>
      <c r="B2157" s="2196" t="s">
        <v>288</v>
      </c>
      <c r="C2157" s="2212"/>
      <c r="D2157" s="2096">
        <v>0</v>
      </c>
      <c r="E2157" s="2138" t="s">
        <v>5627</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ht="15"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ht="15"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ht="15"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ht="15"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ht="15" outlineLevel="1">
      <c r="A2162" s="2126" t="str">
        <f t="shared" si="420"/>
        <v/>
      </c>
      <c r="B2162" s="2205" t="s">
        <v>6152</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ht="15"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ht="15" outlineLevel="1">
      <c r="A2164" s="2126" t="str">
        <f t="shared" si="420"/>
        <v/>
      </c>
      <c r="B2164" s="2205" t="s">
        <v>6153</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ht="15" outlineLevel="1">
      <c r="A2165" s="2126" t="str">
        <f t="shared" si="420"/>
        <v/>
      </c>
      <c r="B2165" s="2205" t="s">
        <v>6154</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ht="15"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ht="15"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ht="15" outlineLevel="1">
      <c r="A2168" s="2126" t="str">
        <f t="shared" si="420"/>
        <v/>
      </c>
      <c r="B2168" s="2205" t="s">
        <v>6</v>
      </c>
      <c r="C2168" s="2212"/>
      <c r="D2168" s="2096">
        <v>0</v>
      </c>
      <c r="E2168" s="2138" t="s">
        <v>3552</v>
      </c>
      <c r="F2168" s="2096" t="s">
        <v>5720</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ht="15" outlineLevel="1">
      <c r="A2169" s="2126" t="str">
        <f t="shared" si="420"/>
        <v/>
      </c>
      <c r="B2169" s="2205" t="s">
        <v>669</v>
      </c>
      <c r="C2169" s="2212"/>
      <c r="D2169" s="2096">
        <v>0</v>
      </c>
      <c r="E2169" s="2138" t="s">
        <v>5715</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ht="15" outlineLevel="1">
      <c r="A2170" s="2126" t="str">
        <f t="shared" si="420"/>
        <v/>
      </c>
      <c r="B2170" s="2205" t="s">
        <v>1521</v>
      </c>
      <c r="C2170" s="2212"/>
      <c r="D2170" s="2096" t="s">
        <v>5487</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ht="15" outlineLevel="1">
      <c r="A2171" s="2126" t="str">
        <f>IF(G2171&lt;&gt;0,1,"")</f>
        <v/>
      </c>
      <c r="B2171" s="2205"/>
      <c r="C2171" s="2202">
        <f>IF(G2171&gt;0,C2153+1,C2153)</f>
        <v>0</v>
      </c>
      <c r="D2171" s="2203"/>
      <c r="E2171" s="2204" t="s">
        <v>6167</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5" outlineLevel="1">
      <c r="A2172" s="2126" t="str">
        <f>A2171</f>
        <v/>
      </c>
      <c r="B2172" s="2205"/>
      <c r="C2172" s="2202"/>
      <c r="D2172" s="2203"/>
      <c r="E2172" s="2218" t="s">
        <v>6037</v>
      </c>
      <c r="F2172" s="2202"/>
      <c r="G2172" s="2395"/>
      <c r="H2172" s="2208"/>
      <c r="I2172" s="2208"/>
      <c r="J2172" s="2208"/>
      <c r="K2172" s="2208"/>
      <c r="L2172" s="2208"/>
      <c r="M2172" s="2208"/>
      <c r="N2172" s="2208"/>
      <c r="O2172" s="2208"/>
      <c r="P2172" s="2385"/>
      <c r="Q2172" s="2210"/>
      <c r="R2172" s="2210"/>
      <c r="S2172" s="2210"/>
    </row>
    <row r="2173" spans="1:19" s="2049" customFormat="1" ht="15" outlineLevel="1">
      <c r="A2173" s="2126" t="str">
        <f t="shared" ref="A2173:A2184" si="425">IF(G2173&lt;&gt;0,1,"")</f>
        <v/>
      </c>
      <c r="B2173" s="2196" t="s">
        <v>694</v>
      </c>
      <c r="C2173" s="2212"/>
      <c r="D2173" s="2096">
        <v>0</v>
      </c>
      <c r="E2173" s="2138" t="s">
        <v>5005</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ht="15"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ht="15" outlineLevel="1">
      <c r="A2175" s="2126" t="str">
        <f t="shared" si="425"/>
        <v/>
      </c>
      <c r="B2175" s="2301" t="s">
        <v>1473</v>
      </c>
      <c r="C2175" s="2212"/>
      <c r="D2175" s="2096">
        <v>0</v>
      </c>
      <c r="E2175" s="2138" t="s">
        <v>6250</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ht="15" outlineLevel="1">
      <c r="A2176" s="2126" t="str">
        <f t="shared" si="425"/>
        <v/>
      </c>
      <c r="B2176" s="2301" t="s">
        <v>5614</v>
      </c>
      <c r="C2176" s="2212"/>
      <c r="D2176" s="2096">
        <v>0</v>
      </c>
      <c r="E2176" s="2138" t="s">
        <v>5615</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ht="15" outlineLevel="1">
      <c r="A2177" s="2126" t="str">
        <f t="shared" si="425"/>
        <v/>
      </c>
      <c r="B2177" s="2301" t="s">
        <v>5620</v>
      </c>
      <c r="C2177" s="2212"/>
      <c r="D2177" s="2096">
        <v>0</v>
      </c>
      <c r="E2177" s="2138" t="s">
        <v>5621</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ht="15" outlineLevel="1">
      <c r="A2178" s="2126" t="str">
        <f t="shared" si="425"/>
        <v/>
      </c>
      <c r="B2178" s="2301" t="s">
        <v>5622</v>
      </c>
      <c r="C2178" s="2212"/>
      <c r="D2178" s="2096">
        <v>0</v>
      </c>
      <c r="E2178" s="2138" t="s">
        <v>5623</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ht="15" outlineLevel="1">
      <c r="A2179" s="2126" t="str">
        <f t="shared" si="425"/>
        <v/>
      </c>
      <c r="B2179" s="2301" t="s">
        <v>6168</v>
      </c>
      <c r="C2179" s="2212"/>
      <c r="D2179" s="2096"/>
      <c r="E2179" s="2138" t="s">
        <v>5613</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ht="15"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ht="15"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ht="15" outlineLevel="1">
      <c r="A2182" s="2126" t="str">
        <f t="shared" si="425"/>
        <v/>
      </c>
      <c r="B2182" s="2196" t="s">
        <v>1561</v>
      </c>
      <c r="C2182" s="2212"/>
      <c r="D2182" s="2096" t="s">
        <v>5477</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ht="15" outlineLevel="1">
      <c r="A2183" s="2126" t="str">
        <f t="shared" si="425"/>
        <v/>
      </c>
      <c r="B2183" s="2196" t="s">
        <v>1521</v>
      </c>
      <c r="C2183" s="2212"/>
      <c r="D2183" s="2096" t="s">
        <v>5487</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ht="15"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5" outlineLevel="1">
      <c r="A2185" s="2126" t="str">
        <f>A2184</f>
        <v/>
      </c>
      <c r="B2185" s="2205"/>
      <c r="C2185" s="2202"/>
      <c r="D2185" s="2203"/>
      <c r="E2185" s="2218" t="s">
        <v>6037</v>
      </c>
      <c r="F2185" s="2202"/>
      <c r="G2185" s="2395"/>
      <c r="H2185" s="2208"/>
      <c r="I2185" s="2208"/>
      <c r="J2185" s="2208"/>
      <c r="K2185" s="2208"/>
      <c r="L2185" s="2208"/>
      <c r="M2185" s="2208"/>
      <c r="N2185" s="2208"/>
      <c r="O2185" s="2208"/>
      <c r="P2185" s="2209"/>
      <c r="Q2185" s="2210"/>
      <c r="R2185" s="2210"/>
      <c r="S2185" s="2210"/>
    </row>
    <row r="2186" spans="1:19" s="2049" customFormat="1" ht="15"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ht="15" outlineLevel="1">
      <c r="A2187" s="2126" t="str">
        <f>IF(G2187&lt;&gt;0,1,"")</f>
        <v/>
      </c>
      <c r="B2187" s="2205" t="s">
        <v>86</v>
      </c>
      <c r="C2187" s="2212"/>
      <c r="D2187" s="2096">
        <v>0</v>
      </c>
      <c r="E2187" s="2138" t="s">
        <v>5711</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ht="15"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ht="15"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ht="15" outlineLevel="1">
      <c r="A2190" s="2126" t="str">
        <f>IF(G2190&lt;&gt;0,1,"")</f>
        <v/>
      </c>
      <c r="B2190" s="2196"/>
      <c r="C2190" s="2202">
        <f>IF(G2190&gt;0,C2184+1,C2184)</f>
        <v>0</v>
      </c>
      <c r="D2190" s="2203"/>
      <c r="E2190" s="2204" t="s">
        <v>6169</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5" outlineLevel="1">
      <c r="A2191" s="2126" t="str">
        <f>A2190</f>
        <v/>
      </c>
      <c r="B2191" s="2196"/>
      <c r="C2191" s="2202"/>
      <c r="D2191" s="2203"/>
      <c r="E2191" s="2218" t="s">
        <v>6037</v>
      </c>
      <c r="F2191" s="2202"/>
      <c r="G2191" s="2394"/>
      <c r="H2191" s="2208"/>
      <c r="I2191" s="2208"/>
      <c r="J2191" s="2208"/>
      <c r="K2191" s="2208"/>
      <c r="L2191" s="2208"/>
      <c r="M2191" s="2208"/>
      <c r="N2191" s="2208"/>
      <c r="O2191" s="2208"/>
      <c r="P2191" s="2385"/>
      <c r="Q2191" s="2210"/>
      <c r="R2191" s="2210"/>
      <c r="S2191" s="2210"/>
    </row>
    <row r="2192" spans="1:19" s="2049" customFormat="1" ht="15"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ht="15"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ht="15" outlineLevel="1">
      <c r="A2194" s="2126" t="str">
        <f>IF(G2194&lt;&gt;0,1,"")</f>
        <v/>
      </c>
      <c r="B2194" s="2205" t="s">
        <v>1301</v>
      </c>
      <c r="C2194" s="2212"/>
      <c r="D2194" s="2096" t="s">
        <v>5642</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ht="15" outlineLevel="1">
      <c r="A2195" s="2126" t="str">
        <f>IF(G2195&lt;&gt;0,1,"")</f>
        <v/>
      </c>
      <c r="B2195" s="2205" t="s">
        <v>2151</v>
      </c>
      <c r="C2195" s="2212"/>
      <c r="D2195" s="2096" t="s">
        <v>5645</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ht="15"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ht="15"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ht="15"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ht="15" outlineLevel="1">
      <c r="A2199" s="2126" t="str">
        <f t="shared" si="430"/>
        <v/>
      </c>
      <c r="B2199" s="2205" t="s">
        <v>86</v>
      </c>
      <c r="C2199" s="2212"/>
      <c r="D2199" s="2096">
        <v>0</v>
      </c>
      <c r="E2199" s="2138" t="s">
        <v>5711</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ht="15" outlineLevel="1">
      <c r="A2200" s="2126" t="str">
        <f t="shared" si="430"/>
        <v/>
      </c>
      <c r="B2200" s="2205" t="s">
        <v>1985</v>
      </c>
      <c r="C2200" s="2212"/>
      <c r="D2200" s="2096">
        <v>0</v>
      </c>
      <c r="E2200" s="2138" t="s">
        <v>5175</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ht="15"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ht="15"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ht="15" outlineLevel="1">
      <c r="A2203" s="2126" t="str">
        <f t="shared" si="430"/>
        <v/>
      </c>
      <c r="B2203" s="2205" t="s">
        <v>5707</v>
      </c>
      <c r="C2203" s="2212"/>
      <c r="D2203" s="2096">
        <v>0</v>
      </c>
      <c r="E2203" s="2138" t="s">
        <v>5708</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ht="15"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ht="15" outlineLevel="1">
      <c r="A2205" s="2126" t="str">
        <f t="shared" si="430"/>
        <v/>
      </c>
      <c r="B2205" s="2205" t="s">
        <v>6</v>
      </c>
      <c r="C2205" s="2212"/>
      <c r="D2205" s="2096">
        <v>0</v>
      </c>
      <c r="E2205" s="2138" t="s">
        <v>3552</v>
      </c>
      <c r="F2205" s="2096" t="s">
        <v>5720</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ht="15" outlineLevel="1">
      <c r="A2206" s="2126" t="str">
        <f t="shared" si="430"/>
        <v/>
      </c>
      <c r="B2206" s="2205" t="s">
        <v>669</v>
      </c>
      <c r="C2206" s="2212"/>
      <c r="D2206" s="2096">
        <v>0</v>
      </c>
      <c r="E2206" s="2138" t="s">
        <v>5715</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ht="15" outlineLevel="1">
      <c r="A2207" s="2126" t="str">
        <f t="shared" si="430"/>
        <v/>
      </c>
      <c r="B2207" s="2205" t="s">
        <v>2001</v>
      </c>
      <c r="C2207" s="2212"/>
      <c r="D2207" s="2096" t="s">
        <v>5488</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ht="15" outlineLevel="1">
      <c r="A2208" s="2126" t="str">
        <f t="shared" si="430"/>
        <v/>
      </c>
      <c r="B2208" s="2205" t="s">
        <v>246</v>
      </c>
      <c r="C2208" s="2212"/>
      <c r="D2208" s="2096" t="s">
        <v>5489</v>
      </c>
      <c r="E2208" s="2138" t="s">
        <v>5490</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ht="15" outlineLevel="1">
      <c r="A2209" s="2126">
        <f>A2055</f>
        <v>0</v>
      </c>
      <c r="B2209" s="2301"/>
      <c r="C2209" s="2476" t="s">
        <v>6035</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ht="15"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ht="15"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ht="15"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ht="15"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ht="15"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ht="15"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ht="15"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ht="15"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ht="15"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ht="15"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ht="15"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ht="15"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ht="15"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ht="15"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ht="15"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ht="15"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ht="15"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ht="15"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ht="15"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ht="15"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ht="15"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ht="15"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ht="15"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ht="15"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ht="15"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ht="15"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ht="15"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ht="15"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ht="15" outlineLevel="1">
      <c r="A2240" s="2126">
        <f>A2257</f>
        <v>0</v>
      </c>
      <c r="B2240" s="2205" t="s">
        <v>6016</v>
      </c>
      <c r="C2240" s="2592" t="s">
        <v>1704</v>
      </c>
      <c r="D2240" s="2593" t="s">
        <v>2589</v>
      </c>
      <c r="E2240" s="2595" t="s">
        <v>2590</v>
      </c>
      <c r="F2240" s="2592" t="s">
        <v>2585</v>
      </c>
      <c r="G2240" s="2053" t="s">
        <v>6017</v>
      </c>
      <c r="H2240" s="2056" t="s">
        <v>6018</v>
      </c>
      <c r="I2240" s="2563"/>
      <c r="J2240" s="2563"/>
      <c r="K2240" s="2564"/>
      <c r="L2240" s="2056" t="s">
        <v>6019</v>
      </c>
      <c r="M2240" s="2563"/>
      <c r="N2240" s="2563"/>
      <c r="O2240" s="2564"/>
      <c r="P2240" s="2598" t="s">
        <v>2591</v>
      </c>
      <c r="Q2240" s="2210"/>
      <c r="R2240" s="2210"/>
      <c r="S2240" s="2210"/>
    </row>
    <row r="2241" spans="1:19" s="2049" customFormat="1" ht="15" outlineLevel="1">
      <c r="A2241" s="2126">
        <f>A2257</f>
        <v>0</v>
      </c>
      <c r="B2241" s="2205"/>
      <c r="C2241" s="2592"/>
      <c r="D2241" s="2594"/>
      <c r="E2241" s="2596"/>
      <c r="F2241" s="2592"/>
      <c r="G2241" s="2055" t="s">
        <v>2280</v>
      </c>
      <c r="H2241" s="2056" t="s">
        <v>6020</v>
      </c>
      <c r="I2241" s="2056" t="s">
        <v>6021</v>
      </c>
      <c r="J2241" s="2056" t="s">
        <v>6022</v>
      </c>
      <c r="K2241" s="2056" t="s">
        <v>6023</v>
      </c>
      <c r="L2241" s="2056" t="s">
        <v>6020</v>
      </c>
      <c r="M2241" s="2056" t="s">
        <v>6021</v>
      </c>
      <c r="N2241" s="2056" t="s">
        <v>6022</v>
      </c>
      <c r="O2241" s="2056" t="s">
        <v>6023</v>
      </c>
      <c r="P2241" s="2599"/>
      <c r="Q2241" s="2210"/>
      <c r="R2241" s="2210"/>
      <c r="S2241" s="2210"/>
    </row>
    <row r="2242" spans="1:19" s="2049" customFormat="1" ht="15"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ht="15" outlineLevel="1">
      <c r="A2243" s="2126" t="str">
        <f t="shared" ref="A2243:A2256" si="435">IF(G2243&lt;&gt;0,1,"")</f>
        <v/>
      </c>
      <c r="B2243" s="2196" t="str">
        <f>IF($F$8=15,"tr560","tr5601")</f>
        <v>tr5601</v>
      </c>
      <c r="C2243" s="2212">
        <f>IF(G2243&gt;0,1,0)</f>
        <v>0</v>
      </c>
      <c r="D2243" s="2096" t="s">
        <v>5507</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ht="15" outlineLevel="1">
      <c r="A2244" s="2126" t="str">
        <f t="shared" si="435"/>
        <v/>
      </c>
      <c r="B2244" s="2062" t="str">
        <f>"FCO100-"&amp;$F$8</f>
        <v>FCO100-22</v>
      </c>
      <c r="C2244" s="2212">
        <f t="shared" ref="C2244:C2252" si="440">IF(G2244&gt;0,C2243+1,C2243)</f>
        <v>0</v>
      </c>
      <c r="D2244" s="2096" t="s">
        <v>5513</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ht="15"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ht="15" outlineLevel="1">
      <c r="A2246" s="2126" t="str">
        <f t="shared" si="435"/>
        <v/>
      </c>
      <c r="B2246" s="2205" t="str">
        <f>"LA"&amp;$F$6</f>
        <v>LA18</v>
      </c>
      <c r="C2246" s="2212">
        <f t="shared" si="440"/>
        <v>0</v>
      </c>
      <c r="D2246" s="2096" t="s">
        <v>5517</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ht="15"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ht="15" outlineLevel="1">
      <c r="A2248" s="2126" t="str">
        <f>IF(G2248&lt;&gt;0,1,"")</f>
        <v/>
      </c>
      <c r="B2248" s="2301" t="s">
        <v>1458</v>
      </c>
      <c r="C2248" s="2212">
        <f>IF(G2248&gt;0,C2247+1,C2247)</f>
        <v>0</v>
      </c>
      <c r="D2248" s="2096" t="s">
        <v>5603</v>
      </c>
      <c r="E2248" s="2138" t="s">
        <v>5604</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ht="15"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ht="15"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ht="15" outlineLevel="1">
      <c r="A2251" s="2126" t="str">
        <f>IF(G2251&lt;&gt;0,1,"")</f>
        <v/>
      </c>
      <c r="B2251" s="2301" t="s">
        <v>932</v>
      </c>
      <c r="C2251" s="2212">
        <f t="shared" si="440"/>
        <v>0</v>
      </c>
      <c r="D2251" s="2096">
        <v>0</v>
      </c>
      <c r="E2251" s="2138" t="s">
        <v>5594</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ht="15" outlineLevel="1">
      <c r="A2252" s="2126" t="str">
        <f>IF(G2252&lt;&gt;0,1,"")</f>
        <v/>
      </c>
      <c r="B2252" s="2301" t="s">
        <v>1217</v>
      </c>
      <c r="C2252" s="2212">
        <f t="shared" si="440"/>
        <v>0</v>
      </c>
      <c r="D2252" s="2096">
        <v>0</v>
      </c>
      <c r="E2252" s="2138" t="s">
        <v>5591</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ht="15"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ht="15"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ht="15"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ht="15"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ht="15" outlineLevel="1">
      <c r="A2257" s="2126">
        <f>IF(SUM(L2257:O2257)&lt;&gt;0,1,)</f>
        <v>0</v>
      </c>
      <c r="B2257" s="2205"/>
      <c r="C2257" s="2337"/>
      <c r="D2257" s="2338"/>
      <c r="E2257" s="2339"/>
      <c r="F2257" s="2337"/>
      <c r="G2257" s="2389"/>
      <c r="H2257" s="2337"/>
      <c r="I2257" s="2337"/>
      <c r="J2257" s="2061" t="s">
        <v>6025</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ht="15"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ht="15" outlineLevel="1">
      <c r="A2259" s="2126" t="str">
        <f t="shared" ref="A2259:A2277" si="441">IF(G2259&lt;&gt;0,1,"")</f>
        <v/>
      </c>
      <c r="B2259" s="2345"/>
      <c r="C2259" s="2346">
        <f>IF(G2259&gt;0,1,0)</f>
        <v>0</v>
      </c>
      <c r="D2259" s="2096"/>
      <c r="E2259" s="2347" t="s">
        <v>6026</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ht="15"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ht="15"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ht="15"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ht="15" outlineLevel="1">
      <c r="A2263" s="2126" t="str">
        <f t="shared" si="441"/>
        <v/>
      </c>
      <c r="B2263" s="2345"/>
      <c r="C2263" s="2346">
        <f>IF(G2263&gt;0,1,0)</f>
        <v>0</v>
      </c>
      <c r="D2263" s="2096"/>
      <c r="E2263" s="2347" t="s">
        <v>6121</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ht="15"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ht="15"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ht="15"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ht="15"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ht="15" outlineLevel="1">
      <c r="A2268" s="2126" t="str">
        <f t="shared" si="441"/>
        <v/>
      </c>
      <c r="B2268" s="2301" t="s">
        <v>633</v>
      </c>
      <c r="C2268" s="2351"/>
      <c r="D2268" s="2096" t="s">
        <v>4965</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ht="15" outlineLevel="1">
      <c r="A2269" s="2126" t="str">
        <f t="shared" si="441"/>
        <v/>
      </c>
      <c r="B2269" s="2301" t="s">
        <v>564</v>
      </c>
      <c r="C2269" s="2351"/>
      <c r="D2269" s="2096"/>
      <c r="E2269" s="2352" t="s">
        <v>4990</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ht="15" outlineLevel="1">
      <c r="A2270" s="2126" t="str">
        <f t="shared" si="441"/>
        <v/>
      </c>
      <c r="B2270" s="2301" t="s">
        <v>636</v>
      </c>
      <c r="C2270" s="2351"/>
      <c r="D2270" s="2096" t="s">
        <v>1742</v>
      </c>
      <c r="E2270" s="2352" t="s">
        <v>5241</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ht="15" outlineLevel="1">
      <c r="A2271" s="2126" t="str">
        <f t="shared" si="441"/>
        <v/>
      </c>
      <c r="B2271" s="2301" t="s">
        <v>21</v>
      </c>
      <c r="C2271" s="2351"/>
      <c r="D2271" s="2096" t="s">
        <v>5242</v>
      </c>
      <c r="E2271" s="2352" t="s">
        <v>5243</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ht="15"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ht="15" outlineLevel="1">
      <c r="A2273" s="2126" t="str">
        <f t="shared" si="441"/>
        <v/>
      </c>
      <c r="B2273" s="2301" t="s">
        <v>633</v>
      </c>
      <c r="C2273" s="2351"/>
      <c r="D2273" s="2096" t="s">
        <v>4965</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ht="15" outlineLevel="1">
      <c r="A2274" s="2126" t="str">
        <f t="shared" si="441"/>
        <v/>
      </c>
      <c r="B2274" s="2301" t="s">
        <v>564</v>
      </c>
      <c r="C2274" s="2351"/>
      <c r="D2274" s="2096"/>
      <c r="E2274" s="2352" t="s">
        <v>4990</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ht="15" outlineLevel="1">
      <c r="A2275" s="2126" t="str">
        <f t="shared" si="441"/>
        <v/>
      </c>
      <c r="B2275" s="2301" t="s">
        <v>636</v>
      </c>
      <c r="C2275" s="2351"/>
      <c r="D2275" s="2096" t="s">
        <v>1742</v>
      </c>
      <c r="E2275" s="2352" t="s">
        <v>5241</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ht="15" outlineLevel="1">
      <c r="A2276" s="2126" t="str">
        <f t="shared" si="441"/>
        <v/>
      </c>
      <c r="B2276" s="2301" t="s">
        <v>21</v>
      </c>
      <c r="C2276" s="2351"/>
      <c r="D2276" s="2096" t="s">
        <v>5242</v>
      </c>
      <c r="E2276" s="2352" t="s">
        <v>5243</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ht="15"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5" outlineLevel="1">
      <c r="A2278" s="2126" t="str">
        <f>A2277</f>
        <v/>
      </c>
      <c r="B2278" s="2205"/>
      <c r="C2278" s="2202"/>
      <c r="D2278" s="2358"/>
      <c r="E2278" s="2211" t="s">
        <v>6037</v>
      </c>
      <c r="F2278" s="2212"/>
      <c r="G2278" s="2322"/>
      <c r="H2278" s="2359"/>
      <c r="I2278" s="2359"/>
      <c r="J2278" s="2359"/>
      <c r="K2278" s="2359"/>
      <c r="L2278" s="2359"/>
      <c r="M2278" s="2359"/>
      <c r="N2278" s="2359"/>
      <c r="O2278" s="2359"/>
      <c r="P2278" s="2393"/>
      <c r="Q2278" s="2210"/>
      <c r="R2278" s="2210"/>
      <c r="S2278" s="2210"/>
    </row>
    <row r="2279" spans="1:19" s="2049" customFormat="1" ht="15" outlineLevel="1">
      <c r="A2279" s="2126" t="str">
        <f t="shared" ref="A2279:A2284" si="442">IF(G2279&lt;&gt;0,1,"")</f>
        <v/>
      </c>
      <c r="B2279" s="2196" t="s">
        <v>1404</v>
      </c>
      <c r="C2279" s="2202"/>
      <c r="D2279" s="2096">
        <v>0</v>
      </c>
      <c r="E2279" s="2138" t="s">
        <v>6257</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ht="15" outlineLevel="1">
      <c r="A2280" s="2126" t="str">
        <f t="shared" si="442"/>
        <v/>
      </c>
      <c r="B2280" s="2196" t="s">
        <v>1133</v>
      </c>
      <c r="C2280" s="2202"/>
      <c r="D2280" s="2096">
        <v>0</v>
      </c>
      <c r="E2280" s="2138" t="s">
        <v>6243</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ht="15" outlineLevel="1">
      <c r="A2281" s="2126" t="str">
        <f t="shared" si="442"/>
        <v/>
      </c>
      <c r="B2281" s="2196" t="s">
        <v>1134</v>
      </c>
      <c r="C2281" s="2202"/>
      <c r="D2281" s="2096">
        <v>0</v>
      </c>
      <c r="E2281" s="2138" t="s">
        <v>6244</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ht="15"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ht="15"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ht="15"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ht="15" outlineLevel="1">
      <c r="A2285" s="2126" t="str">
        <f>IF(G2285&lt;&gt;0,1,"")</f>
        <v/>
      </c>
      <c r="B2285" s="2065" t="s">
        <v>5342</v>
      </c>
      <c r="C2285" s="2202"/>
      <c r="D2285" s="2096" t="s">
        <v>5343</v>
      </c>
      <c r="E2285" s="2138" t="s">
        <v>5344</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ht="15" outlineLevel="1">
      <c r="A2286" s="2126" t="str">
        <f>IF(G2286&lt;&gt;0,1,"")</f>
        <v/>
      </c>
      <c r="B2286" s="2196" t="s">
        <v>6122</v>
      </c>
      <c r="C2286" s="2202"/>
      <c r="D2286" s="2096" t="s">
        <v>5295</v>
      </c>
      <c r="E2286" s="2138" t="s">
        <v>5296</v>
      </c>
      <c r="F2286" s="2096" t="s">
        <v>2433</v>
      </c>
      <c r="G2286" s="2213"/>
      <c r="H2286" s="2303">
        <v>0</v>
      </c>
      <c r="I2286" s="2360"/>
      <c r="J2286" s="2303" t="s">
        <v>6248</v>
      </c>
      <c r="K2286" s="2303">
        <v>0</v>
      </c>
      <c r="L2286" s="2304">
        <f>H2286*G2286</f>
        <v>0</v>
      </c>
      <c r="M2286" s="2304">
        <f t="shared" si="444"/>
        <v>0</v>
      </c>
      <c r="N2286" s="2303">
        <v>0</v>
      </c>
      <c r="O2286" s="2304">
        <f t="shared" si="445"/>
        <v>0</v>
      </c>
      <c r="P2286" s="2209"/>
      <c r="Q2286" s="2210"/>
      <c r="R2286" s="2210"/>
      <c r="S2286" s="2210"/>
    </row>
    <row r="2287" spans="1:19" s="2049" customFormat="1" ht="15" outlineLevel="1">
      <c r="A2287" s="2126" t="str">
        <f>IF(G2287&lt;&gt;0,1,"")</f>
        <v/>
      </c>
      <c r="B2287" s="2205"/>
      <c r="C2287" s="2202">
        <f>IF(G2287&gt;0,C2277+1,C2273)</f>
        <v>0</v>
      </c>
      <c r="D2287" s="2203"/>
      <c r="E2287" s="2361" t="s">
        <v>6123</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5" outlineLevel="1">
      <c r="A2288" s="2126" t="str">
        <f>A2287</f>
        <v/>
      </c>
      <c r="B2288" s="2205"/>
      <c r="C2288" s="2202"/>
      <c r="D2288" s="2203"/>
      <c r="E2288" s="2211" t="s">
        <v>6037</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ht="15" outlineLevel="1">
      <c r="A2289" s="2126" t="str">
        <f>IF(G2289&lt;&gt;0,1,"")</f>
        <v/>
      </c>
      <c r="B2289" s="2077" t="s">
        <v>5073</v>
      </c>
      <c r="C2289" s="2202"/>
      <c r="D2289" s="2096">
        <v>0</v>
      </c>
      <c r="E2289" s="2138" t="s">
        <v>5074</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ht="15" outlineLevel="1">
      <c r="A2290" s="2126" t="str">
        <f>IF(G2290&lt;&gt;0,1,"")</f>
        <v/>
      </c>
      <c r="B2290" s="2074" t="s">
        <v>486</v>
      </c>
      <c r="C2290" s="2202"/>
      <c r="D2290" s="2096">
        <v>0</v>
      </c>
      <c r="E2290" s="2138" t="s">
        <v>4996</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ht="15"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ht="15" outlineLevel="1">
      <c r="A2292" s="2126" t="str">
        <f>IF(G2292&lt;&gt;0,1,"")</f>
        <v/>
      </c>
      <c r="B2292" s="2196" t="s">
        <v>6170</v>
      </c>
      <c r="C2292" s="2202"/>
      <c r="D2292" s="2096" t="s">
        <v>5066</v>
      </c>
      <c r="E2292" s="2138" t="s">
        <v>5294</v>
      </c>
      <c r="F2292" s="2096" t="s">
        <v>2433</v>
      </c>
      <c r="G2292" s="2302">
        <f>+G2287</f>
        <v>0</v>
      </c>
      <c r="H2292" s="2208">
        <v>0</v>
      </c>
      <c r="I2292" s="2303"/>
      <c r="J2292" s="2303" t="s">
        <v>6258</v>
      </c>
      <c r="K2292" s="2303"/>
      <c r="L2292" s="2304">
        <f t="shared" si="443"/>
        <v>0</v>
      </c>
      <c r="M2292" s="2304"/>
      <c r="N2292" s="2303">
        <v>0</v>
      </c>
      <c r="O2292" s="2304"/>
      <c r="P2292" s="2393"/>
      <c r="Q2292" s="2210"/>
      <c r="R2292" s="2210"/>
      <c r="S2292" s="2210"/>
    </row>
    <row r="2293" spans="1:19" s="2049" customFormat="1" ht="15"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5" outlineLevel="1">
      <c r="A2294" s="2126" t="str">
        <f>A2293</f>
        <v/>
      </c>
      <c r="B2294" s="2205"/>
      <c r="C2294" s="2202"/>
      <c r="D2294" s="2203"/>
      <c r="E2294" s="2211" t="s">
        <v>6037</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ht="15"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ht="15"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ht="15" outlineLevel="1">
      <c r="A2297" s="2126" t="str">
        <f>IF(G2297&lt;&gt;0,1,"")</f>
        <v/>
      </c>
      <c r="B2297" s="2065" t="s">
        <v>5342</v>
      </c>
      <c r="C2297" s="2202"/>
      <c r="D2297" s="2096" t="s">
        <v>5343</v>
      </c>
      <c r="E2297" s="2138" t="s">
        <v>5344</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ht="15" outlineLevel="1">
      <c r="A2298" s="2126" t="str">
        <f>IF(G2298&lt;&gt;0,1,"")</f>
        <v/>
      </c>
      <c r="B2298" s="2205"/>
      <c r="C2298" s="2202">
        <f>IF(G2298&gt;0,C2293+1,C2293)</f>
        <v>0</v>
      </c>
      <c r="D2298" s="2203"/>
      <c r="E2298" s="2361" t="s">
        <v>6125</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5" outlineLevel="1">
      <c r="A2299" s="2126" t="str">
        <f>A2298</f>
        <v/>
      </c>
      <c r="B2299" s="2205"/>
      <c r="C2299" s="2202"/>
      <c r="D2299" s="2203"/>
      <c r="E2299" s="2211" t="s">
        <v>6037</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ht="15"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ht="15"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ht="15"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ht="15" outlineLevel="1">
      <c r="A2303" s="2126" t="str">
        <f>IF(G2303&lt;&gt;0,1,"")</f>
        <v/>
      </c>
      <c r="B2303" s="2065" t="s">
        <v>5342</v>
      </c>
      <c r="C2303" s="2202"/>
      <c r="D2303" s="2096" t="s">
        <v>5343</v>
      </c>
      <c r="E2303" s="2138" t="s">
        <v>5344</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ht="15"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5" outlineLevel="1">
      <c r="A2305" s="2126" t="str">
        <f>+A2304</f>
        <v/>
      </c>
      <c r="B2305" s="2362"/>
      <c r="C2305" s="2202"/>
      <c r="D2305" s="2203"/>
      <c r="E2305" s="2211" t="s">
        <v>6037</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ht="15"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ht="15" outlineLevel="1">
      <c r="A2307" s="2126" t="str">
        <f t="shared" si="446"/>
        <v/>
      </c>
      <c r="B2307" s="2205" t="s">
        <v>1504</v>
      </c>
      <c r="C2307" s="2202"/>
      <c r="D2307" s="2096">
        <v>0</v>
      </c>
      <c r="E2307" s="2138" t="s">
        <v>5081</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ht="15"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ht="15"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ht="15" outlineLevel="1">
      <c r="A2310" s="2126" t="str">
        <f>IF(G2310&lt;&gt;0,1,"")</f>
        <v/>
      </c>
      <c r="B2310" s="2205" t="s">
        <v>6112</v>
      </c>
      <c r="C2310" s="2202"/>
      <c r="D2310" s="2096" t="s">
        <v>5639</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ht="15"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ht="15" outlineLevel="1">
      <c r="A2312" s="2126" t="str">
        <f t="shared" si="446"/>
        <v/>
      </c>
      <c r="B2312" s="2205" t="s">
        <v>523</v>
      </c>
      <c r="C2312" s="2202"/>
      <c r="D2312" s="2096">
        <v>0</v>
      </c>
      <c r="E2312" s="2138" t="s">
        <v>5170</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ht="15" outlineLevel="1">
      <c r="A2313" s="2126" t="str">
        <f t="shared" si="446"/>
        <v/>
      </c>
      <c r="B2313" s="2205" t="s">
        <v>1581</v>
      </c>
      <c r="C2313" s="2202"/>
      <c r="D2313" s="2096">
        <v>0</v>
      </c>
      <c r="E2313" s="2138" t="s">
        <v>5628</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ht="15" outlineLevel="1">
      <c r="A2314" s="2126" t="str">
        <f t="shared" si="446"/>
        <v/>
      </c>
      <c r="B2314" s="2205" t="s">
        <v>5082</v>
      </c>
      <c r="C2314" s="2202"/>
      <c r="D2314" s="2096">
        <v>0</v>
      </c>
      <c r="E2314" s="2138" t="s">
        <v>5083</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ht="15" outlineLevel="1">
      <c r="A2315" s="2126" t="str">
        <f t="shared" si="446"/>
        <v/>
      </c>
      <c r="B2315" s="2205" t="s">
        <v>5086</v>
      </c>
      <c r="C2315" s="2202"/>
      <c r="D2315" s="2096" t="s">
        <v>5087</v>
      </c>
      <c r="E2315" s="2138" t="s">
        <v>5088</v>
      </c>
      <c r="F2315" s="2096" t="s">
        <v>5089</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ht="15"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ht="15" outlineLevel="1">
      <c r="A2317" s="2126" t="str">
        <f t="shared" si="446"/>
        <v/>
      </c>
      <c r="B2317" s="2196" t="s">
        <v>5093</v>
      </c>
      <c r="C2317" s="2202"/>
      <c r="D2317" s="2096">
        <v>0</v>
      </c>
      <c r="E2317" s="2138" t="s">
        <v>5094</v>
      </c>
      <c r="F2317" s="2096" t="s">
        <v>5092</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ht="15"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ht="15" outlineLevel="1">
      <c r="A2319" s="2126" t="str">
        <f t="shared" si="446"/>
        <v/>
      </c>
      <c r="B2319" s="2205" t="s">
        <v>5097</v>
      </c>
      <c r="C2319" s="2363"/>
      <c r="D2319" s="2096">
        <v>0</v>
      </c>
      <c r="E2319" s="2138" t="s">
        <v>5098</v>
      </c>
      <c r="F2319" s="2096" t="s">
        <v>5092</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ht="15" outlineLevel="1">
      <c r="A2320" s="2126" t="str">
        <f>IF(G2320&lt;&gt;0,1,"")</f>
        <v/>
      </c>
      <c r="B2320" s="2205" t="s">
        <v>6138</v>
      </c>
      <c r="C2320" s="2363"/>
      <c r="D2320" s="2096">
        <v>0</v>
      </c>
      <c r="E2320" s="2138" t="s">
        <v>4969</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ht="15" outlineLevel="1">
      <c r="A2321" s="2126" t="str">
        <f t="shared" si="446"/>
        <v/>
      </c>
      <c r="B2321" s="2196" t="s">
        <v>5099</v>
      </c>
      <c r="C2321" s="2202"/>
      <c r="D2321" s="2096">
        <v>0</v>
      </c>
      <c r="E2321" s="2138" t="s">
        <v>5100</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ht="15" outlineLevel="1">
      <c r="A2322" s="2126" t="str">
        <f t="shared" si="446"/>
        <v/>
      </c>
      <c r="B2322" s="2196" t="s">
        <v>5101</v>
      </c>
      <c r="C2322" s="2202"/>
      <c r="D2322" s="2096">
        <v>0</v>
      </c>
      <c r="E2322" s="2138" t="s">
        <v>5102</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ht="15" outlineLevel="1">
      <c r="A2323" s="2126">
        <f>IF(G2323=0,0,1)</f>
        <v>0</v>
      </c>
      <c r="B2323" s="2196" t="s">
        <v>791</v>
      </c>
      <c r="C2323" s="2212"/>
      <c r="D2323" s="2096" t="s">
        <v>5253</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ht="15" outlineLevel="1">
      <c r="A2324" s="2126">
        <f>IF(G2324=0,0,1)</f>
        <v>0</v>
      </c>
      <c r="B2324" s="2196" t="s">
        <v>795</v>
      </c>
      <c r="C2324" s="2212"/>
      <c r="D2324" s="2096" t="s">
        <v>5242</v>
      </c>
      <c r="E2324" s="2138" t="s">
        <v>5254</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ht="15" outlineLevel="1">
      <c r="A2325" s="2126">
        <f>IF(G2325=0,0,1)</f>
        <v>0</v>
      </c>
      <c r="B2325" s="2196" t="s">
        <v>899</v>
      </c>
      <c r="C2325" s="2212"/>
      <c r="D2325" s="2096" t="s">
        <v>5268</v>
      </c>
      <c r="E2325" s="2138" t="s">
        <v>5269</v>
      </c>
      <c r="F2325" s="2096" t="s">
        <v>2379</v>
      </c>
      <c r="G2325" s="2492">
        <f>G2307</f>
        <v>0</v>
      </c>
      <c r="H2325" s="2208">
        <v>0</v>
      </c>
      <c r="I2325" s="2208"/>
      <c r="J2325" s="2208" t="s">
        <v>6216</v>
      </c>
      <c r="K2325" s="2208">
        <v>0</v>
      </c>
      <c r="L2325" s="2208">
        <f>H2325*$G2325</f>
        <v>0</v>
      </c>
      <c r="M2325" s="2208">
        <f>I2325*$G2325</f>
        <v>0</v>
      </c>
      <c r="N2325" s="2208">
        <v>0</v>
      </c>
      <c r="O2325" s="2208">
        <f>K2325*$G2325</f>
        <v>0</v>
      </c>
      <c r="P2325" s="2385"/>
      <c r="Q2325" s="2210"/>
      <c r="R2325" s="2210"/>
      <c r="S2325" s="2210"/>
    </row>
    <row r="2326" spans="1:20" s="2049" customFormat="1" ht="15" outlineLevel="1">
      <c r="A2326" s="2126" t="str">
        <f>IF(G2326&lt;&gt;0,1,"")</f>
        <v/>
      </c>
      <c r="B2326" s="2196" t="s">
        <v>1433</v>
      </c>
      <c r="C2326" s="2202"/>
      <c r="D2326" s="2096" t="s">
        <v>5263</v>
      </c>
      <c r="E2326" s="2138" t="s">
        <v>5264</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ht="28.5" outlineLevel="1">
      <c r="A2327" s="2126" t="str">
        <f>IF(G2327&lt;&gt;0,1,"")</f>
        <v/>
      </c>
      <c r="B2327" s="2205"/>
      <c r="C2327" s="2202">
        <f>IF(G2327&gt;0,C2304+1,C2304)</f>
        <v>0</v>
      </c>
      <c r="D2327" s="2203"/>
      <c r="E2327" s="2206" t="s">
        <v>6171</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5" outlineLevel="1">
      <c r="A2328" s="2126" t="str">
        <f>A2327</f>
        <v/>
      </c>
      <c r="B2328" s="2205"/>
      <c r="C2328" s="2202"/>
      <c r="D2328" s="2203"/>
      <c r="E2328" s="2211" t="s">
        <v>6037</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ht="15" outlineLevel="1">
      <c r="A2329" s="2126" t="str">
        <f>IF(G2329&lt;&gt;0,1,"")</f>
        <v/>
      </c>
      <c r="B2329" s="2205" t="s">
        <v>650</v>
      </c>
      <c r="C2329" s="2212"/>
      <c r="D2329" s="2096">
        <v>0</v>
      </c>
      <c r="E2329" s="2138" t="s">
        <v>5207</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ht="15"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ht="15"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ht="15" outlineLevel="1">
      <c r="A2332" s="2126" t="str">
        <f>IF(G2332&lt;&gt;0,1,"")</f>
        <v/>
      </c>
      <c r="B2332" s="2205" t="s">
        <v>651</v>
      </c>
      <c r="C2332" s="2212"/>
      <c r="D2332" s="2096" t="s">
        <v>5388</v>
      </c>
      <c r="E2332" s="2138" t="s">
        <v>5391</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ht="15" outlineLevel="1">
      <c r="A2333" s="2126" t="str">
        <f>IF(G2333&lt;&gt;0,1,"")</f>
        <v/>
      </c>
      <c r="B2333" s="2205"/>
      <c r="C2333" s="2202">
        <f>IF(G2333&gt;0,C2327+1,C2327)</f>
        <v>0</v>
      </c>
      <c r="D2333" s="2203"/>
      <c r="E2333" s="2320" t="s">
        <v>6113</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5" outlineLevel="1">
      <c r="A2334" s="2126" t="str">
        <f>A2333</f>
        <v/>
      </c>
      <c r="B2334" s="2205"/>
      <c r="C2334" s="2202"/>
      <c r="D2334" s="2203"/>
      <c r="E2334" s="2211" t="s">
        <v>6037</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ht="15" outlineLevel="1">
      <c r="A2335" s="2126" t="str">
        <f>IF(G2335&lt;&gt;0,1,"")</f>
        <v/>
      </c>
      <c r="B2335" s="2065" t="s">
        <v>5558</v>
      </c>
      <c r="C2335" s="2212"/>
      <c r="D2335" s="2096" t="s">
        <v>5548</v>
      </c>
      <c r="E2335" s="2138" t="s">
        <v>5559</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ht="15" outlineLevel="1">
      <c r="A2336" s="2126" t="str">
        <f>IF(G2336&lt;&gt;0,1,"")</f>
        <v/>
      </c>
      <c r="B2336" s="2205" t="s">
        <v>877</v>
      </c>
      <c r="C2336" s="2202"/>
      <c r="D2336" s="2096">
        <v>0</v>
      </c>
      <c r="E2336" s="2138" t="s">
        <v>5713</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ht="15" outlineLevel="1">
      <c r="A2337" s="2126" t="str">
        <f>IF(G2337&lt;&gt;0,1,"")</f>
        <v/>
      </c>
      <c r="B2337" s="2205" t="s">
        <v>288</v>
      </c>
      <c r="C2337" s="2212"/>
      <c r="D2337" s="2096">
        <v>0</v>
      </c>
      <c r="E2337" s="2138" t="s">
        <v>5627</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ht="15"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ht="15" outlineLevel="1">
      <c r="A2339" s="2126" t="str">
        <f t="shared" si="456"/>
        <v/>
      </c>
      <c r="B2339" s="2205"/>
      <c r="C2339" s="2202"/>
      <c r="D2339" s="2203"/>
      <c r="E2339" s="2320" t="s">
        <v>6114</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5" outlineLevel="1">
      <c r="A2340" s="2126" t="str">
        <f>A2339</f>
        <v/>
      </c>
      <c r="B2340" s="2493"/>
      <c r="C2340" s="2436"/>
      <c r="D2340" s="2437"/>
      <c r="E2340" s="2438" t="s">
        <v>6037</v>
      </c>
      <c r="F2340" s="2437"/>
      <c r="G2340" s="2494"/>
      <c r="H2340" s="2208"/>
      <c r="I2340" s="2208"/>
      <c r="J2340" s="2208"/>
      <c r="K2340" s="2208"/>
      <c r="L2340" s="2208"/>
      <c r="M2340" s="2208"/>
      <c r="N2340" s="2208"/>
      <c r="O2340" s="2208"/>
      <c r="P2340" s="2385"/>
      <c r="Q2340" s="2210"/>
      <c r="R2340" s="2210"/>
      <c r="S2340" s="2210"/>
    </row>
    <row r="2341" spans="1:19" s="2049" customFormat="1" ht="15" outlineLevel="1">
      <c r="A2341" s="2126" t="str">
        <f t="shared" si="456"/>
        <v/>
      </c>
      <c r="B2341" s="2205" t="s">
        <v>6151</v>
      </c>
      <c r="C2341" s="2212"/>
      <c r="D2341" s="2096" t="s">
        <v>5570</v>
      </c>
      <c r="E2341" s="2138" t="s">
        <v>5574</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ht="15" outlineLevel="1">
      <c r="A2342" s="2126" t="str">
        <f t="shared" si="456"/>
        <v/>
      </c>
      <c r="B2342" s="2205" t="s">
        <v>877</v>
      </c>
      <c r="C2342" s="2212"/>
      <c r="D2342" s="2096">
        <v>0</v>
      </c>
      <c r="E2342" s="2138" t="s">
        <v>5713</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ht="15" outlineLevel="1">
      <c r="A2343" s="2126" t="str">
        <f t="shared" si="456"/>
        <v/>
      </c>
      <c r="B2343" s="2205" t="s">
        <v>288</v>
      </c>
      <c r="C2343" s="2212"/>
      <c r="D2343" s="2096">
        <v>0</v>
      </c>
      <c r="E2343" s="2138" t="s">
        <v>5627</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ht="15"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ht="15" outlineLevel="1">
      <c r="A2345" s="2126" t="str">
        <f>IF(G2345&lt;&gt;0,1,"")</f>
        <v/>
      </c>
      <c r="B2345" s="2205"/>
      <c r="C2345" s="2202">
        <f>IF(G2345&gt;0,C2333+1,C2333)</f>
        <v>0</v>
      </c>
      <c r="D2345" s="2203"/>
      <c r="E2345" s="2204" t="s">
        <v>6167</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5" outlineLevel="1">
      <c r="A2346" s="2126" t="str">
        <f>A2345</f>
        <v/>
      </c>
      <c r="B2346" s="2205"/>
      <c r="C2346" s="2202"/>
      <c r="D2346" s="2203"/>
      <c r="E2346" s="2218" t="s">
        <v>6037</v>
      </c>
      <c r="F2346" s="2202"/>
      <c r="G2346" s="2321"/>
      <c r="H2346" s="2208"/>
      <c r="I2346" s="2208"/>
      <c r="J2346" s="2208"/>
      <c r="K2346" s="2208"/>
      <c r="L2346" s="2208"/>
      <c r="M2346" s="2208"/>
      <c r="N2346" s="2208"/>
      <c r="O2346" s="2208"/>
      <c r="P2346" s="2385"/>
      <c r="Q2346" s="2210"/>
      <c r="R2346" s="2210"/>
      <c r="S2346" s="2210"/>
    </row>
    <row r="2347" spans="1:19" s="2049" customFormat="1" ht="15" outlineLevel="1">
      <c r="A2347" s="2126" t="str">
        <f>IF(G2347&lt;&gt;0,1,"")</f>
        <v/>
      </c>
      <c r="B2347" s="2196" t="s">
        <v>694</v>
      </c>
      <c r="C2347" s="2212"/>
      <c r="D2347" s="2096">
        <v>0</v>
      </c>
      <c r="E2347" s="2138" t="s">
        <v>5005</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ht="15" outlineLevel="1">
      <c r="A2348" s="2126" t="str">
        <f>IF(G2348&lt;&gt;0,1,"")</f>
        <v/>
      </c>
      <c r="B2348" s="2301" t="s">
        <v>5614</v>
      </c>
      <c r="C2348" s="2212"/>
      <c r="D2348" s="2096">
        <v>0</v>
      </c>
      <c r="E2348" s="2138" t="s">
        <v>5615</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ht="15" outlineLevel="1">
      <c r="A2349" s="2126" t="str">
        <f>IF(G2349&lt;&gt;0,1,"")</f>
        <v/>
      </c>
      <c r="B2349" s="2301" t="s">
        <v>5620</v>
      </c>
      <c r="C2349" s="2212"/>
      <c r="D2349" s="2096">
        <v>0</v>
      </c>
      <c r="E2349" s="2138" t="s">
        <v>5621</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ht="15" outlineLevel="1">
      <c r="A2350" s="2126" t="str">
        <f>IF(G2350&lt;&gt;0,1,"")</f>
        <v/>
      </c>
      <c r="B2350" s="2301" t="s">
        <v>5622</v>
      </c>
      <c r="C2350" s="2212"/>
      <c r="D2350" s="2096">
        <v>0</v>
      </c>
      <c r="E2350" s="2138" t="s">
        <v>5623</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ht="15" outlineLevel="1">
      <c r="A2351" s="2126" t="str">
        <f>IF(G2351&lt;&gt;0,1,"")</f>
        <v/>
      </c>
      <c r="B2351" s="2301" t="s">
        <v>6168</v>
      </c>
      <c r="C2351" s="2212"/>
      <c r="D2351" s="2096"/>
      <c r="E2351" s="2138" t="s">
        <v>5613</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ht="15"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ht="15" outlineLevel="1">
      <c r="A2353" s="2126" t="str">
        <f t="shared" si="464"/>
        <v/>
      </c>
      <c r="B2353" s="2301" t="s">
        <v>1473</v>
      </c>
      <c r="C2353" s="2212"/>
      <c r="D2353" s="2096">
        <v>0</v>
      </c>
      <c r="E2353" s="2138" t="s">
        <v>6250</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ht="15"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ht="15"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ht="15" outlineLevel="1">
      <c r="A2356" s="2126" t="str">
        <f t="shared" si="464"/>
        <v/>
      </c>
      <c r="B2356" s="2196" t="s">
        <v>1561</v>
      </c>
      <c r="C2356" s="2212"/>
      <c r="D2356" s="2096" t="s">
        <v>5477</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ht="15" outlineLevel="1">
      <c r="A2357" s="2126" t="str">
        <f t="shared" si="464"/>
        <v/>
      </c>
      <c r="B2357" s="2196" t="s">
        <v>1521</v>
      </c>
      <c r="C2357" s="2212"/>
      <c r="D2357" s="2096" t="s">
        <v>5487</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ht="15"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5" outlineLevel="1">
      <c r="A2359" s="2126" t="str">
        <f>A2358</f>
        <v/>
      </c>
      <c r="B2359" s="2205"/>
      <c r="C2359" s="2202"/>
      <c r="D2359" s="2203"/>
      <c r="E2359" s="2218" t="s">
        <v>6037</v>
      </c>
      <c r="F2359" s="2202"/>
      <c r="G2359" s="2207"/>
      <c r="H2359" s="2208"/>
      <c r="I2359" s="2208"/>
      <c r="J2359" s="2208"/>
      <c r="K2359" s="2208"/>
      <c r="L2359" s="2208"/>
      <c r="M2359" s="2208"/>
      <c r="N2359" s="2208"/>
      <c r="O2359" s="2208"/>
      <c r="P2359" s="2209"/>
      <c r="Q2359" s="2210"/>
      <c r="R2359" s="2210"/>
      <c r="S2359" s="2210"/>
    </row>
    <row r="2360" spans="1:19" s="2049" customFormat="1" ht="15"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ht="15" outlineLevel="1">
      <c r="A2361" s="2126" t="str">
        <f>IF(G2361&lt;&gt;0,1,"")</f>
        <v/>
      </c>
      <c r="B2361" s="2205" t="s">
        <v>86</v>
      </c>
      <c r="C2361" s="2212"/>
      <c r="D2361" s="2096">
        <v>0</v>
      </c>
      <c r="E2361" s="2138" t="s">
        <v>5711</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ht="15"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ht="15"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ht="15" outlineLevel="1">
      <c r="A2364" s="2126" t="str">
        <f>IF(G2364&lt;&gt;0,1,"")</f>
        <v/>
      </c>
      <c r="B2364" s="2196"/>
      <c r="C2364" s="2202">
        <f>IF(G2364&gt;0,C2358+1,C2358)</f>
        <v>0</v>
      </c>
      <c r="D2364" s="2203"/>
      <c r="E2364" s="2204" t="s">
        <v>6169</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5" outlineLevel="1">
      <c r="A2365" s="2126" t="str">
        <f>A2364</f>
        <v/>
      </c>
      <c r="B2365" s="2196"/>
      <c r="C2365" s="2202"/>
      <c r="D2365" s="2203"/>
      <c r="E2365" s="2218" t="s">
        <v>6037</v>
      </c>
      <c r="F2365" s="2202"/>
      <c r="G2365" s="2322"/>
      <c r="H2365" s="2208"/>
      <c r="I2365" s="2208"/>
      <c r="J2365" s="2208"/>
      <c r="K2365" s="2208"/>
      <c r="L2365" s="2208"/>
      <c r="M2365" s="2208"/>
      <c r="N2365" s="2208"/>
      <c r="O2365" s="2208"/>
      <c r="P2365" s="2385"/>
      <c r="Q2365" s="2210"/>
      <c r="R2365" s="2210"/>
      <c r="S2365" s="2210"/>
    </row>
    <row r="2366" spans="1:19" s="2049" customFormat="1" ht="15" outlineLevel="1">
      <c r="A2366" s="2126" t="str">
        <f>IF(G2366&lt;&gt;0,1,"")</f>
        <v/>
      </c>
      <c r="B2366" s="2205" t="s">
        <v>6062</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ht="15"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ht="15" outlineLevel="1">
      <c r="A2368" s="2126" t="str">
        <f>IF(G2368&lt;&gt;0,1,"")</f>
        <v/>
      </c>
      <c r="B2368" s="2205" t="s">
        <v>0</v>
      </c>
      <c r="C2368" s="2212"/>
      <c r="D2368" s="2096" t="s">
        <v>5643</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ht="15" outlineLevel="1">
      <c r="A2369" s="2126" t="str">
        <f>IF(G2369&lt;&gt;0,1,"")</f>
        <v/>
      </c>
      <c r="B2369" s="2205" t="s">
        <v>6172</v>
      </c>
      <c r="C2369" s="2212"/>
      <c r="D2369" s="2096" t="s">
        <v>5646</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ht="15"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ht="15"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ht="15"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ht="15" outlineLevel="1">
      <c r="A2373" s="2126">
        <f>IF(G2373=0,0,1)</f>
        <v>0</v>
      </c>
      <c r="B2373" s="2205" t="s">
        <v>6173</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ht="15"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ht="15" outlineLevel="1">
      <c r="A2375" s="2126" t="str">
        <f t="shared" si="467"/>
        <v/>
      </c>
      <c r="B2375" s="2205" t="s">
        <v>4530</v>
      </c>
      <c r="C2375" s="2212"/>
      <c r="D2375" s="2096">
        <v>0</v>
      </c>
      <c r="E2375" s="2138" t="s">
        <v>5712</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ht="15"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ht="15" outlineLevel="1">
      <c r="A2377" s="2126" t="str">
        <f t="shared" si="467"/>
        <v/>
      </c>
      <c r="B2377" s="2196" t="s">
        <v>6174</v>
      </c>
      <c r="C2377" s="2212"/>
      <c r="D2377" s="2096">
        <v>0</v>
      </c>
      <c r="E2377" s="2138" t="s">
        <v>5176</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ht="15"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ht="15"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ht="15" outlineLevel="1">
      <c r="A2380" s="2126" t="str">
        <f>IF(G2380&lt;&gt;0,1,"")</f>
        <v/>
      </c>
      <c r="B2380" s="2065" t="s">
        <v>1735</v>
      </c>
      <c r="C2380" s="2212"/>
      <c r="D2380" s="2096">
        <v>0</v>
      </c>
      <c r="E2380" s="2138" t="s">
        <v>5709</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ht="15"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ht="15" outlineLevel="1">
      <c r="A2382" s="2126" t="str">
        <f t="shared" si="467"/>
        <v/>
      </c>
      <c r="B2382" s="2196" t="s">
        <v>6</v>
      </c>
      <c r="C2382" s="2212"/>
      <c r="D2382" s="2096"/>
      <c r="E2382" s="2138" t="s">
        <v>3552</v>
      </c>
      <c r="F2382" s="2096" t="s">
        <v>5720</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ht="15" outlineLevel="1">
      <c r="A2383" s="2126" t="str">
        <f t="shared" si="467"/>
        <v/>
      </c>
      <c r="B2383" s="2196" t="s">
        <v>669</v>
      </c>
      <c r="C2383" s="2212"/>
      <c r="D2383" s="2096">
        <v>0</v>
      </c>
      <c r="E2383" s="2138" t="s">
        <v>5715</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ht="15" outlineLevel="1">
      <c r="A2384" s="2126" t="str">
        <f t="shared" si="467"/>
        <v/>
      </c>
      <c r="B2384" s="2196" t="s">
        <v>246</v>
      </c>
      <c r="C2384" s="2212"/>
      <c r="D2384" s="2096" t="s">
        <v>5489</v>
      </c>
      <c r="E2384" s="2138" t="s">
        <v>5490</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ht="15" outlineLevel="1">
      <c r="A2385" s="2126"/>
      <c r="B2385" s="2301"/>
      <c r="C2385" s="2367"/>
      <c r="D2385" s="2368"/>
      <c r="E2385" s="2343"/>
      <c r="F2385" s="2581"/>
      <c r="G2385" s="2582"/>
      <c r="H2385" s="2581"/>
      <c r="I2385" s="2581"/>
      <c r="J2385" s="2591" t="s">
        <v>6035</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ht="15" outlineLevel="1">
      <c r="A2388" s="2126">
        <f>A2386</f>
        <v>0</v>
      </c>
      <c r="B2388" s="2205" t="s">
        <v>6016</v>
      </c>
      <c r="C2388" s="2592" t="s">
        <v>1704</v>
      </c>
      <c r="D2388" s="2593" t="s">
        <v>2589</v>
      </c>
      <c r="E2388" s="2595" t="s">
        <v>2590</v>
      </c>
      <c r="F2388" s="2592" t="s">
        <v>2585</v>
      </c>
      <c r="G2388" s="2053" t="s">
        <v>6017</v>
      </c>
      <c r="H2388" s="2056" t="s">
        <v>6018</v>
      </c>
      <c r="I2388" s="2563"/>
      <c r="J2388" s="2563"/>
      <c r="K2388" s="2564"/>
      <c r="L2388" s="2056" t="s">
        <v>6019</v>
      </c>
      <c r="M2388" s="2563"/>
      <c r="N2388" s="2563"/>
      <c r="O2388" s="2564"/>
      <c r="P2388" s="2592" t="s">
        <v>2591</v>
      </c>
      <c r="Q2388" s="2210"/>
      <c r="R2388" s="2210"/>
      <c r="S2388" s="2210"/>
    </row>
    <row r="2389" spans="1:19" s="2049" customFormat="1" ht="15" outlineLevel="1">
      <c r="A2389" s="2126">
        <f>A2388</f>
        <v>0</v>
      </c>
      <c r="B2389" s="2205"/>
      <c r="C2389" s="2592"/>
      <c r="D2389" s="2594"/>
      <c r="E2389" s="2596"/>
      <c r="F2389" s="2592"/>
      <c r="G2389" s="2055" t="s">
        <v>2280</v>
      </c>
      <c r="H2389" s="2056" t="s">
        <v>6020</v>
      </c>
      <c r="I2389" s="2056" t="s">
        <v>6021</v>
      </c>
      <c r="J2389" s="2056" t="s">
        <v>6022</v>
      </c>
      <c r="K2389" s="2056" t="s">
        <v>6023</v>
      </c>
      <c r="L2389" s="2056" t="s">
        <v>6020</v>
      </c>
      <c r="M2389" s="2056" t="s">
        <v>6021</v>
      </c>
      <c r="N2389" s="2056" t="s">
        <v>6022</v>
      </c>
      <c r="O2389" s="2056" t="s">
        <v>6023</v>
      </c>
      <c r="P2389" s="2592"/>
      <c r="Q2389" s="2210"/>
      <c r="R2389" s="2210"/>
      <c r="S2389" s="2210"/>
    </row>
    <row r="2390" spans="1:19" s="2049" customFormat="1" ht="15"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ht="15" outlineLevel="1">
      <c r="A2391" s="2126" t="str">
        <f t="shared" ref="A2391:A2402" si="473">IF(G2391&lt;&gt;0,1,"")</f>
        <v/>
      </c>
      <c r="B2391" s="2196" t="str">
        <f>IF($F$8=15,"tr630","tr6301")</f>
        <v>tr6301</v>
      </c>
      <c r="C2391" s="2212">
        <f>IF(G2391&gt;0,1,0)</f>
        <v>0</v>
      </c>
      <c r="D2391" s="2096" t="s">
        <v>5508</v>
      </c>
      <c r="E2391" s="2138" t="s">
        <v>6277</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ht="15" outlineLevel="1">
      <c r="A2392" s="2126" t="str">
        <f t="shared" si="473"/>
        <v/>
      </c>
      <c r="B2392" s="2062" t="str">
        <f>"FCO100-"&amp;$F$8</f>
        <v>FCO100-22</v>
      </c>
      <c r="C2392" s="2212">
        <f t="shared" ref="C2392:C2397" si="478">IF(G2392&gt;0,C2391+1,C2391)</f>
        <v>0</v>
      </c>
      <c r="D2392" s="2096" t="s">
        <v>5513</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ht="15"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ht="15" outlineLevel="1">
      <c r="A2394" s="2126" t="str">
        <f t="shared" si="473"/>
        <v/>
      </c>
      <c r="B2394" s="2205" t="str">
        <f>"LA"&amp;$F$6</f>
        <v>LA18</v>
      </c>
      <c r="C2394" s="2212">
        <f t="shared" si="478"/>
        <v>0</v>
      </c>
      <c r="D2394" s="2096" t="s">
        <v>5517</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ht="15"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ht="15" outlineLevel="1">
      <c r="A2396" s="2126" t="str">
        <f>IF(G2396&lt;&gt;0,1,"")</f>
        <v/>
      </c>
      <c r="B2396" s="2301" t="s">
        <v>6120</v>
      </c>
      <c r="C2396" s="2212">
        <f t="shared" si="478"/>
        <v>0</v>
      </c>
      <c r="D2396" s="2096">
        <v>0</v>
      </c>
      <c r="E2396" s="2138" t="s">
        <v>5599</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ht="15" outlineLevel="1">
      <c r="A2397" s="2126" t="str">
        <f>IF(G2397&lt;&gt;0,1,"")</f>
        <v/>
      </c>
      <c r="B2397" s="2301" t="s">
        <v>707</v>
      </c>
      <c r="C2397" s="2212">
        <f t="shared" si="478"/>
        <v>0</v>
      </c>
      <c r="D2397" s="2096">
        <v>0</v>
      </c>
      <c r="E2397" s="2138" t="s">
        <v>5597</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ht="15"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ht="15" outlineLevel="1">
      <c r="A2399" s="2126" t="str">
        <f t="shared" si="473"/>
        <v/>
      </c>
      <c r="B2399" s="2301" t="s">
        <v>1459</v>
      </c>
      <c r="C2399" s="2212">
        <f>IF(G2399&gt;0,C2395+1,C2395)</f>
        <v>0</v>
      </c>
      <c r="D2399" s="2096" t="s">
        <v>1021</v>
      </c>
      <c r="E2399" s="2138" t="s">
        <v>5535</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ht="15"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ht="15" outlineLevel="1">
      <c r="A2401" s="2126" t="str">
        <f t="shared" si="473"/>
        <v/>
      </c>
      <c r="B2401" s="2193" t="s">
        <v>2182</v>
      </c>
      <c r="C2401" s="2212">
        <f>IF(G2401&gt;0,C2399+1,C2399)</f>
        <v>0</v>
      </c>
      <c r="D2401" s="2096">
        <v>0</v>
      </c>
      <c r="E2401" s="2138" t="s">
        <v>5526</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ht="15"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ht="15" outlineLevel="1">
      <c r="A2403" s="2126">
        <f>A2386</f>
        <v>0</v>
      </c>
      <c r="B2403" s="2205"/>
      <c r="C2403" s="2337"/>
      <c r="D2403" s="2338"/>
      <c r="E2403" s="2339"/>
      <c r="F2403" s="2337"/>
      <c r="G2403" s="2580"/>
      <c r="H2403" s="2337"/>
      <c r="I2403" s="2337"/>
      <c r="J2403" s="2061" t="s">
        <v>6025</v>
      </c>
      <c r="K2403" s="2337"/>
      <c r="L2403" s="2339">
        <f>SUM(L2391:L2402)</f>
        <v>0</v>
      </c>
      <c r="M2403" s="2339">
        <f>SUM(M2391:M2402)</f>
        <v>0</v>
      </c>
      <c r="N2403" s="2339">
        <f>SUM(N2391:N2402)</f>
        <v>0</v>
      </c>
      <c r="O2403" s="2339">
        <f>SUM(O2391:O2402)</f>
        <v>0</v>
      </c>
      <c r="P2403" s="2340"/>
      <c r="Q2403" s="2210"/>
      <c r="R2403" s="2210"/>
      <c r="S2403" s="2210"/>
    </row>
    <row r="2404" spans="1:19" s="2049" customFormat="1" ht="15"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ht="15" outlineLevel="1">
      <c r="A2405" s="2126" t="str">
        <f t="shared" ref="A2405:A2423" si="479">IF(G2405&lt;&gt;0,1,"")</f>
        <v/>
      </c>
      <c r="B2405" s="2345"/>
      <c r="C2405" s="2346">
        <f>IF(G2405&gt;0,1,0)</f>
        <v>0</v>
      </c>
      <c r="D2405" s="2096"/>
      <c r="E2405" s="2347" t="s">
        <v>6026</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ht="15"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ht="15"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ht="15"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ht="15" outlineLevel="1">
      <c r="A2409" s="2126" t="str">
        <f t="shared" si="479"/>
        <v/>
      </c>
      <c r="B2409" s="2345"/>
      <c r="C2409" s="2346">
        <f>IF(G2409&gt;0,1,0)</f>
        <v>0</v>
      </c>
      <c r="D2409" s="2096"/>
      <c r="E2409" s="2347" t="s">
        <v>6121</v>
      </c>
      <c r="F2409" s="2348" t="s">
        <v>2271</v>
      </c>
      <c r="G2409" s="2349"/>
      <c r="H2409" s="2348"/>
      <c r="I2409" s="2348"/>
      <c r="J2409" s="2348"/>
      <c r="K2409" s="2348"/>
      <c r="L2409" s="2349"/>
      <c r="M2409" s="2349"/>
      <c r="N2409" s="2349"/>
      <c r="O2409" s="2350"/>
      <c r="P2409" s="2209"/>
      <c r="Q2409" s="2210"/>
      <c r="R2409" s="2210"/>
      <c r="S2409" s="2210"/>
    </row>
    <row r="2410" spans="1:19" s="2049" customFormat="1" ht="15"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ht="15"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ht="15"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ht="15"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ht="15" outlineLevel="1">
      <c r="A2414" s="2126" t="str">
        <f t="shared" si="479"/>
        <v/>
      </c>
      <c r="B2414" s="2301" t="s">
        <v>633</v>
      </c>
      <c r="C2414" s="2351"/>
      <c r="D2414" s="2096" t="s">
        <v>4965</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ht="15" outlineLevel="1">
      <c r="A2415" s="2126" t="str">
        <f t="shared" si="479"/>
        <v/>
      </c>
      <c r="B2415" s="2301" t="s">
        <v>564</v>
      </c>
      <c r="C2415" s="2351"/>
      <c r="D2415" s="2096"/>
      <c r="E2415" s="2352" t="s">
        <v>4990</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ht="15" outlineLevel="1">
      <c r="A2416" s="2126" t="str">
        <f t="shared" si="479"/>
        <v/>
      </c>
      <c r="B2416" s="2301" t="s">
        <v>636</v>
      </c>
      <c r="C2416" s="2351"/>
      <c r="D2416" s="2096" t="s">
        <v>1742</v>
      </c>
      <c r="E2416" s="2352" t="s">
        <v>5241</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ht="15" outlineLevel="1">
      <c r="A2417" s="2126" t="str">
        <f t="shared" si="479"/>
        <v/>
      </c>
      <c r="B2417" s="2301" t="s">
        <v>21</v>
      </c>
      <c r="C2417" s="2351"/>
      <c r="D2417" s="2096" t="s">
        <v>5242</v>
      </c>
      <c r="E2417" s="2352" t="s">
        <v>5243</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ht="15"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ht="15" outlineLevel="1">
      <c r="A2419" s="2126" t="str">
        <f t="shared" si="479"/>
        <v/>
      </c>
      <c r="B2419" s="2301" t="s">
        <v>633</v>
      </c>
      <c r="C2419" s="2351"/>
      <c r="D2419" s="2096" t="s">
        <v>4965</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ht="15" outlineLevel="1">
      <c r="A2420" s="2126" t="str">
        <f t="shared" si="479"/>
        <v/>
      </c>
      <c r="B2420" s="2301" t="s">
        <v>564</v>
      </c>
      <c r="C2420" s="2351"/>
      <c r="D2420" s="2096"/>
      <c r="E2420" s="2352" t="s">
        <v>4990</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ht="15" outlineLevel="1">
      <c r="A2421" s="2126" t="str">
        <f t="shared" si="479"/>
        <v/>
      </c>
      <c r="B2421" s="2301" t="s">
        <v>636</v>
      </c>
      <c r="C2421" s="2351"/>
      <c r="D2421" s="2096" t="s">
        <v>1742</v>
      </c>
      <c r="E2421" s="2352" t="s">
        <v>5241</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ht="15" outlineLevel="1">
      <c r="A2422" s="2126" t="str">
        <f t="shared" si="479"/>
        <v/>
      </c>
      <c r="B2422" s="2301" t="s">
        <v>21</v>
      </c>
      <c r="C2422" s="2351"/>
      <c r="D2422" s="2096" t="s">
        <v>5242</v>
      </c>
      <c r="E2422" s="2352" t="s">
        <v>5243</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ht="15"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5" outlineLevel="1">
      <c r="A2424" s="2126" t="str">
        <f>A2423</f>
        <v/>
      </c>
      <c r="B2424" s="2205"/>
      <c r="C2424" s="2202"/>
      <c r="D2424" s="2358"/>
      <c r="E2424" s="2211" t="s">
        <v>6037</v>
      </c>
      <c r="F2424" s="2212"/>
      <c r="G2424" s="2213"/>
      <c r="H2424" s="2359"/>
      <c r="I2424" s="2359"/>
      <c r="J2424" s="2359"/>
      <c r="K2424" s="2359"/>
      <c r="L2424" s="2359"/>
      <c r="M2424" s="2359"/>
      <c r="N2424" s="2359"/>
      <c r="O2424" s="2359"/>
      <c r="P2424" s="2209"/>
      <c r="Q2424" s="2210"/>
      <c r="R2424" s="2210"/>
      <c r="S2424" s="2210"/>
    </row>
    <row r="2425" spans="1:19" s="2049" customFormat="1" ht="15" outlineLevel="1">
      <c r="A2425" s="2126" t="str">
        <f t="shared" ref="A2425:A2433" si="480">IF(G2425&lt;&gt;0,1,"")</f>
        <v/>
      </c>
      <c r="B2425" s="2196" t="s">
        <v>1404</v>
      </c>
      <c r="C2425" s="2202"/>
      <c r="D2425" s="2096">
        <v>0</v>
      </c>
      <c r="E2425" s="2138" t="s">
        <v>6257</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ht="15" outlineLevel="1">
      <c r="A2426" s="2126" t="str">
        <f t="shared" si="480"/>
        <v/>
      </c>
      <c r="B2426" s="2196" t="s">
        <v>1133</v>
      </c>
      <c r="C2426" s="2202"/>
      <c r="D2426" s="2096">
        <v>0</v>
      </c>
      <c r="E2426" s="2138" t="s">
        <v>6243</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ht="15" outlineLevel="1">
      <c r="A2427" s="2126" t="str">
        <f t="shared" si="480"/>
        <v/>
      </c>
      <c r="B2427" s="2196" t="s">
        <v>1134</v>
      </c>
      <c r="C2427" s="2202"/>
      <c r="D2427" s="2096">
        <v>0</v>
      </c>
      <c r="E2427" s="2138" t="s">
        <v>6244</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ht="15"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ht="15"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ht="15"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ht="15" outlineLevel="1">
      <c r="A2431" s="2126" t="str">
        <f>IF(G2431&lt;&gt;0,1,"")</f>
        <v/>
      </c>
      <c r="B2431" s="2196" t="s">
        <v>2237</v>
      </c>
      <c r="C2431" s="2202"/>
      <c r="D2431" s="2096" t="s">
        <v>5361</v>
      </c>
      <c r="E2431" s="2138" t="s">
        <v>6245</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ht="15" outlineLevel="1">
      <c r="A2432" s="2126" t="str">
        <f>IF(G2432&lt;&gt;0,1,"")</f>
        <v/>
      </c>
      <c r="B2432" s="2196" t="s">
        <v>6122</v>
      </c>
      <c r="C2432" s="2202"/>
      <c r="D2432" s="2096" t="s">
        <v>5295</v>
      </c>
      <c r="E2432" s="2138" t="s">
        <v>6247</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ht="15" outlineLevel="1">
      <c r="A2433" s="2126" t="str">
        <f t="shared" si="480"/>
        <v/>
      </c>
      <c r="B2433" s="2205"/>
      <c r="C2433" s="2202">
        <f>IF(G2433&gt;0,C2423+1,C2423)</f>
        <v>0</v>
      </c>
      <c r="D2433" s="2203"/>
      <c r="E2433" s="2361" t="s">
        <v>6175</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5" outlineLevel="1">
      <c r="A2434" s="2126" t="str">
        <f>A2433</f>
        <v/>
      </c>
      <c r="B2434" s="2205"/>
      <c r="C2434" s="2202"/>
      <c r="D2434" s="2096"/>
      <c r="E2434" s="2211" t="s">
        <v>6037</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ht="15"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ht="15"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ht="15"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ht="15"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ht="15" outlineLevel="1">
      <c r="A2439" s="2126" t="str">
        <f t="shared" si="485"/>
        <v/>
      </c>
      <c r="B2439" s="2205" t="s">
        <v>2237</v>
      </c>
      <c r="C2439" s="2202"/>
      <c r="D2439" s="2096" t="s">
        <v>5361</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ht="15" outlineLevel="1">
      <c r="A2440" s="2126" t="str">
        <f>IF(G2440&lt;&gt;0,1,"")</f>
        <v/>
      </c>
      <c r="B2440" s="2205"/>
      <c r="C2440" s="2202">
        <f>IF(G2440&gt;0,C2433+1,C2433)</f>
        <v>0</v>
      </c>
      <c r="D2440" s="2203"/>
      <c r="E2440" s="2361" t="s">
        <v>6123</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5" outlineLevel="1">
      <c r="A2441" s="2126" t="str">
        <f>A2440</f>
        <v/>
      </c>
      <c r="B2441" s="2205"/>
      <c r="C2441" s="2202"/>
      <c r="D2441" s="2203"/>
      <c r="E2441" s="2211" t="s">
        <v>6037</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ht="15" outlineLevel="1">
      <c r="A2442" s="2126" t="str">
        <f>IF(G2442&lt;&gt;0,1,"")</f>
        <v/>
      </c>
      <c r="B2442" s="2077" t="s">
        <v>5073</v>
      </c>
      <c r="C2442" s="2202"/>
      <c r="D2442" s="2096">
        <v>0</v>
      </c>
      <c r="E2442" s="2138" t="s">
        <v>5074</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ht="15" outlineLevel="1">
      <c r="A2443" s="2126" t="str">
        <f>IF(G2443&lt;&gt;0,1,"")</f>
        <v/>
      </c>
      <c r="B2443" s="2074" t="s">
        <v>486</v>
      </c>
      <c r="C2443" s="2202"/>
      <c r="D2443" s="2096">
        <v>0</v>
      </c>
      <c r="E2443" s="2138" t="s">
        <v>4996</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ht="15"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ht="15" outlineLevel="1">
      <c r="A2445" s="2126" t="str">
        <f>IF(G2445&lt;&gt;0,1,"")</f>
        <v/>
      </c>
      <c r="B2445" s="2196" t="s">
        <v>2237</v>
      </c>
      <c r="C2445" s="2202"/>
      <c r="D2445" s="2096" t="s">
        <v>5361</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ht="15" outlineLevel="1">
      <c r="A2446" s="2126" t="str">
        <f t="shared" si="485"/>
        <v/>
      </c>
      <c r="B2446" s="2205"/>
      <c r="C2446" s="2202">
        <f>IF(G2446&gt;0,C2440+1,C2440)</f>
        <v>0</v>
      </c>
      <c r="D2446" s="2203"/>
      <c r="E2446" s="2361" t="s">
        <v>6124</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5" outlineLevel="1">
      <c r="A2447" s="2126" t="str">
        <f>A2446</f>
        <v/>
      </c>
      <c r="B2447" s="2205"/>
      <c r="C2447" s="2202"/>
      <c r="D2447" s="2203"/>
      <c r="E2447" s="2211" t="s">
        <v>6037</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ht="15"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ht="15"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ht="15" outlineLevel="1">
      <c r="A2450" s="2126" t="str">
        <f>IF(G2450&lt;&gt;0,1,"")</f>
        <v/>
      </c>
      <c r="B2450" s="2205" t="s">
        <v>2237</v>
      </c>
      <c r="C2450" s="2202"/>
      <c r="D2450" s="2096" t="s">
        <v>5361</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ht="15" outlineLevel="1">
      <c r="A2451" s="2126" t="str">
        <f>IF(G2451&lt;&gt;0,1,"")</f>
        <v/>
      </c>
      <c r="B2451" s="2205"/>
      <c r="C2451" s="2202">
        <f>IF(G2451&gt;0,C2446+1,C2446)</f>
        <v>0</v>
      </c>
      <c r="D2451" s="2203"/>
      <c r="E2451" s="2361" t="s">
        <v>6125</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5" outlineLevel="1">
      <c r="A2452" s="2126" t="str">
        <f>A2451</f>
        <v/>
      </c>
      <c r="B2452" s="2205"/>
      <c r="C2452" s="2202"/>
      <c r="D2452" s="2203"/>
      <c r="E2452" s="2211" t="s">
        <v>6037</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ht="15"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ht="15"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ht="15" outlineLevel="1">
      <c r="A2455" s="2126" t="str">
        <f>IF(G2455&lt;&gt;0,1,"")</f>
        <v/>
      </c>
      <c r="B2455" s="2205" t="s">
        <v>2237</v>
      </c>
      <c r="C2455" s="2202"/>
      <c r="D2455" s="2096" t="s">
        <v>5361</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ht="15" outlineLevel="1">
      <c r="A2456" s="2126" t="str">
        <f>IF(G2456&lt;&gt;0,1,"")</f>
        <v/>
      </c>
      <c r="B2456" s="2205" t="s">
        <v>216</v>
      </c>
      <c r="C2456" s="2202"/>
      <c r="D2456" s="2096" t="s">
        <v>5261</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ht="15"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5" outlineLevel="1">
      <c r="A2458" s="2126" t="str">
        <f>A2457</f>
        <v/>
      </c>
      <c r="B2458" s="2205"/>
      <c r="C2458" s="2202"/>
      <c r="D2458" s="2203"/>
      <c r="E2458" s="2211" t="s">
        <v>6037</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ht="15"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ht="15" outlineLevel="1">
      <c r="A2460" s="2126" t="str">
        <f t="shared" si="487"/>
        <v/>
      </c>
      <c r="B2460" s="2205" t="s">
        <v>1031</v>
      </c>
      <c r="C2460" s="2202"/>
      <c r="D2460" s="2096">
        <v>0</v>
      </c>
      <c r="E2460" s="2138" t="s">
        <v>6278</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ht="15"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ht="15"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ht="15"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ht="15" outlineLevel="1">
      <c r="A2464" s="2126" t="str">
        <f t="shared" si="487"/>
        <v/>
      </c>
      <c r="B2464" s="2205" t="s">
        <v>515</v>
      </c>
      <c r="C2464" s="2202"/>
      <c r="D2464" s="2096" t="s">
        <v>5347</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ht="15" outlineLevel="1">
      <c r="A2465" s="2126" t="str">
        <f t="shared" si="487"/>
        <v/>
      </c>
      <c r="B2465" s="2205"/>
      <c r="C2465" s="2202">
        <f>IF(G2465&gt;0,C2457+1,C2457)</f>
        <v>0</v>
      </c>
      <c r="D2465" s="2203"/>
      <c r="E2465" s="2361" t="s">
        <v>6143</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5" outlineLevel="1">
      <c r="A2466" s="2126" t="str">
        <f>A2465</f>
        <v/>
      </c>
      <c r="B2466" s="2205"/>
      <c r="C2466" s="2202"/>
      <c r="D2466" s="2203"/>
      <c r="E2466" s="2211" t="s">
        <v>6037</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ht="15"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ht="15" outlineLevel="1">
      <c r="A2468" s="2126" t="str">
        <f t="shared" si="488"/>
        <v/>
      </c>
      <c r="B2468" s="2205" t="s">
        <v>1031</v>
      </c>
      <c r="C2468" s="2202"/>
      <c r="D2468" s="2096">
        <v>0</v>
      </c>
      <c r="E2468" s="2138" t="s">
        <v>6278</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ht="15"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ht="15"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ht="15"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ht="15" outlineLevel="1">
      <c r="A2472" s="2126" t="str">
        <f t="shared" si="488"/>
        <v/>
      </c>
      <c r="B2472" s="2205" t="s">
        <v>984</v>
      </c>
      <c r="C2472" s="2202"/>
      <c r="D2472" s="2096">
        <v>0</v>
      </c>
      <c r="E2472" s="2138" t="s">
        <v>5188</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ht="15" outlineLevel="1">
      <c r="A2473" s="2126" t="str">
        <f t="shared" si="488"/>
        <v/>
      </c>
      <c r="B2473" s="2205" t="s">
        <v>1436</v>
      </c>
      <c r="C2473" s="2202"/>
      <c r="D2473" s="2096" t="s">
        <v>5338</v>
      </c>
      <c r="E2473" s="2138" t="s">
        <v>5339</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ht="15"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5" outlineLevel="1">
      <c r="A2475" s="2126" t="str">
        <f>+A2474</f>
        <v/>
      </c>
      <c r="B2475" s="2362"/>
      <c r="C2475" s="2202"/>
      <c r="D2475" s="2203"/>
      <c r="E2475" s="2211" t="s">
        <v>6037</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ht="15"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ht="15" outlineLevel="1">
      <c r="A2477" s="2126" t="str">
        <f t="shared" si="489"/>
        <v/>
      </c>
      <c r="B2477" s="2196" t="s">
        <v>1504</v>
      </c>
      <c r="C2477" s="2202"/>
      <c r="D2477" s="2096">
        <v>0</v>
      </c>
      <c r="E2477" s="2138" t="s">
        <v>5081</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ht="15"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ht="15"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ht="15"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ht="15" outlineLevel="1">
      <c r="A2481" s="2126" t="str">
        <f t="shared" si="489"/>
        <v/>
      </c>
      <c r="B2481" s="2196" t="s">
        <v>523</v>
      </c>
      <c r="C2481" s="2202"/>
      <c r="D2481" s="2096">
        <v>0</v>
      </c>
      <c r="E2481" s="2138" t="s">
        <v>5170</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ht="15" outlineLevel="1">
      <c r="A2482" s="2126" t="str">
        <f t="shared" si="489"/>
        <v/>
      </c>
      <c r="B2482" s="2196" t="s">
        <v>1581</v>
      </c>
      <c r="C2482" s="2202"/>
      <c r="D2482" s="2096">
        <v>0</v>
      </c>
      <c r="E2482" s="2138" t="s">
        <v>5628</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ht="15" outlineLevel="1">
      <c r="A2483" s="2126">
        <f>IF(G2483=0,0,1)</f>
        <v>0</v>
      </c>
      <c r="B2483" s="2196" t="s">
        <v>791</v>
      </c>
      <c r="C2483" s="2212"/>
      <c r="D2483" s="2096" t="s">
        <v>5253</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ht="15" outlineLevel="1">
      <c r="A2484" s="2126">
        <f>IF(G2484=0,0,1)</f>
        <v>0</v>
      </c>
      <c r="B2484" s="2196" t="s">
        <v>795</v>
      </c>
      <c r="C2484" s="2212"/>
      <c r="D2484" s="2096" t="s">
        <v>5242</v>
      </c>
      <c r="E2484" s="2138" t="s">
        <v>5254</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ht="15" outlineLevel="1">
      <c r="A2485" s="2126">
        <f>IF(G2485=0,0,1)</f>
        <v>0</v>
      </c>
      <c r="B2485" s="2196" t="s">
        <v>899</v>
      </c>
      <c r="C2485" s="2212"/>
      <c r="D2485" s="2096" t="s">
        <v>5268</v>
      </c>
      <c r="E2485" s="2138" t="s">
        <v>5269</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ht="15" outlineLevel="1">
      <c r="A2486" s="2126" t="str">
        <f>IF(G2486&lt;&gt;0,1,"")</f>
        <v/>
      </c>
      <c r="B2486" s="2196" t="s">
        <v>1433</v>
      </c>
      <c r="C2486" s="2202"/>
      <c r="D2486" s="2096" t="s">
        <v>5263</v>
      </c>
      <c r="E2486" s="2138" t="s">
        <v>5264</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ht="15" outlineLevel="1">
      <c r="A2487" s="2126" t="str">
        <f>IF(G2487&lt;&gt;0,1,"")</f>
        <v/>
      </c>
      <c r="B2487" s="2205"/>
      <c r="C2487" s="2202">
        <f>IF(G2487&gt;0,C2474+1,C2474)</f>
        <v>0</v>
      </c>
      <c r="D2487" s="2203"/>
      <c r="E2487" s="2206" t="s">
        <v>6126</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5" outlineLevel="1">
      <c r="A2488" s="2126" t="str">
        <f>A2487</f>
        <v/>
      </c>
      <c r="B2488" s="2205"/>
      <c r="C2488" s="2202"/>
      <c r="D2488" s="2203"/>
      <c r="E2488" s="2211" t="s">
        <v>6037</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ht="15" outlineLevel="1">
      <c r="A2489" s="2126" t="str">
        <f>IF(G2489&lt;&gt;0,1,"")</f>
        <v/>
      </c>
      <c r="B2489" s="2205" t="s">
        <v>650</v>
      </c>
      <c r="C2489" s="2212"/>
      <c r="D2489" s="2096">
        <v>0</v>
      </c>
      <c r="E2489" s="2138" t="s">
        <v>5207</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ht="15"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ht="15"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ht="15" outlineLevel="1">
      <c r="A2492" s="2126" t="str">
        <f>IF(G2492&lt;&gt;0,1,"")</f>
        <v/>
      </c>
      <c r="B2492" s="2205" t="s">
        <v>651</v>
      </c>
      <c r="C2492" s="2212"/>
      <c r="D2492" s="2096" t="s">
        <v>5388</v>
      </c>
      <c r="E2492" s="2138" t="s">
        <v>5391</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ht="15" outlineLevel="1">
      <c r="A2493" s="2126" t="str">
        <f>IF(G2493&lt;&gt;0,1,"")</f>
        <v/>
      </c>
      <c r="B2493" s="2205"/>
      <c r="C2493" s="2202">
        <f>IF(G2493&gt;0,C2487+1,C2487)</f>
        <v>0</v>
      </c>
      <c r="D2493" s="2203"/>
      <c r="E2493" s="2320" t="s">
        <v>6113</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5" outlineLevel="1">
      <c r="A2494" s="2126" t="str">
        <f>A2493</f>
        <v/>
      </c>
      <c r="B2494" s="2205"/>
      <c r="C2494" s="2202"/>
      <c r="D2494" s="2203"/>
      <c r="E2494" s="2211" t="s">
        <v>6037</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ht="15" outlineLevel="1">
      <c r="A2495" s="2126" t="str">
        <f>IF(G2495&lt;&gt;0,1,"")</f>
        <v/>
      </c>
      <c r="B2495" s="2205" t="s">
        <v>5558</v>
      </c>
      <c r="C2495" s="2212"/>
      <c r="D2495" s="2096" t="s">
        <v>5548</v>
      </c>
      <c r="E2495" s="2138" t="s">
        <v>5559</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ht="15" outlineLevel="1">
      <c r="A2496" s="2126" t="str">
        <f>IF(G2496&lt;&gt;0,1,"")</f>
        <v/>
      </c>
      <c r="B2496" s="2205" t="s">
        <v>877</v>
      </c>
      <c r="C2496" s="2202"/>
      <c r="D2496" s="2096">
        <v>0</v>
      </c>
      <c r="E2496" s="2138" t="s">
        <v>5713</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ht="15" outlineLevel="1">
      <c r="A2497" s="2126" t="str">
        <f>IF(G2497&lt;&gt;0,1,"")</f>
        <v/>
      </c>
      <c r="B2497" s="2205" t="s">
        <v>288</v>
      </c>
      <c r="C2497" s="2212"/>
      <c r="D2497" s="2096">
        <v>0</v>
      </c>
      <c r="E2497" s="2138" t="s">
        <v>5627</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ht="15"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5" outlineLevel="1">
      <c r="A2499" s="2126" t="str">
        <f>A2498</f>
        <v/>
      </c>
      <c r="B2499" s="2205"/>
      <c r="C2499" s="2202"/>
      <c r="D2499" s="2203"/>
      <c r="E2499" s="2211" t="s">
        <v>6037</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ht="15" outlineLevel="1">
      <c r="A2500" s="2126" t="str">
        <f t="shared" ref="A2500:A2508" si="497">IF(G2500&lt;&gt;0,1,"")</f>
        <v/>
      </c>
      <c r="B2500" s="2498" t="s">
        <v>749</v>
      </c>
      <c r="C2500" s="2212"/>
      <c r="D2500" s="2096">
        <v>0</v>
      </c>
      <c r="E2500" s="2303" t="s">
        <v>6279</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ht="15" outlineLevel="1">
      <c r="A2501" s="2126" t="str">
        <f t="shared" si="497"/>
        <v/>
      </c>
      <c r="B2501" s="2498" t="s">
        <v>518</v>
      </c>
      <c r="C2501" s="2212"/>
      <c r="D2501" s="2096">
        <v>0</v>
      </c>
      <c r="E2501" s="2303" t="s">
        <v>6280</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ht="15" outlineLevel="1">
      <c r="A2502" s="2126" t="str">
        <f t="shared" si="497"/>
        <v/>
      </c>
      <c r="B2502" s="2498" t="s">
        <v>1671</v>
      </c>
      <c r="C2502" s="2212"/>
      <c r="D2502" s="2096">
        <v>0</v>
      </c>
      <c r="E2502" s="2303" t="s">
        <v>6281</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ht="15" outlineLevel="1">
      <c r="A2503" s="2126" t="str">
        <f t="shared" si="497"/>
        <v/>
      </c>
      <c r="B2503" s="2498" t="s">
        <v>1672</v>
      </c>
      <c r="C2503" s="2212"/>
      <c r="D2503" s="2096" t="s">
        <v>5208</v>
      </c>
      <c r="E2503" s="2303" t="s">
        <v>6282</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ht="15"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ht="15" outlineLevel="1">
      <c r="A2505" s="2126" t="str">
        <f t="shared" si="497"/>
        <v/>
      </c>
      <c r="B2505" s="2498" t="s">
        <v>1674</v>
      </c>
      <c r="C2505" s="2212"/>
      <c r="D2505" s="2096" t="s">
        <v>5250</v>
      </c>
      <c r="E2505" s="2303" t="s">
        <v>6283</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ht="15" outlineLevel="1">
      <c r="A2506" s="2126" t="str">
        <f t="shared" si="497"/>
        <v/>
      </c>
      <c r="B2506" s="2498" t="s">
        <v>144</v>
      </c>
      <c r="C2506" s="2212"/>
      <c r="D2506" s="2096" t="s">
        <v>5244</v>
      </c>
      <c r="E2506" s="2303" t="s">
        <v>6284</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ht="15" outlineLevel="1">
      <c r="A2507" s="2126" t="str">
        <f t="shared" si="497"/>
        <v/>
      </c>
      <c r="B2507" s="2498" t="s">
        <v>527</v>
      </c>
      <c r="C2507" s="2212"/>
      <c r="D2507" s="2096" t="s">
        <v>5249</v>
      </c>
      <c r="E2507" s="2303" t="s">
        <v>6285</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ht="15"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5" outlineLevel="1">
      <c r="A2509" s="2126" t="str">
        <f>A2508</f>
        <v/>
      </c>
      <c r="B2509" s="2205"/>
      <c r="C2509" s="2202"/>
      <c r="D2509" s="2203"/>
      <c r="E2509" s="2211" t="s">
        <v>6037</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ht="15" outlineLevel="1">
      <c r="A2510" s="2126" t="str">
        <f t="shared" ref="A2510:A2517" si="499">IF(G2510&lt;&gt;0,1,"")</f>
        <v/>
      </c>
      <c r="B2510" s="2205" t="s">
        <v>620</v>
      </c>
      <c r="C2510" s="2212"/>
      <c r="D2510" s="2096" t="s">
        <v>5223</v>
      </c>
      <c r="E2510" s="2138" t="s">
        <v>5224</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ht="15"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ht="15"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ht="15"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ht="15"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ht="15" outlineLevel="1">
      <c r="A2515" s="2126" t="str">
        <f t="shared" si="499"/>
        <v/>
      </c>
      <c r="B2515" s="2205" t="s">
        <v>1406</v>
      </c>
      <c r="C2515" s="2202"/>
      <c r="D2515" s="2096" t="s">
        <v>5258</v>
      </c>
      <c r="E2515" s="2138" t="s">
        <v>5259</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ht="15" outlineLevel="1">
      <c r="A2516" s="2126" t="str">
        <f t="shared" si="499"/>
        <v/>
      </c>
      <c r="B2516" s="2205" t="s">
        <v>288</v>
      </c>
      <c r="C2516" s="2212"/>
      <c r="D2516" s="2096">
        <v>0</v>
      </c>
      <c r="E2516" s="2138" t="s">
        <v>5627</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ht="15"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5" outlineLevel="1">
      <c r="A2518" s="2126" t="str">
        <f>A2517</f>
        <v/>
      </c>
      <c r="B2518" s="2205"/>
      <c r="C2518" s="2202"/>
      <c r="D2518" s="2203"/>
      <c r="E2518" s="2218" t="s">
        <v>6037</v>
      </c>
      <c r="F2518" s="2202"/>
      <c r="G2518" s="2207"/>
      <c r="H2518" s="2208"/>
      <c r="I2518" s="2208"/>
      <c r="J2518" s="2208"/>
      <c r="K2518" s="2208"/>
      <c r="L2518" s="2208"/>
      <c r="M2518" s="2208"/>
      <c r="N2518" s="2208">
        <f t="shared" si="498"/>
        <v>0</v>
      </c>
      <c r="O2518" s="2208"/>
      <c r="P2518" s="2209"/>
      <c r="Q2518" s="2210"/>
      <c r="R2518" s="2210"/>
      <c r="S2518" s="2210"/>
    </row>
    <row r="2519" spans="1:19" s="2049" customFormat="1" ht="15" outlineLevel="1">
      <c r="A2519" s="2126" t="str">
        <f>IF(G2519&lt;&gt;0,1,"")</f>
        <v/>
      </c>
      <c r="B2519" s="2196" t="s">
        <v>468</v>
      </c>
      <c r="C2519" s="2212"/>
      <c r="D2519" s="2096">
        <v>0</v>
      </c>
      <c r="E2519" s="2138" t="s">
        <v>6286</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ht="15" outlineLevel="1">
      <c r="A2520" s="2126" t="str">
        <f>IF(G2520&lt;&gt;0,1,"")</f>
        <v/>
      </c>
      <c r="B2520" s="2196" t="s">
        <v>270</v>
      </c>
      <c r="C2520" s="2212"/>
      <c r="D2520" s="2096">
        <v>0</v>
      </c>
      <c r="E2520" s="2138" t="s">
        <v>6287</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ht="15" outlineLevel="1">
      <c r="A2521" s="2126" t="str">
        <f t="shared" ref="A2521:A2527" si="500">IF(G2521&lt;&gt;0,1,"")</f>
        <v/>
      </c>
      <c r="B2521" s="2196" t="s">
        <v>270</v>
      </c>
      <c r="C2521" s="2212"/>
      <c r="D2521" s="2096">
        <v>0</v>
      </c>
      <c r="E2521" s="2138" t="s">
        <v>6288</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ht="15"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ht="15" outlineLevel="1">
      <c r="A2523" s="2126" t="str">
        <f t="shared" si="500"/>
        <v/>
      </c>
      <c r="B2523" s="2196" t="s">
        <v>468</v>
      </c>
      <c r="C2523" s="2212"/>
      <c r="D2523" s="2096">
        <v>0</v>
      </c>
      <c r="E2523" s="2138" t="s">
        <v>6289</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ht="15" outlineLevel="1">
      <c r="A2524" s="2126" t="str">
        <f t="shared" si="500"/>
        <v/>
      </c>
      <c r="B2524" s="2196" t="s">
        <v>270</v>
      </c>
      <c r="C2524" s="2212"/>
      <c r="D2524" s="2096">
        <v>0</v>
      </c>
      <c r="E2524" s="2138" t="s">
        <v>6290</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ht="15"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ht="15" outlineLevel="1">
      <c r="A2526" s="2126" t="str">
        <f t="shared" si="500"/>
        <v/>
      </c>
      <c r="B2526" s="2196" t="s">
        <v>1670</v>
      </c>
      <c r="C2526" s="2212"/>
      <c r="D2526" s="2096" t="s">
        <v>5376</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ht="15"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ht="15"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ht="15" outlineLevel="1">
      <c r="A2529" s="2126" t="str">
        <f>IF(G2529&lt;&gt;0,1,"")</f>
        <v/>
      </c>
      <c r="B2529" s="2196" t="s">
        <v>1521</v>
      </c>
      <c r="C2529" s="2212"/>
      <c r="D2529" s="2096" t="s">
        <v>5487</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ht="15"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ht="15" outlineLevel="1">
      <c r="A2531" s="2126" t="str">
        <f>IF(G2531&lt;&gt;0,1,"")</f>
        <v/>
      </c>
      <c r="B2531" s="2205"/>
      <c r="C2531" s="2202">
        <f>IF(G2531&gt;0,C2517+1,C2517)</f>
        <v>0</v>
      </c>
      <c r="D2531" s="2203"/>
      <c r="E2531" s="2204" t="s">
        <v>6167</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5" outlineLevel="1">
      <c r="A2532" s="2126" t="str">
        <f>A2531</f>
        <v/>
      </c>
      <c r="B2532" s="2205"/>
      <c r="C2532" s="2202"/>
      <c r="D2532" s="2203"/>
      <c r="E2532" s="2218" t="s">
        <v>6037</v>
      </c>
      <c r="F2532" s="2202"/>
      <c r="G2532" s="2207"/>
      <c r="H2532" s="2208"/>
      <c r="I2532" s="2208"/>
      <c r="J2532" s="2208"/>
      <c r="K2532" s="2208"/>
      <c r="L2532" s="2208"/>
      <c r="M2532" s="2208"/>
      <c r="N2532" s="2208">
        <f t="shared" si="498"/>
        <v>0</v>
      </c>
      <c r="O2532" s="2208"/>
      <c r="P2532" s="2333"/>
      <c r="Q2532" s="2210"/>
      <c r="R2532" s="2210"/>
      <c r="S2532" s="2210"/>
    </row>
    <row r="2533" spans="1:19" s="2049" customFormat="1" ht="15" outlineLevel="1">
      <c r="A2533" s="2126" t="str">
        <f>IF(G2533&lt;&gt;0,1,"")</f>
        <v/>
      </c>
      <c r="B2533" s="2196" t="s">
        <v>6176</v>
      </c>
      <c r="C2533" s="2212"/>
      <c r="D2533" s="2096">
        <v>0</v>
      </c>
      <c r="E2533" s="2138" t="s">
        <v>5000</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ht="15" outlineLevel="1">
      <c r="A2534" s="2126" t="str">
        <f>IF(G2534&lt;&gt;0,1,"")</f>
        <v/>
      </c>
      <c r="B2534" s="2301" t="s">
        <v>5614</v>
      </c>
      <c r="C2534" s="2212"/>
      <c r="D2534" s="2096">
        <v>0</v>
      </c>
      <c r="E2534" s="2138" t="s">
        <v>5615</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ht="15" outlineLevel="1">
      <c r="A2535" s="2126" t="str">
        <f>IF(G2535&lt;&gt;0,1,"")</f>
        <v/>
      </c>
      <c r="B2535" s="2301" t="s">
        <v>5620</v>
      </c>
      <c r="C2535" s="2212"/>
      <c r="D2535" s="2096">
        <v>0</v>
      </c>
      <c r="E2535" s="2138" t="s">
        <v>5621</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ht="15" outlineLevel="1">
      <c r="A2536" s="2126" t="str">
        <f>IF(G2536&lt;&gt;0,1,"")</f>
        <v/>
      </c>
      <c r="B2536" s="2301" t="s">
        <v>5622</v>
      </c>
      <c r="C2536" s="2212"/>
      <c r="D2536" s="2096">
        <v>0</v>
      </c>
      <c r="E2536" s="2138" t="s">
        <v>5623</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ht="15"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ht="15" outlineLevel="1">
      <c r="A2538" s="2126" t="str">
        <f t="shared" si="506"/>
        <v/>
      </c>
      <c r="B2538" s="2301" t="s">
        <v>1473</v>
      </c>
      <c r="C2538" s="2212"/>
      <c r="D2538" s="2096">
        <v>0</v>
      </c>
      <c r="E2538" s="2138" t="s">
        <v>6250</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ht="15"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ht="15"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ht="15" outlineLevel="1">
      <c r="A2541" s="2126" t="str">
        <f t="shared" si="506"/>
        <v/>
      </c>
      <c r="B2541" s="2196" t="s">
        <v>1561</v>
      </c>
      <c r="C2541" s="2212"/>
      <c r="D2541" s="2096" t="s">
        <v>5477</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ht="15" outlineLevel="1">
      <c r="A2542" s="2126" t="str">
        <f t="shared" si="506"/>
        <v/>
      </c>
      <c r="B2542" s="2196" t="s">
        <v>1521</v>
      </c>
      <c r="C2542" s="2212"/>
      <c r="D2542" s="2096" t="s">
        <v>5487</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ht="15"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5" outlineLevel="1">
      <c r="A2544" s="2126" t="str">
        <f>A2543</f>
        <v/>
      </c>
      <c r="B2544" s="2205"/>
      <c r="C2544" s="2202"/>
      <c r="D2544" s="2203"/>
      <c r="E2544" s="2218" t="s">
        <v>6037</v>
      </c>
      <c r="F2544" s="2202"/>
      <c r="G2544" s="2207"/>
      <c r="H2544" s="2208"/>
      <c r="I2544" s="2208"/>
      <c r="J2544" s="2208"/>
      <c r="K2544" s="2208"/>
      <c r="L2544" s="2208"/>
      <c r="M2544" s="2208"/>
      <c r="N2544" s="2208">
        <f t="shared" si="498"/>
        <v>0</v>
      </c>
      <c r="O2544" s="2208"/>
      <c r="P2544" s="2209"/>
      <c r="Q2544" s="2210"/>
      <c r="R2544" s="2210"/>
      <c r="S2544" s="2210"/>
    </row>
    <row r="2545" spans="1:19" s="2049" customFormat="1" ht="15"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ht="15" outlineLevel="1">
      <c r="A2546" s="2126" t="str">
        <f>IF(G2546&lt;&gt;0,1,"")</f>
        <v/>
      </c>
      <c r="B2546" s="2205" t="s">
        <v>86</v>
      </c>
      <c r="C2546" s="2212"/>
      <c r="D2546" s="2096">
        <v>0</v>
      </c>
      <c r="E2546" s="2138" t="s">
        <v>5711</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ht="15"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ht="15"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ht="15"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5" outlineLevel="1">
      <c r="A2550" s="2126" t="str">
        <f>A2549</f>
        <v/>
      </c>
      <c r="B2550" s="2196"/>
      <c r="C2550" s="2202"/>
      <c r="D2550" s="2203"/>
      <c r="E2550" s="2218" t="s">
        <v>6037</v>
      </c>
      <c r="F2550" s="2202"/>
      <c r="G2550" s="2213"/>
      <c r="H2550" s="2208"/>
      <c r="I2550" s="2208"/>
      <c r="J2550" s="2208"/>
      <c r="K2550" s="2208"/>
      <c r="L2550" s="2208"/>
      <c r="M2550" s="2208"/>
      <c r="N2550" s="2208">
        <f t="shared" si="498"/>
        <v>0</v>
      </c>
      <c r="O2550" s="2208"/>
      <c r="P2550" s="2333"/>
      <c r="Q2550" s="2210"/>
      <c r="R2550" s="2210"/>
      <c r="S2550" s="2210"/>
    </row>
    <row r="2551" spans="1:19" s="2049" customFormat="1" ht="15" outlineLevel="1">
      <c r="A2551" s="2126" t="str">
        <f t="shared" ref="A2551:A2563" si="508">IF(G2551&lt;&gt;0,1,"")</f>
        <v/>
      </c>
      <c r="B2551" s="2205" t="s">
        <v>4679</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ht="15"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ht="15" outlineLevel="1">
      <c r="A2553" s="2126" t="str">
        <f t="shared" si="508"/>
        <v/>
      </c>
      <c r="B2553" s="2205" t="s">
        <v>2151</v>
      </c>
      <c r="C2553" s="2212"/>
      <c r="D2553" s="2096" t="s">
        <v>5645</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ht="15"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ht="15"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ht="15" outlineLevel="1">
      <c r="A2556" s="2126" t="str">
        <f t="shared" si="508"/>
        <v/>
      </c>
      <c r="B2556" s="2196" t="s">
        <v>728</v>
      </c>
      <c r="C2556" s="2212"/>
      <c r="D2556" s="2096">
        <v>0</v>
      </c>
      <c r="E2556" s="2138" t="s">
        <v>5176</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ht="15"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ht="15"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ht="15"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ht="15" outlineLevel="1">
      <c r="A2560" s="2126" t="str">
        <f t="shared" si="508"/>
        <v/>
      </c>
      <c r="B2560" s="2196" t="s">
        <v>6</v>
      </c>
      <c r="C2560" s="2212"/>
      <c r="D2560" s="2096"/>
      <c r="E2560" s="2138" t="s">
        <v>3552</v>
      </c>
      <c r="F2560" s="2096" t="s">
        <v>5720</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ht="15"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ht="15" outlineLevel="1">
      <c r="A2562" s="2126" t="str">
        <f t="shared" si="508"/>
        <v/>
      </c>
      <c r="B2562" s="2196" t="s">
        <v>669</v>
      </c>
      <c r="C2562" s="2212"/>
      <c r="D2562" s="2096">
        <v>0</v>
      </c>
      <c r="E2562" s="2138" t="s">
        <v>5715</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ht="15" outlineLevel="1">
      <c r="A2563" s="2126" t="str">
        <f t="shared" si="508"/>
        <v/>
      </c>
      <c r="B2563" s="2196" t="s">
        <v>246</v>
      </c>
      <c r="C2563" s="2212"/>
      <c r="D2563" s="2096" t="s">
        <v>5489</v>
      </c>
      <c r="E2563" s="2138" t="s">
        <v>5490</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ht="15" outlineLevel="1">
      <c r="A2564" s="2126" t="str">
        <f>IF(G2564&lt;&gt;0,1,"")</f>
        <v/>
      </c>
      <c r="B2564" s="2196"/>
      <c r="C2564" s="2202">
        <f>IF(G2564&gt;0,C2549+1,C2549)</f>
        <v>0</v>
      </c>
      <c r="D2564" s="2203"/>
      <c r="E2564" s="2204" t="s">
        <v>6157</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5" outlineLevel="1">
      <c r="A2565" s="2126" t="str">
        <f>A2564</f>
        <v/>
      </c>
      <c r="B2565" s="2444"/>
      <c r="C2565" s="2202"/>
      <c r="D2565" s="2203"/>
      <c r="E2565" s="2218" t="s">
        <v>6037</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ht="15"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ht="15" outlineLevel="1">
      <c r="A2567" s="2126">
        <f>IF(G2567=0,0,1)</f>
        <v>0</v>
      </c>
      <c r="B2567" s="2196" t="s">
        <v>6158</v>
      </c>
      <c r="C2567" s="2212"/>
      <c r="D2567" s="2096">
        <v>0</v>
      </c>
      <c r="E2567" s="2303" t="s">
        <v>4971</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ht="15" outlineLevel="1">
      <c r="A2568" s="2126">
        <f>IF(G2568=0,0,1)</f>
        <v>0</v>
      </c>
      <c r="B2568" s="2196" t="s">
        <v>6159</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ht="15" outlineLevel="1">
      <c r="A2569" s="2126">
        <f t="shared" ref="A2569:A2586" si="514">IF(G2569=0,0,1)</f>
        <v>0</v>
      </c>
      <c r="B2569" s="2205" t="s">
        <v>245</v>
      </c>
      <c r="C2569" s="2333"/>
      <c r="D2569" s="2096">
        <v>0</v>
      </c>
      <c r="E2569" s="2303" t="s">
        <v>5783</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ht="15" outlineLevel="1">
      <c r="A2570" s="2126">
        <f t="shared" si="514"/>
        <v>0</v>
      </c>
      <c r="B2570" s="2205" t="s">
        <v>5648</v>
      </c>
      <c r="C2570" s="2212"/>
      <c r="D2570" s="2096" t="s">
        <v>5638</v>
      </c>
      <c r="E2570" s="2303" t="s">
        <v>5649</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ht="15"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ht="15"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ht="15"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ht="15"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ht="15"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ht="15"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ht="15"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ht="15" outlineLevel="1">
      <c r="A2578" s="2126">
        <f t="shared" si="514"/>
        <v>0</v>
      </c>
      <c r="B2578" s="2196" t="s">
        <v>669</v>
      </c>
      <c r="C2578" s="2212"/>
      <c r="D2578" s="2096">
        <v>0</v>
      </c>
      <c r="E2578" s="2303" t="s">
        <v>5715</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ht="15"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ht="15"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ht="15" outlineLevel="1">
      <c r="A2581" s="2126">
        <f t="shared" si="514"/>
        <v>0</v>
      </c>
      <c r="B2581" s="2196" t="s">
        <v>318</v>
      </c>
      <c r="C2581" s="2212"/>
      <c r="D2581" s="2096">
        <v>0</v>
      </c>
      <c r="E2581" s="2303" t="s">
        <v>5187</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ht="15" outlineLevel="1">
      <c r="A2582" s="2126">
        <f t="shared" si="514"/>
        <v>0</v>
      </c>
      <c r="B2582" s="2196" t="s">
        <v>1910</v>
      </c>
      <c r="C2582" s="2212"/>
      <c r="D2582" s="2096" t="s">
        <v>5570</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ht="15" outlineLevel="1">
      <c r="A2583" s="2126">
        <f t="shared" si="514"/>
        <v>0</v>
      </c>
      <c r="B2583" s="2196" t="s">
        <v>6</v>
      </c>
      <c r="C2583" s="2212"/>
      <c r="D2583" s="2096">
        <v>0</v>
      </c>
      <c r="E2583" s="2303" t="s">
        <v>3552</v>
      </c>
      <c r="F2583" s="2445" t="s">
        <v>5720</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ht="15"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ht="15"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ht="15" outlineLevel="1">
      <c r="A2586" s="2126">
        <f t="shared" si="514"/>
        <v>0</v>
      </c>
      <c r="B2586" s="2196" t="s">
        <v>6159</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ht="15" outlineLevel="1">
      <c r="A2587" s="2126">
        <f>A2386</f>
        <v>0</v>
      </c>
      <c r="B2587" s="2301"/>
      <c r="C2587" s="2367"/>
      <c r="D2587" s="2368"/>
      <c r="E2587" s="2343"/>
      <c r="F2587" s="2581"/>
      <c r="G2587" s="2500"/>
      <c r="H2587" s="2581"/>
      <c r="I2587" s="2581"/>
      <c r="J2587" s="2591" t="s">
        <v>6035</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ht="15">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ht="15"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ht="15" outlineLevel="1">
      <c r="A2591" s="2126">
        <f>A2589</f>
        <v>1</v>
      </c>
      <c r="B2591" s="2205" t="s">
        <v>6016</v>
      </c>
      <c r="C2591" s="2592" t="s">
        <v>1704</v>
      </c>
      <c r="D2591" s="2593" t="s">
        <v>2589</v>
      </c>
      <c r="E2591" s="2595" t="s">
        <v>2590</v>
      </c>
      <c r="F2591" s="2592" t="s">
        <v>2585</v>
      </c>
      <c r="G2591" s="2053" t="s">
        <v>6017</v>
      </c>
      <c r="H2591" s="2056" t="s">
        <v>6018</v>
      </c>
      <c r="I2591" s="2563"/>
      <c r="J2591" s="2563"/>
      <c r="K2591" s="2564"/>
      <c r="L2591" s="2056" t="s">
        <v>6019</v>
      </c>
      <c r="M2591" s="2563"/>
      <c r="N2591" s="2563"/>
      <c r="O2591" s="2564"/>
      <c r="P2591" s="2592" t="s">
        <v>2591</v>
      </c>
      <c r="Q2591" s="2210"/>
      <c r="R2591" s="2210"/>
      <c r="S2591" s="2210"/>
    </row>
    <row r="2592" spans="1:19" s="2049" customFormat="1" ht="15" outlineLevel="1">
      <c r="A2592" s="2126">
        <f>A2591</f>
        <v>1</v>
      </c>
      <c r="B2592" s="2205"/>
      <c r="C2592" s="2592"/>
      <c r="D2592" s="2594"/>
      <c r="E2592" s="2596"/>
      <c r="F2592" s="2592"/>
      <c r="G2592" s="2055" t="s">
        <v>2280</v>
      </c>
      <c r="H2592" s="2056" t="s">
        <v>6020</v>
      </c>
      <c r="I2592" s="2056" t="s">
        <v>6021</v>
      </c>
      <c r="J2592" s="2056" t="s">
        <v>6022</v>
      </c>
      <c r="K2592" s="2056" t="s">
        <v>6023</v>
      </c>
      <c r="L2592" s="2056" t="s">
        <v>6020</v>
      </c>
      <c r="M2592" s="2056" t="s">
        <v>6021</v>
      </c>
      <c r="N2592" s="2056" t="s">
        <v>6022</v>
      </c>
      <c r="O2592" s="2056" t="s">
        <v>6023</v>
      </c>
      <c r="P2592" s="2592"/>
      <c r="Q2592" s="2210"/>
      <c r="R2592" s="2210"/>
      <c r="S2592" s="2210"/>
    </row>
    <row r="2593" spans="1:19" s="2049" customFormat="1" ht="15"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ht="15" outlineLevel="1">
      <c r="A2594" s="2126">
        <f t="shared" ref="A2594:A2606" si="516">IF(G2594&lt;&gt;0,1,"")</f>
        <v>1</v>
      </c>
      <c r="B2594" s="2196" t="s">
        <v>1409</v>
      </c>
      <c r="C2594" s="2212">
        <f>IF(G2594&gt;0,1,0)</f>
        <v>1</v>
      </c>
      <c r="D2594" s="2096" t="s">
        <v>5509</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ht="15" outlineLevel="1">
      <c r="A2595" s="2126">
        <f t="shared" si="516"/>
        <v>1</v>
      </c>
      <c r="B2595" s="2062" t="str">
        <f>"FCO100-"&amp;$F$8</f>
        <v>FCO100-22</v>
      </c>
      <c r="C2595" s="2212">
        <f>IF(G2595&gt;0,C2594+1,C2594)</f>
        <v>2</v>
      </c>
      <c r="D2595" s="2096" t="s">
        <v>5513</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ht="15" outlineLevel="1">
      <c r="A2596" s="2126">
        <f t="shared" si="516"/>
        <v>1</v>
      </c>
      <c r="B2596" s="2196" t="s">
        <v>6177</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ht="15" outlineLevel="1">
      <c r="A2597" s="2126">
        <f t="shared" si="516"/>
        <v>1</v>
      </c>
      <c r="B2597" s="2205" t="str">
        <f>"LA"&amp;$F$6</f>
        <v>LA18</v>
      </c>
      <c r="C2597" s="2212">
        <f>IF(G2597&gt;0,C2596+1,C2596)</f>
        <v>4</v>
      </c>
      <c r="D2597" s="2096" t="s">
        <v>5517</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ht="15" outlineLevel="1">
      <c r="A2598" s="2126">
        <f t="shared" si="516"/>
        <v>1</v>
      </c>
      <c r="B2598" s="2301" t="s">
        <v>6178</v>
      </c>
      <c r="C2598" s="2212">
        <f>IF(G2598&gt;0,C2597+1,C2597)</f>
        <v>5</v>
      </c>
      <c r="D2598" s="2096">
        <v>0</v>
      </c>
      <c r="E2598" s="2138" t="s">
        <v>5605</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ht="15" outlineLevel="1">
      <c r="A2599" s="2126" t="str">
        <f>IF(G2599&lt;&gt;0,1,"")</f>
        <v/>
      </c>
      <c r="B2599" s="2301" t="s">
        <v>707</v>
      </c>
      <c r="C2599" s="2212">
        <f>IF(G2599&gt;0,C2597+1,C2597)</f>
        <v>4</v>
      </c>
      <c r="D2599" s="2096">
        <v>0</v>
      </c>
      <c r="E2599" s="2138" t="s">
        <v>5597</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ht="15" outlineLevel="1">
      <c r="A2600" s="2126" t="str">
        <f>IF(G2600&lt;&gt;0,1,"")</f>
        <v/>
      </c>
      <c r="B2600" s="2301" t="s">
        <v>707</v>
      </c>
      <c r="C2600" s="2212">
        <f t="shared" ref="C2600:C2606" si="521">IF(G2600&gt;0,C2598+1,C2598)</f>
        <v>5</v>
      </c>
      <c r="D2600" s="2096">
        <v>0</v>
      </c>
      <c r="E2600" s="2138" t="s">
        <v>5597</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ht="15"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ht="15" outlineLevel="1">
      <c r="A2602" s="2126" t="str">
        <f t="shared" si="516"/>
        <v/>
      </c>
      <c r="B2602" s="2301" t="s">
        <v>932</v>
      </c>
      <c r="C2602" s="2212">
        <f t="shared" si="521"/>
        <v>5</v>
      </c>
      <c r="D2602" s="2096">
        <v>0</v>
      </c>
      <c r="E2602" s="2138" t="s">
        <v>5594</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ht="15" outlineLevel="1">
      <c r="A2603" s="2126">
        <v>1</v>
      </c>
      <c r="B2603" s="2301" t="s">
        <v>6179</v>
      </c>
      <c r="C2603" s="2212">
        <f t="shared" si="521"/>
        <v>5</v>
      </c>
      <c r="D2603" s="2096" t="s">
        <v>1021</v>
      </c>
      <c r="E2603" s="2138" t="s">
        <v>5533</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ht="15"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ht="15" outlineLevel="1">
      <c r="A2605" s="2126">
        <f t="shared" si="516"/>
        <v>1</v>
      </c>
      <c r="B2605" s="2193" t="s">
        <v>2182</v>
      </c>
      <c r="C2605" s="2212">
        <f t="shared" si="521"/>
        <v>6</v>
      </c>
      <c r="D2605" s="2096">
        <v>0</v>
      </c>
      <c r="E2605" s="2138" t="s">
        <v>5526</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ht="15" outlineLevel="1">
      <c r="A2606" s="2126">
        <f t="shared" si="516"/>
        <v>1</v>
      </c>
      <c r="B2606" s="2196" t="s">
        <v>1832</v>
      </c>
      <c r="C2606" s="2212">
        <f t="shared" si="521"/>
        <v>7</v>
      </c>
      <c r="D2606" s="2096">
        <v>0</v>
      </c>
      <c r="E2606" s="2138" t="s">
        <v>5624</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ht="15" outlineLevel="1">
      <c r="A2607" s="2126"/>
      <c r="B2607" s="2205"/>
      <c r="C2607" s="2337"/>
      <c r="D2607" s="2338"/>
      <c r="E2607" s="2339"/>
      <c r="F2607" s="2337"/>
      <c r="G2607" s="2580"/>
      <c r="H2607" s="2337"/>
      <c r="I2607" s="2337"/>
      <c r="J2607" s="2061" t="s">
        <v>6025</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ht="15"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ht="15" outlineLevel="1">
      <c r="A2609" s="2126"/>
      <c r="B2609" s="2345"/>
      <c r="C2609" s="2346">
        <f>IF(G2609&gt;0,1,0)</f>
        <v>0</v>
      </c>
      <c r="D2609" s="2096"/>
      <c r="E2609" s="2347" t="s">
        <v>6026</v>
      </c>
      <c r="F2609" s="2348" t="s">
        <v>2271</v>
      </c>
      <c r="G2609" s="2349"/>
      <c r="H2609" s="2348"/>
      <c r="I2609" s="2348"/>
      <c r="J2609" s="2348"/>
      <c r="K2609" s="2348"/>
      <c r="L2609" s="2349"/>
      <c r="M2609" s="2349"/>
      <c r="N2609" s="2349"/>
      <c r="O2609" s="2350"/>
      <c r="P2609" s="2333"/>
      <c r="Q2609" s="2210"/>
      <c r="R2609" s="2210"/>
      <c r="S2609" s="2210"/>
    </row>
    <row r="2610" spans="1:19" s="2049" customFormat="1" ht="15" outlineLevel="1">
      <c r="A2610" s="2126"/>
      <c r="B2610" s="2301" t="s">
        <v>5193</v>
      </c>
      <c r="C2610" s="2351"/>
      <c r="D2610" s="2096"/>
      <c r="E2610" s="2352" t="s">
        <v>5194</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ht="15"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ht="15"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ht="15" outlineLevel="1">
      <c r="A2613" s="2126" t="str">
        <f t="shared" ref="A2613:A2629" si="522">IF(G2613&lt;&gt;0,1,"")</f>
        <v/>
      </c>
      <c r="B2613" s="2345"/>
      <c r="C2613" s="2346">
        <f>IF(G2613&gt;0,1,0)</f>
        <v>0</v>
      </c>
      <c r="D2613" s="2096"/>
      <c r="E2613" s="2347" t="s">
        <v>6121</v>
      </c>
      <c r="F2613" s="2348" t="s">
        <v>2271</v>
      </c>
      <c r="G2613" s="2349"/>
      <c r="H2613" s="2348"/>
      <c r="I2613" s="2348"/>
      <c r="J2613" s="2348"/>
      <c r="K2613" s="2348"/>
      <c r="L2613" s="2349"/>
      <c r="M2613" s="2349"/>
      <c r="N2613" s="2349"/>
      <c r="O2613" s="2350"/>
      <c r="P2613" s="2209"/>
      <c r="Q2613" s="2210"/>
      <c r="R2613" s="2210"/>
      <c r="S2613" s="2210"/>
    </row>
    <row r="2614" spans="1:19" s="2049" customFormat="1" ht="15"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ht="15"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ht="15"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ht="15"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ht="15" outlineLevel="1">
      <c r="A2618" s="2126"/>
      <c r="B2618" s="2417" t="s">
        <v>748</v>
      </c>
      <c r="C2618" s="2351"/>
      <c r="D2618" s="2096">
        <v>0</v>
      </c>
      <c r="E2618" s="2352" t="s">
        <v>5207</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ht="15"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ht="15"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ht="15" outlineLevel="1">
      <c r="A2621" s="2126"/>
      <c r="B2621" s="2417" t="s">
        <v>6006</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ht="15" outlineLevel="1">
      <c r="A2622" s="2126"/>
      <c r="B2622" s="2417" t="s">
        <v>4755</v>
      </c>
      <c r="C2622" s="2351"/>
      <c r="D2622" s="2096"/>
      <c r="E2622" s="2352" t="s">
        <v>4569</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ht="15" outlineLevel="1">
      <c r="A2623" s="2126"/>
      <c r="B2623" s="2502" t="s">
        <v>5238</v>
      </c>
      <c r="C2623" s="2351"/>
      <c r="D2623" s="2096"/>
      <c r="E2623" s="2352" t="s">
        <v>5240</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ht="15" outlineLevel="1">
      <c r="A2624" s="2126"/>
      <c r="B2624" s="2417" t="s">
        <v>1830</v>
      </c>
      <c r="C2624" s="2351"/>
      <c r="D2624" s="2096"/>
      <c r="E2624" s="2352" t="s">
        <v>5390</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ht="15"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ht="15" outlineLevel="1">
      <c r="A2626" s="2126" t="str">
        <f t="shared" si="522"/>
        <v/>
      </c>
      <c r="B2626" s="2301" t="s">
        <v>633</v>
      </c>
      <c r="C2626" s="2351"/>
      <c r="D2626" s="2096" t="s">
        <v>4965</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ht="15" outlineLevel="1">
      <c r="A2627" s="2126" t="str">
        <f t="shared" si="522"/>
        <v/>
      </c>
      <c r="B2627" s="2301" t="s">
        <v>564</v>
      </c>
      <c r="C2627" s="2351"/>
      <c r="D2627" s="2096"/>
      <c r="E2627" s="2352" t="s">
        <v>4990</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ht="15" outlineLevel="1">
      <c r="A2628" s="2126" t="str">
        <f t="shared" si="522"/>
        <v/>
      </c>
      <c r="B2628" s="2301" t="s">
        <v>636</v>
      </c>
      <c r="C2628" s="2351"/>
      <c r="D2628" s="2096" t="s">
        <v>1742</v>
      </c>
      <c r="E2628" s="2352" t="s">
        <v>5241</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ht="15" outlineLevel="1">
      <c r="A2629" s="2126" t="str">
        <f t="shared" si="522"/>
        <v/>
      </c>
      <c r="B2629" s="2301" t="s">
        <v>21</v>
      </c>
      <c r="C2629" s="2351"/>
      <c r="D2629" s="2096" t="s">
        <v>5242</v>
      </c>
      <c r="E2629" s="2352" t="s">
        <v>5243</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ht="15" outlineLevel="1">
      <c r="A2630" s="2126">
        <f>IF(G2630&lt;&gt;0,1,"")</f>
        <v>1</v>
      </c>
      <c r="B2630" s="2205"/>
      <c r="C2630" s="2407">
        <f>IF(G2630&gt;0,C2625+1,C2625)</f>
        <v>1</v>
      </c>
      <c r="D2630" s="2425"/>
      <c r="E2630" s="2409" t="s">
        <v>6141</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5" outlineLevel="1">
      <c r="A2631" s="2126">
        <f>A2630</f>
        <v>1</v>
      </c>
      <c r="B2631" s="2205"/>
      <c r="C2631" s="2202"/>
      <c r="D2631" s="2203"/>
      <c r="E2631" s="2211" t="s">
        <v>6037</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ht="15" outlineLevel="1">
      <c r="A2632" s="2126">
        <f t="shared" ref="A2632:A2637" si="530">IF(G2632&lt;&gt;0,1,"")</f>
        <v>1</v>
      </c>
      <c r="B2632" s="2077" t="s">
        <v>5069</v>
      </c>
      <c r="C2632" s="2202"/>
      <c r="D2632" s="2096">
        <v>0</v>
      </c>
      <c r="E2632" s="2138" t="s">
        <v>5070</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ht="15" outlineLevel="1">
      <c r="A2633" s="2126">
        <f t="shared" si="530"/>
        <v>1</v>
      </c>
      <c r="B2633" s="2503" t="s">
        <v>5076</v>
      </c>
      <c r="C2633" s="2202"/>
      <c r="D2633" s="2096">
        <v>0</v>
      </c>
      <c r="E2633" s="2138" t="s">
        <v>5077</v>
      </c>
      <c r="F2633" s="2096" t="s">
        <v>5078</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ht="15" outlineLevel="1">
      <c r="A2634" s="2126">
        <f t="shared" si="530"/>
        <v>1</v>
      </c>
      <c r="B2634" s="2074" t="s">
        <v>486</v>
      </c>
      <c r="C2634" s="2202"/>
      <c r="D2634" s="2096">
        <v>0</v>
      </c>
      <c r="E2634" s="2138" t="s">
        <v>4996</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ht="15"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ht="15"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ht="15" outlineLevel="1">
      <c r="A2637" s="2126">
        <f t="shared" si="530"/>
        <v>1</v>
      </c>
      <c r="B2637" s="2196" t="s">
        <v>2237</v>
      </c>
      <c r="C2637" s="2202"/>
      <c r="D2637" s="2096" t="s">
        <v>5361</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ht="15" outlineLevel="1" collapsed="1">
      <c r="A2638" s="2126">
        <f>IF(G2638&lt;&gt;0,1,"")</f>
        <v>1</v>
      </c>
      <c r="B2638" s="2205"/>
      <c r="C2638" s="2407">
        <f>IF(G2638&gt;0,C2630+1,C2630)</f>
        <v>2</v>
      </c>
      <c r="D2638" s="2425"/>
      <c r="E2638" s="2409" t="s">
        <v>6180</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5" outlineLevel="1">
      <c r="A2639" s="2126">
        <f>A2638</f>
        <v>1</v>
      </c>
      <c r="B2639" s="2205"/>
      <c r="C2639" s="2202"/>
      <c r="D2639" s="2203"/>
      <c r="E2639" s="2211" t="s">
        <v>6037</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ht="15"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ht="15" outlineLevel="1">
      <c r="A2641" s="2126">
        <f t="shared" si="531"/>
        <v>1</v>
      </c>
      <c r="B2641" s="2205" t="s">
        <v>1031</v>
      </c>
      <c r="C2641" s="2202"/>
      <c r="D2641" s="2096">
        <v>0</v>
      </c>
      <c r="E2641" s="2138" t="s">
        <v>6291</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ht="15"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ht="15"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ht="15"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ht="15" outlineLevel="1">
      <c r="A2645" s="2126">
        <f t="shared" si="531"/>
        <v>1</v>
      </c>
      <c r="B2645" s="2205" t="s">
        <v>515</v>
      </c>
      <c r="C2645" s="2202"/>
      <c r="D2645" s="2096" t="s">
        <v>5347</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ht="15" outlineLevel="1">
      <c r="A2646" s="2126">
        <f t="shared" si="531"/>
        <v>1</v>
      </c>
      <c r="B2646" s="2205"/>
      <c r="C2646" s="2407">
        <f>IF(G2646&gt;0,C2638+1,C2638)</f>
        <v>3</v>
      </c>
      <c r="D2646" s="2425"/>
      <c r="E2646" s="2409" t="s">
        <v>6181</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5" outlineLevel="1">
      <c r="A2647" s="2126">
        <f>A2646</f>
        <v>1</v>
      </c>
      <c r="B2647" s="2205"/>
      <c r="C2647" s="2202"/>
      <c r="D2647" s="2203"/>
      <c r="E2647" s="2211" t="s">
        <v>6037</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ht="15"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ht="15" outlineLevel="1">
      <c r="A2649" s="2126">
        <f t="shared" si="532"/>
        <v>1</v>
      </c>
      <c r="B2649" s="2205" t="s">
        <v>1031</v>
      </c>
      <c r="C2649" s="2202"/>
      <c r="D2649" s="2096">
        <v>0</v>
      </c>
      <c r="E2649" s="2138" t="s">
        <v>6291</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ht="15"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ht="15"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ht="15"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ht="15" outlineLevel="1">
      <c r="A2653" s="2126" t="str">
        <f t="shared" si="532"/>
        <v/>
      </c>
      <c r="B2653" s="2205" t="s">
        <v>984</v>
      </c>
      <c r="C2653" s="2202"/>
      <c r="D2653" s="2096">
        <v>0</v>
      </c>
      <c r="E2653" s="2138" t="s">
        <v>5188</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ht="15" outlineLevel="1">
      <c r="A2654" s="2126">
        <f t="shared" si="532"/>
        <v>1</v>
      </c>
      <c r="B2654" s="2205" t="s">
        <v>1436</v>
      </c>
      <c r="C2654" s="2202"/>
      <c r="D2654" s="2096" t="s">
        <v>5338</v>
      </c>
      <c r="E2654" s="2138" t="s">
        <v>5339</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ht="15"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5" outlineLevel="1">
      <c r="A2656" s="2126">
        <f>+A2655</f>
        <v>1</v>
      </c>
      <c r="B2656" s="2362"/>
      <c r="C2656" s="2202"/>
      <c r="D2656" s="2203"/>
      <c r="E2656" s="2211" t="s">
        <v>6037</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ht="15"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ht="15" outlineLevel="1">
      <c r="A2658" s="2126">
        <f t="shared" si="534"/>
        <v>1</v>
      </c>
      <c r="B2658" s="2196" t="s">
        <v>1504</v>
      </c>
      <c r="C2658" s="2202"/>
      <c r="D2658" s="2096">
        <v>0</v>
      </c>
      <c r="E2658" s="2138" t="s">
        <v>5081</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ht="15"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ht="15"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ht="15"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ht="15" outlineLevel="1">
      <c r="A2662" s="2126" t="str">
        <f t="shared" si="534"/>
        <v/>
      </c>
      <c r="B2662" s="2196" t="s">
        <v>523</v>
      </c>
      <c r="C2662" s="2202"/>
      <c r="D2662" s="2096">
        <v>0</v>
      </c>
      <c r="E2662" s="2138" t="s">
        <v>5170</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ht="15" outlineLevel="1">
      <c r="A2663" s="2126" t="str">
        <f t="shared" si="534"/>
        <v/>
      </c>
      <c r="B2663" s="2196" t="s">
        <v>1581</v>
      </c>
      <c r="C2663" s="2202"/>
      <c r="D2663" s="2096">
        <v>0</v>
      </c>
      <c r="E2663" s="2138" t="s">
        <v>5628</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ht="15" outlineLevel="1">
      <c r="A2664" s="2126">
        <f>IF(G2664=0,0,1)</f>
        <v>1</v>
      </c>
      <c r="B2664" s="2196" t="s">
        <v>791</v>
      </c>
      <c r="C2664" s="2212"/>
      <c r="D2664" s="2096" t="s">
        <v>5253</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ht="15" outlineLevel="1">
      <c r="A2665" s="2126">
        <f>IF(G2665=0,0,1)</f>
        <v>1</v>
      </c>
      <c r="B2665" s="2196" t="s">
        <v>795</v>
      </c>
      <c r="C2665" s="2212"/>
      <c r="D2665" s="2096" t="s">
        <v>5242</v>
      </c>
      <c r="E2665" s="2138" t="s">
        <v>5254</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ht="15" outlineLevel="1">
      <c r="A2666" s="2126">
        <f>IF(G2666=0,0,1)</f>
        <v>1</v>
      </c>
      <c r="B2666" s="2196" t="s">
        <v>899</v>
      </c>
      <c r="C2666" s="2212"/>
      <c r="D2666" s="2096" t="s">
        <v>5268</v>
      </c>
      <c r="E2666" s="2138" t="s">
        <v>5269</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ht="15" outlineLevel="1">
      <c r="A2667" s="2126">
        <f>IF(G2667&lt;&gt;0,1,"")</f>
        <v>1</v>
      </c>
      <c r="B2667" s="2196" t="s">
        <v>6182</v>
      </c>
      <c r="C2667" s="2202"/>
      <c r="D2667" s="2096" t="s">
        <v>5262</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ht="15" outlineLevel="1">
      <c r="A2668" s="2126">
        <f>IF(G2668&lt;&gt;0,1,"")</f>
        <v>1</v>
      </c>
      <c r="B2668" s="2205"/>
      <c r="C2668" s="2407">
        <f>IF(G2668&gt;0,C2655+1,C2655)</f>
        <v>5</v>
      </c>
      <c r="D2668" s="2425"/>
      <c r="E2668" s="2409" t="s">
        <v>6113</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5" outlineLevel="1">
      <c r="A2669" s="2126">
        <f>A2668</f>
        <v>1</v>
      </c>
      <c r="B2669" s="2205"/>
      <c r="C2669" s="2202"/>
      <c r="D2669" s="2203"/>
      <c r="E2669" s="2211" t="s">
        <v>6037</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ht="15" outlineLevel="1">
      <c r="A2670" s="2126">
        <f>IF(G2670&lt;&gt;0,1,"")</f>
        <v>1</v>
      </c>
      <c r="B2670" s="2196" t="s">
        <v>6183</v>
      </c>
      <c r="C2670" s="2212"/>
      <c r="D2670" s="2096" t="s">
        <v>5548</v>
      </c>
      <c r="E2670" s="2138" t="s">
        <v>5552</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ht="15" outlineLevel="1">
      <c r="A2671" s="2126">
        <f>IF(G2671&lt;&gt;0,1,"")</f>
        <v>1</v>
      </c>
      <c r="B2671" s="2196" t="s">
        <v>877</v>
      </c>
      <c r="C2671" s="2202"/>
      <c r="D2671" s="2096">
        <v>0</v>
      </c>
      <c r="E2671" s="2138" t="s">
        <v>5713</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ht="15" outlineLevel="1">
      <c r="A2672" s="2126">
        <f>IF(G2672&lt;&gt;0,1,"")</f>
        <v>1</v>
      </c>
      <c r="B2672" s="2196" t="s">
        <v>288</v>
      </c>
      <c r="C2672" s="2212"/>
      <c r="D2672" s="2096">
        <v>0</v>
      </c>
      <c r="E2672" s="2138" t="s">
        <v>5627</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ht="15"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5" outlineLevel="1">
      <c r="A2674" s="2126" t="str">
        <f>A2673</f>
        <v/>
      </c>
      <c r="B2674" s="2196"/>
      <c r="C2674" s="2202"/>
      <c r="D2674" s="2203"/>
      <c r="E2674" s="2211" t="s">
        <v>6037</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ht="15" outlineLevel="1">
      <c r="A2675" s="2126" t="str">
        <f t="shared" ref="A2675:A2683" si="540">IF(G2675&lt;&gt;0,1,"")</f>
        <v/>
      </c>
      <c r="B2675" s="2498" t="s">
        <v>749</v>
      </c>
      <c r="C2675" s="2212"/>
      <c r="D2675" s="2096">
        <v>0</v>
      </c>
      <c r="E2675" s="2303" t="s">
        <v>6279</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ht="15" outlineLevel="1">
      <c r="A2676" s="2126" t="str">
        <f t="shared" si="540"/>
        <v/>
      </c>
      <c r="B2676" s="2498" t="s">
        <v>518</v>
      </c>
      <c r="C2676" s="2212"/>
      <c r="D2676" s="2096">
        <v>0</v>
      </c>
      <c r="E2676" s="2303" t="s">
        <v>6280</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ht="15" outlineLevel="1">
      <c r="A2677" s="2126" t="str">
        <f t="shared" si="540"/>
        <v/>
      </c>
      <c r="B2677" s="2498" t="s">
        <v>1671</v>
      </c>
      <c r="C2677" s="2212"/>
      <c r="D2677" s="2096">
        <v>0</v>
      </c>
      <c r="E2677" s="2303" t="s">
        <v>6281</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ht="15" outlineLevel="1">
      <c r="A2678" s="2126" t="str">
        <f t="shared" si="540"/>
        <v/>
      </c>
      <c r="B2678" s="2498" t="s">
        <v>1672</v>
      </c>
      <c r="C2678" s="2212"/>
      <c r="D2678" s="2096" t="s">
        <v>5208</v>
      </c>
      <c r="E2678" s="2303" t="s">
        <v>6282</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ht="15"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ht="15" outlineLevel="1">
      <c r="A2680" s="2126" t="str">
        <f t="shared" si="540"/>
        <v/>
      </c>
      <c r="B2680" s="2498" t="s">
        <v>1674</v>
      </c>
      <c r="C2680" s="2212"/>
      <c r="D2680" s="2096" t="s">
        <v>5250</v>
      </c>
      <c r="E2680" s="2303" t="s">
        <v>6283</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ht="15" outlineLevel="1">
      <c r="A2681" s="2126" t="str">
        <f t="shared" si="540"/>
        <v/>
      </c>
      <c r="B2681" s="2498" t="s">
        <v>144</v>
      </c>
      <c r="C2681" s="2212"/>
      <c r="D2681" s="2096" t="s">
        <v>5244</v>
      </c>
      <c r="E2681" s="2303" t="s">
        <v>6284</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ht="15" outlineLevel="1">
      <c r="A2682" s="2126" t="str">
        <f t="shared" si="540"/>
        <v/>
      </c>
      <c r="B2682" s="2498" t="s">
        <v>527</v>
      </c>
      <c r="C2682" s="2212"/>
      <c r="D2682" s="2096" t="s">
        <v>5249</v>
      </c>
      <c r="E2682" s="2303" t="s">
        <v>6285</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ht="15"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5" outlineLevel="1">
      <c r="A2684" s="2126" t="str">
        <f>A2683</f>
        <v/>
      </c>
      <c r="B2684" s="2205"/>
      <c r="C2684" s="2202"/>
      <c r="D2684" s="2203"/>
      <c r="E2684" s="2211" t="s">
        <v>6037</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ht="15" outlineLevel="1">
      <c r="A2685" s="2126" t="str">
        <f t="shared" ref="A2685:A2692" si="541">IF(G2685&lt;&gt;0,1,"")</f>
        <v/>
      </c>
      <c r="B2685" s="2205" t="s">
        <v>620</v>
      </c>
      <c r="C2685" s="2212"/>
      <c r="D2685" s="2096" t="s">
        <v>5223</v>
      </c>
      <c r="E2685" s="2138" t="s">
        <v>5224</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ht="15"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ht="15"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ht="15"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ht="15"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ht="15" outlineLevel="1">
      <c r="A2690" s="2126" t="str">
        <f t="shared" si="541"/>
        <v/>
      </c>
      <c r="B2690" s="2205" t="s">
        <v>1406</v>
      </c>
      <c r="C2690" s="2202"/>
      <c r="D2690" s="2096" t="s">
        <v>5258</v>
      </c>
      <c r="E2690" s="2138" t="s">
        <v>5259</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ht="15" outlineLevel="1">
      <c r="A2691" s="2126" t="str">
        <f t="shared" si="541"/>
        <v/>
      </c>
      <c r="B2691" s="2205" t="s">
        <v>288</v>
      </c>
      <c r="C2691" s="2212"/>
      <c r="D2691" s="2096">
        <v>0</v>
      </c>
      <c r="E2691" s="2138" t="s">
        <v>5627</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8.5"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5" outlineLevel="1">
      <c r="A2693" s="2126" t="str">
        <f>A2692</f>
        <v/>
      </c>
      <c r="B2693" s="2205"/>
      <c r="C2693" s="2202"/>
      <c r="D2693" s="2203"/>
      <c r="E2693" s="2218" t="s">
        <v>6037</v>
      </c>
      <c r="F2693" s="2202"/>
      <c r="G2693" s="2207"/>
      <c r="H2693" s="2208"/>
      <c r="I2693" s="2208"/>
      <c r="J2693" s="2208"/>
      <c r="K2693" s="2208"/>
      <c r="L2693" s="2208"/>
      <c r="M2693" s="2208"/>
      <c r="N2693" s="2208"/>
      <c r="O2693" s="2208"/>
      <c r="P2693" s="2209"/>
      <c r="Q2693" s="2210"/>
      <c r="R2693" s="2210"/>
      <c r="S2693" s="2210"/>
    </row>
    <row r="2694" spans="1:19" s="2049" customFormat="1" ht="15" outlineLevel="1">
      <c r="A2694" s="2126" t="str">
        <f>IF(G2694&lt;&gt;0,1,"")</f>
        <v/>
      </c>
      <c r="B2694" s="2196" t="s">
        <v>468</v>
      </c>
      <c r="C2694" s="2212"/>
      <c r="D2694" s="2096">
        <v>0</v>
      </c>
      <c r="E2694" s="2138" t="s">
        <v>6286</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ht="15" outlineLevel="1">
      <c r="A2695" s="2126" t="str">
        <f>IF(G2695&lt;&gt;0,1,"")</f>
        <v/>
      </c>
      <c r="B2695" s="2196" t="s">
        <v>270</v>
      </c>
      <c r="C2695" s="2212"/>
      <c r="D2695" s="2096">
        <v>0</v>
      </c>
      <c r="E2695" s="2138" t="s">
        <v>6287</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ht="15" outlineLevel="1">
      <c r="A2696" s="2126" t="str">
        <f t="shared" ref="A2696:A2702" si="542">IF(G2696&lt;&gt;0,1,"")</f>
        <v/>
      </c>
      <c r="B2696" s="2196" t="s">
        <v>270</v>
      </c>
      <c r="C2696" s="2212"/>
      <c r="D2696" s="2096">
        <v>0</v>
      </c>
      <c r="E2696" s="2138" t="s">
        <v>6288</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ht="15"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ht="15" outlineLevel="1">
      <c r="A2698" s="2126" t="str">
        <f t="shared" si="542"/>
        <v/>
      </c>
      <c r="B2698" s="2196" t="s">
        <v>468</v>
      </c>
      <c r="C2698" s="2212"/>
      <c r="D2698" s="2096">
        <v>0</v>
      </c>
      <c r="E2698" s="2138" t="s">
        <v>6289</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ht="15" outlineLevel="1">
      <c r="A2699" s="2126" t="str">
        <f t="shared" si="542"/>
        <v/>
      </c>
      <c r="B2699" s="2196" t="s">
        <v>270</v>
      </c>
      <c r="C2699" s="2212"/>
      <c r="D2699" s="2096">
        <v>0</v>
      </c>
      <c r="E2699" s="2138" t="s">
        <v>6290</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ht="15"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ht="15" outlineLevel="1">
      <c r="A2701" s="2126" t="str">
        <f t="shared" si="542"/>
        <v/>
      </c>
      <c r="B2701" s="2196" t="s">
        <v>1670</v>
      </c>
      <c r="C2701" s="2212"/>
      <c r="D2701" s="2096" t="s">
        <v>5376</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ht="15"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ht="15"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ht="15" outlineLevel="1">
      <c r="A2704" s="2126" t="str">
        <f>IF(G2704&lt;&gt;0,1,"")</f>
        <v/>
      </c>
      <c r="B2704" s="2196" t="s">
        <v>1521</v>
      </c>
      <c r="C2704" s="2212"/>
      <c r="D2704" s="2096" t="s">
        <v>5487</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ht="15"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ht="15" outlineLevel="1">
      <c r="A2706" s="2126">
        <f>IF(G2706&lt;&gt;0,1,"")</f>
        <v>1</v>
      </c>
      <c r="B2706" s="2205"/>
      <c r="C2706" s="2407">
        <f>IF(G2706&gt;0,C2692+1,C2692)</f>
        <v>6</v>
      </c>
      <c r="D2706" s="2425"/>
      <c r="E2706" s="2409" t="s">
        <v>6167</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5" outlineLevel="1">
      <c r="A2707" s="2126">
        <f>A2706</f>
        <v>1</v>
      </c>
      <c r="B2707" s="2205"/>
      <c r="C2707" s="2202"/>
      <c r="D2707" s="2203"/>
      <c r="E2707" s="2211" t="s">
        <v>6037</v>
      </c>
      <c r="F2707" s="2202"/>
      <c r="G2707" s="2207"/>
      <c r="H2707" s="2208"/>
      <c r="I2707" s="2208"/>
      <c r="J2707" s="2208"/>
      <c r="K2707" s="2208"/>
      <c r="L2707" s="2208"/>
      <c r="M2707" s="2208"/>
      <c r="N2707" s="2208"/>
      <c r="O2707" s="2208"/>
      <c r="P2707" s="2333"/>
      <c r="Q2707" s="2210"/>
      <c r="R2707" s="2210"/>
      <c r="S2707" s="2210"/>
    </row>
    <row r="2708" spans="1:19" s="2049" customFormat="1" ht="15" outlineLevel="1">
      <c r="A2708" s="2126">
        <f t="shared" ref="A2708:A2762" si="547">IF(G2708&lt;&gt;0,1,"")</f>
        <v>1</v>
      </c>
      <c r="B2708" s="2196" t="s">
        <v>6176</v>
      </c>
      <c r="C2708" s="2212"/>
      <c r="D2708" s="2096">
        <v>0</v>
      </c>
      <c r="E2708" s="2138" t="s">
        <v>5000</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ht="15" outlineLevel="1">
      <c r="A2709" s="2126">
        <f t="shared" si="547"/>
        <v>1</v>
      </c>
      <c r="B2709" s="2301" t="s">
        <v>5614</v>
      </c>
      <c r="C2709" s="2212"/>
      <c r="D2709" s="2096">
        <v>0</v>
      </c>
      <c r="E2709" s="2138" t="s">
        <v>5615</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ht="15" outlineLevel="1">
      <c r="A2710" s="2126">
        <f t="shared" si="547"/>
        <v>1</v>
      </c>
      <c r="B2710" s="2301" t="s">
        <v>5620</v>
      </c>
      <c r="C2710" s="2212"/>
      <c r="D2710" s="2096">
        <v>0</v>
      </c>
      <c r="E2710" s="2138" t="s">
        <v>5621</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ht="15" outlineLevel="1">
      <c r="A2711" s="2126">
        <f t="shared" si="547"/>
        <v>1</v>
      </c>
      <c r="B2711" s="2301" t="s">
        <v>5622</v>
      </c>
      <c r="C2711" s="2212"/>
      <c r="D2711" s="2096">
        <v>0</v>
      </c>
      <c r="E2711" s="2138" t="s">
        <v>5623</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ht="15" outlineLevel="1">
      <c r="A2712" s="2126">
        <f t="shared" si="547"/>
        <v>1</v>
      </c>
      <c r="B2712" s="2301" t="s">
        <v>5612</v>
      </c>
      <c r="C2712" s="2212"/>
      <c r="D2712" s="2096"/>
      <c r="E2712" s="2138" t="s">
        <v>5613</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ht="15"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ht="15" outlineLevel="1">
      <c r="A2714" s="2126">
        <f t="shared" si="547"/>
        <v>1</v>
      </c>
      <c r="B2714" s="2301" t="s">
        <v>1473</v>
      </c>
      <c r="C2714" s="2212"/>
      <c r="D2714" s="2096">
        <v>0</v>
      </c>
      <c r="E2714" s="2138" t="s">
        <v>6250</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ht="15"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ht="15"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ht="15" outlineLevel="1">
      <c r="A2717" s="2126">
        <f>IF(G2717&lt;&gt;0,1,"")</f>
        <v>1</v>
      </c>
      <c r="B2717" s="2237" t="s">
        <v>6184</v>
      </c>
      <c r="C2717" s="2212"/>
      <c r="D2717" s="2096">
        <v>0</v>
      </c>
      <c r="E2717" s="2138" t="s">
        <v>5064</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ht="15" outlineLevel="1">
      <c r="A2718" s="2126">
        <f t="shared" si="547"/>
        <v>1</v>
      </c>
      <c r="B2718" s="2196" t="s">
        <v>1561</v>
      </c>
      <c r="C2718" s="2212"/>
      <c r="D2718" s="2096" t="s">
        <v>5477</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ht="15" outlineLevel="1">
      <c r="A2719" s="2126">
        <f t="shared" si="547"/>
        <v>1</v>
      </c>
      <c r="B2719" s="2196" t="s">
        <v>1521</v>
      </c>
      <c r="C2719" s="2212"/>
      <c r="D2719" s="2096" t="s">
        <v>5487</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ht="15"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5" outlineLevel="1">
      <c r="A2721" s="2126">
        <f>A2720</f>
        <v>1</v>
      </c>
      <c r="B2721" s="2205"/>
      <c r="C2721" s="2202"/>
      <c r="D2721" s="2203"/>
      <c r="E2721" s="2211" t="s">
        <v>6037</v>
      </c>
      <c r="F2721" s="2202"/>
      <c r="G2721" s="2213"/>
      <c r="H2721" s="2208"/>
      <c r="I2721" s="2208"/>
      <c r="J2721" s="2208"/>
      <c r="K2721" s="2208"/>
      <c r="L2721" s="2208"/>
      <c r="M2721" s="2208"/>
      <c r="N2721" s="2208"/>
      <c r="O2721" s="2208"/>
      <c r="P2721" s="2333"/>
      <c r="Q2721" s="2210"/>
      <c r="R2721" s="2210"/>
      <c r="S2721" s="2210"/>
    </row>
    <row r="2722" spans="1:19" s="2049" customFormat="1" ht="15" outlineLevel="1">
      <c r="A2722" s="2126">
        <f t="shared" si="547"/>
        <v>1</v>
      </c>
      <c r="B2722" s="2205" t="s">
        <v>4679</v>
      </c>
      <c r="C2722" s="2212"/>
      <c r="D2722" s="2096">
        <v>0</v>
      </c>
      <c r="E2722" s="2138" t="s">
        <v>6292</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ht="15" outlineLevel="1">
      <c r="A2723" s="2126">
        <f t="shared" si="547"/>
        <v>1</v>
      </c>
      <c r="B2723" s="2205" t="s">
        <v>2151</v>
      </c>
      <c r="C2723" s="2212"/>
      <c r="D2723" s="2096" t="s">
        <v>5645</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ht="15"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ht="15"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ht="15"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ht="15" outlineLevel="1">
      <c r="A2727" s="2126">
        <f t="shared" si="547"/>
        <v>1</v>
      </c>
      <c r="B2727" s="2196" t="s">
        <v>6</v>
      </c>
      <c r="C2727" s="2212"/>
      <c r="D2727" s="2096"/>
      <c r="E2727" s="2138" t="s">
        <v>3552</v>
      </c>
      <c r="F2727" s="2096" t="s">
        <v>5720</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ht="15"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ht="15" outlineLevel="1">
      <c r="A2729" s="2126">
        <f t="shared" si="547"/>
        <v>1</v>
      </c>
      <c r="B2729" s="2196" t="s">
        <v>669</v>
      </c>
      <c r="C2729" s="2212"/>
      <c r="D2729" s="2096">
        <v>0</v>
      </c>
      <c r="E2729" s="2138" t="s">
        <v>5715</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ht="15" outlineLevel="1">
      <c r="A2730" s="2126">
        <f t="shared" si="547"/>
        <v>1</v>
      </c>
      <c r="B2730" s="2196" t="s">
        <v>246</v>
      </c>
      <c r="C2730" s="2212"/>
      <c r="D2730" s="2096" t="s">
        <v>5489</v>
      </c>
      <c r="E2730" s="2138" t="s">
        <v>5490</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ht="15" outlineLevel="1">
      <c r="A2731" s="2126" t="str">
        <f t="shared" si="547"/>
        <v/>
      </c>
      <c r="B2731" s="2424"/>
      <c r="C2731" s="2407">
        <f>IF(G2731&gt;0,C2720+1,C2720)</f>
        <v>7</v>
      </c>
      <c r="D2731" s="2425"/>
      <c r="E2731" s="2409" t="s">
        <v>6126</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5" outlineLevel="1">
      <c r="A2732" s="2126" t="str">
        <f>A2731</f>
        <v/>
      </c>
      <c r="B2732" s="2205"/>
      <c r="C2732" s="2202"/>
      <c r="D2732" s="2203"/>
      <c r="E2732" s="2211" t="s">
        <v>6037</v>
      </c>
      <c r="F2732" s="2212"/>
      <c r="G2732" s="2214"/>
      <c r="H2732" s="2208"/>
      <c r="I2732" s="2208"/>
      <c r="J2732" s="2208"/>
      <c r="K2732" s="2208"/>
      <c r="L2732" s="2208"/>
      <c r="M2732" s="2208"/>
      <c r="N2732" s="2209"/>
      <c r="O2732" s="2208"/>
      <c r="P2732" s="2333"/>
      <c r="Q2732" s="2210"/>
      <c r="R2732" s="2210"/>
      <c r="S2732" s="2210"/>
    </row>
    <row r="2733" spans="1:19" s="2049" customFormat="1" ht="15" outlineLevel="1">
      <c r="A2733" s="2126" t="str">
        <f t="shared" si="547"/>
        <v/>
      </c>
      <c r="B2733" s="2205" t="s">
        <v>650</v>
      </c>
      <c r="C2733" s="2212"/>
      <c r="D2733" s="2096">
        <v>0</v>
      </c>
      <c r="E2733" s="2138" t="s">
        <v>5207</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ht="15"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ht="15"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ht="15" outlineLevel="1">
      <c r="A2736" s="2126" t="str">
        <f t="shared" si="547"/>
        <v/>
      </c>
      <c r="B2736" s="2205" t="s">
        <v>651</v>
      </c>
      <c r="C2736" s="2212"/>
      <c r="D2736" s="2096" t="s">
        <v>5388</v>
      </c>
      <c r="E2736" s="2138" t="s">
        <v>5391</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ht="15" outlineLevel="1">
      <c r="A2737" s="2126">
        <f t="shared" si="547"/>
        <v>1</v>
      </c>
      <c r="B2737" s="2419"/>
      <c r="C2737" s="2407">
        <f>IF(G2737&gt;0,C2731+1,C2731)</f>
        <v>8</v>
      </c>
      <c r="D2737" s="2408"/>
      <c r="E2737" s="2409" t="s">
        <v>6185</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5" outlineLevel="1">
      <c r="A2738" s="2126" t="str">
        <f t="shared" si="547"/>
        <v/>
      </c>
      <c r="B2738" s="2205"/>
      <c r="C2738" s="2202"/>
      <c r="D2738" s="2203"/>
      <c r="E2738" s="2211" t="s">
        <v>6037</v>
      </c>
      <c r="F2738" s="2212"/>
      <c r="G2738" s="2214"/>
      <c r="H2738" s="2208"/>
      <c r="I2738" s="2208"/>
      <c r="J2738" s="2208"/>
      <c r="K2738" s="2208">
        <v>0</v>
      </c>
      <c r="L2738" s="2208">
        <v>0</v>
      </c>
      <c r="M2738" s="2208">
        <v>0</v>
      </c>
      <c r="N2738" s="2209"/>
      <c r="O2738" s="2208"/>
      <c r="P2738" s="2333"/>
      <c r="Q2738" s="2210"/>
      <c r="R2738" s="2210"/>
      <c r="S2738" s="2210"/>
    </row>
    <row r="2739" spans="1:19" s="2049" customFormat="1" ht="15" outlineLevel="1">
      <c r="A2739" s="2126">
        <f>A2737</f>
        <v>1</v>
      </c>
      <c r="B2739" s="2205"/>
      <c r="C2739" s="2202"/>
      <c r="D2739" s="2203"/>
      <c r="E2739" s="2211" t="s">
        <v>6037</v>
      </c>
      <c r="F2739" s="2212"/>
      <c r="G2739" s="2214"/>
      <c r="H2739" s="2208"/>
      <c r="I2739" s="2208"/>
      <c r="J2739" s="2208"/>
      <c r="K2739" s="2208"/>
      <c r="L2739" s="2208"/>
      <c r="M2739" s="2208"/>
      <c r="N2739" s="2209"/>
      <c r="O2739" s="2208"/>
      <c r="P2739" s="2333"/>
      <c r="Q2739" s="2210"/>
      <c r="R2739" s="2210"/>
      <c r="S2739" s="2210"/>
    </row>
    <row r="2740" spans="1:19" s="2049" customFormat="1" ht="15" outlineLevel="1">
      <c r="A2740" s="2126">
        <f t="shared" si="547"/>
        <v>1</v>
      </c>
      <c r="B2740" s="2428" t="s">
        <v>2003</v>
      </c>
      <c r="C2740" s="2212"/>
      <c r="D2740" s="2096">
        <v>0</v>
      </c>
      <c r="E2740" s="2138" t="s">
        <v>5165</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ht="15" outlineLevel="1">
      <c r="A2741" s="2126">
        <f t="shared" si="547"/>
        <v>1</v>
      </c>
      <c r="B2741" s="2429" t="s">
        <v>6147</v>
      </c>
      <c r="C2741" s="2212"/>
      <c r="D2741" s="2096">
        <v>0</v>
      </c>
      <c r="E2741" s="2138" t="s">
        <v>5401</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ht="15" outlineLevel="1">
      <c r="A2742" s="2126">
        <f t="shared" si="547"/>
        <v>1</v>
      </c>
      <c r="B2742" s="2431" t="s">
        <v>5402</v>
      </c>
      <c r="C2742" s="2212"/>
      <c r="D2742" s="2096">
        <v>0</v>
      </c>
      <c r="E2742" s="2138" t="s">
        <v>5403</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ht="15" outlineLevel="1">
      <c r="A2743" s="2126">
        <f t="shared" si="547"/>
        <v>1</v>
      </c>
      <c r="B2743" s="2432" t="s">
        <v>583</v>
      </c>
      <c r="C2743" s="2212"/>
      <c r="D2743" s="2096" t="s">
        <v>5396</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ht="15" outlineLevel="1">
      <c r="A2744" s="2126">
        <f t="shared" si="547"/>
        <v>1</v>
      </c>
      <c r="B2744" s="2205" t="s">
        <v>651</v>
      </c>
      <c r="C2744" s="2212"/>
      <c r="D2744" s="2096" t="s">
        <v>5388</v>
      </c>
      <c r="E2744" s="2138" t="s">
        <v>5391</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ht="15" outlineLevel="1">
      <c r="A2745" s="2126">
        <f t="shared" si="547"/>
        <v>1</v>
      </c>
      <c r="B2745" s="2433" t="s">
        <v>1950</v>
      </c>
      <c r="C2745" s="2212"/>
      <c r="D2745" s="2096" t="s">
        <v>5388</v>
      </c>
      <c r="E2745" s="2138" t="s">
        <v>5389</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ht="15" outlineLevel="1">
      <c r="A2746" s="2126">
        <f t="shared" si="547"/>
        <v>1</v>
      </c>
      <c r="B2746" s="2419"/>
      <c r="C2746" s="2407">
        <f>IF(G2746&gt;0,C2737+1,C2737)</f>
        <v>9</v>
      </c>
      <c r="D2746" s="2408"/>
      <c r="E2746" s="2409" t="s">
        <v>6148</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5" outlineLevel="1">
      <c r="A2747" s="2126" t="str">
        <f t="shared" si="547"/>
        <v/>
      </c>
      <c r="B2747" s="2205"/>
      <c r="C2747" s="2202"/>
      <c r="D2747" s="2203"/>
      <c r="E2747" s="2211" t="s">
        <v>6037</v>
      </c>
      <c r="F2747" s="2212"/>
      <c r="G2747" s="2214"/>
      <c r="H2747" s="2208"/>
      <c r="I2747" s="2208"/>
      <c r="J2747" s="2208"/>
      <c r="K2747" s="2208">
        <v>0</v>
      </c>
      <c r="L2747" s="2208">
        <v>0</v>
      </c>
      <c r="M2747" s="2208">
        <v>0</v>
      </c>
      <c r="N2747" s="2209"/>
      <c r="O2747" s="2208"/>
      <c r="P2747" s="2333"/>
      <c r="Q2747" s="2210"/>
      <c r="R2747" s="2210"/>
      <c r="S2747" s="2210"/>
    </row>
    <row r="2748" spans="1:19" s="2049" customFormat="1" ht="15" outlineLevel="1">
      <c r="A2748" s="2126">
        <f>A2746</f>
        <v>1</v>
      </c>
      <c r="B2748" s="2205"/>
      <c r="C2748" s="2202"/>
      <c r="D2748" s="2203"/>
      <c r="E2748" s="2211" t="s">
        <v>6037</v>
      </c>
      <c r="F2748" s="2212"/>
      <c r="G2748" s="2214"/>
      <c r="H2748" s="2208"/>
      <c r="I2748" s="2208"/>
      <c r="J2748" s="2208"/>
      <c r="K2748" s="2208"/>
      <c r="L2748" s="2208"/>
      <c r="M2748" s="2208"/>
      <c r="N2748" s="2209"/>
      <c r="O2748" s="2208"/>
      <c r="P2748" s="2333"/>
      <c r="Q2748" s="2210"/>
      <c r="R2748" s="2210"/>
      <c r="S2748" s="2210"/>
    </row>
    <row r="2749" spans="1:19" s="2049" customFormat="1" ht="15" outlineLevel="1">
      <c r="A2749" s="2126">
        <f t="shared" si="547"/>
        <v>1</v>
      </c>
      <c r="B2749" s="2205" t="s">
        <v>5220</v>
      </c>
      <c r="C2749" s="2212"/>
      <c r="D2749" s="2096" t="s">
        <v>5221</v>
      </c>
      <c r="E2749" s="2138" t="s">
        <v>5222</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ht="15" outlineLevel="1">
      <c r="A2750" s="2126">
        <f t="shared" si="547"/>
        <v>1</v>
      </c>
      <c r="B2750" s="2205" t="s">
        <v>5281</v>
      </c>
      <c r="C2750" s="2212"/>
      <c r="D2750" s="2096" t="s">
        <v>5282</v>
      </c>
      <c r="E2750" s="2138" t="s">
        <v>5283</v>
      </c>
      <c r="F2750" s="2096" t="s">
        <v>5284</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ht="15" outlineLevel="1">
      <c r="A2751" s="2126">
        <f t="shared" si="547"/>
        <v>1</v>
      </c>
      <c r="B2751" s="2205" t="s">
        <v>5082</v>
      </c>
      <c r="C2751" s="2212"/>
      <c r="D2751" s="2096">
        <v>0</v>
      </c>
      <c r="E2751" s="2138" t="s">
        <v>5083</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ht="15" outlineLevel="1">
      <c r="A2752" s="2126">
        <f t="shared" si="547"/>
        <v>1</v>
      </c>
      <c r="B2752" s="2205" t="s">
        <v>5084</v>
      </c>
      <c r="C2752" s="2212"/>
      <c r="D2752" s="2096">
        <v>0</v>
      </c>
      <c r="E2752" s="2138" t="s">
        <v>5085</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ht="15"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ht="15" outlineLevel="1">
      <c r="A2754" s="2126">
        <f t="shared" si="547"/>
        <v>1</v>
      </c>
      <c r="B2754" s="2205" t="s">
        <v>6149</v>
      </c>
      <c r="C2754" s="2212"/>
      <c r="D2754" s="2096">
        <v>0</v>
      </c>
      <c r="E2754" s="2138" t="s">
        <v>5228</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ht="15" outlineLevel="1">
      <c r="A2755" s="2126">
        <f t="shared" si="547"/>
        <v>1</v>
      </c>
      <c r="B2755" s="2205" t="s">
        <v>742</v>
      </c>
      <c r="C2755" s="2212"/>
      <c r="D2755" s="2096">
        <v>0</v>
      </c>
      <c r="E2755" s="2138" t="s">
        <v>5164</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ht="15" outlineLevel="1">
      <c r="A2756" s="2126">
        <f t="shared" si="547"/>
        <v>1</v>
      </c>
      <c r="B2756" s="2205" t="s">
        <v>4976</v>
      </c>
      <c r="C2756" s="2212"/>
      <c r="D2756" s="2096">
        <v>0</v>
      </c>
      <c r="E2756" s="2138" t="s">
        <v>4977</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ht="15" outlineLevel="1">
      <c r="A2757" s="2126">
        <f t="shared" si="547"/>
        <v>1</v>
      </c>
      <c r="B2757" s="2205" t="s">
        <v>6147</v>
      </c>
      <c r="C2757" s="2212"/>
      <c r="D2757" s="2096">
        <v>0</v>
      </c>
      <c r="E2757" s="2138" t="s">
        <v>5401</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ht="15"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ht="15" outlineLevel="1">
      <c r="A2759" s="2126">
        <f t="shared" si="547"/>
        <v>1</v>
      </c>
      <c r="B2759" s="2205" t="s">
        <v>5404</v>
      </c>
      <c r="C2759" s="2212"/>
      <c r="D2759" s="2096" t="s">
        <v>5405</v>
      </c>
      <c r="E2759" s="2138" t="s">
        <v>5406</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ht="15" outlineLevel="1">
      <c r="A2760" s="2126">
        <f t="shared" si="547"/>
        <v>1</v>
      </c>
      <c r="B2760" s="2205" t="s">
        <v>9</v>
      </c>
      <c r="C2760" s="2212"/>
      <c r="D2760" s="2096" t="s">
        <v>5395</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ht="15" outlineLevel="1">
      <c r="A2761" s="2126">
        <f t="shared" si="547"/>
        <v>1</v>
      </c>
      <c r="B2761" s="2205" t="s">
        <v>651</v>
      </c>
      <c r="C2761" s="2212"/>
      <c r="D2761" s="2096" t="s">
        <v>5388</v>
      </c>
      <c r="E2761" s="2138" t="s">
        <v>5391</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ht="15" outlineLevel="1">
      <c r="A2762" s="2126">
        <f t="shared" si="547"/>
        <v>1</v>
      </c>
      <c r="B2762" s="2205" t="s">
        <v>5397</v>
      </c>
      <c r="C2762" s="2212"/>
      <c r="D2762" s="2096" t="s">
        <v>5398</v>
      </c>
      <c r="E2762" s="2138" t="s">
        <v>5399</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ht="15" outlineLevel="1">
      <c r="A2763" s="2126">
        <f>IF(G2763&lt;&gt;0,1,"")</f>
        <v>1</v>
      </c>
      <c r="B2763" s="2196"/>
      <c r="C2763" s="2407">
        <f>IF(G2763&gt;0,C2746+1,C2746)</f>
        <v>10</v>
      </c>
      <c r="D2763" s="2408"/>
      <c r="E2763" s="2409" t="s">
        <v>6157</v>
      </c>
      <c r="F2763" s="2410" t="s">
        <v>2379</v>
      </c>
      <c r="G2763" s="2411">
        <v>1</v>
      </c>
      <c r="H2763" s="2412"/>
      <c r="I2763" s="2414"/>
      <c r="J2763" s="2414"/>
      <c r="K2763" s="2415"/>
      <c r="L2763" s="2415"/>
      <c r="M2763" s="2415"/>
      <c r="N2763" s="2420"/>
      <c r="O2763" s="2420"/>
      <c r="P2763" s="2420"/>
      <c r="Q2763" s="2210"/>
      <c r="R2763" s="2210"/>
      <c r="S2763" s="2210"/>
    </row>
    <row r="2764" spans="1:19" s="2232" customFormat="1" ht="15" outlineLevel="1">
      <c r="A2764" s="2126">
        <f>A2763</f>
        <v>1</v>
      </c>
      <c r="B2764" s="2444"/>
      <c r="C2764" s="2202"/>
      <c r="D2764" s="2203"/>
      <c r="E2764" s="2218" t="s">
        <v>6037</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ht="15"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ht="15" outlineLevel="1">
      <c r="A2766" s="2126">
        <f>IF(G2766=0,0,1)</f>
        <v>0</v>
      </c>
      <c r="B2766" s="2196" t="s">
        <v>6158</v>
      </c>
      <c r="C2766" s="2212"/>
      <c r="D2766" s="2096">
        <v>0</v>
      </c>
      <c r="E2766" s="2303" t="s">
        <v>4971</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ht="15" outlineLevel="1">
      <c r="A2767" s="2126">
        <f>IF(G2767=0,0,1)</f>
        <v>1</v>
      </c>
      <c r="B2767" s="2196" t="s">
        <v>6159</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ht="15" outlineLevel="1">
      <c r="A2768" s="2126">
        <f t="shared" ref="A2768:A2785" si="564">IF(G2768=0,0,1)</f>
        <v>1</v>
      </c>
      <c r="B2768" s="2205" t="s">
        <v>245</v>
      </c>
      <c r="C2768" s="2333"/>
      <c r="D2768" s="2096">
        <v>0</v>
      </c>
      <c r="E2768" s="2303" t="s">
        <v>5783</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ht="15" outlineLevel="1">
      <c r="A2769" s="2126">
        <f t="shared" si="564"/>
        <v>1</v>
      </c>
      <c r="B2769" s="2205" t="s">
        <v>5648</v>
      </c>
      <c r="C2769" s="2212"/>
      <c r="D2769" s="2096" t="s">
        <v>5638</v>
      </c>
      <c r="E2769" s="2303" t="s">
        <v>5649</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ht="15"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ht="15"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ht="15"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ht="15"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ht="15"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ht="15"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ht="15"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ht="15" outlineLevel="1">
      <c r="A2777" s="2126">
        <f t="shared" si="564"/>
        <v>1</v>
      </c>
      <c r="B2777" s="2196" t="s">
        <v>669</v>
      </c>
      <c r="C2777" s="2212"/>
      <c r="D2777" s="2096">
        <v>0</v>
      </c>
      <c r="E2777" s="2303" t="s">
        <v>5715</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ht="15"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ht="15"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ht="15" outlineLevel="1">
      <c r="A2780" s="2126">
        <f t="shared" si="564"/>
        <v>1</v>
      </c>
      <c r="B2780" s="2196" t="s">
        <v>318</v>
      </c>
      <c r="C2780" s="2212"/>
      <c r="D2780" s="2096">
        <v>0</v>
      </c>
      <c r="E2780" s="2303" t="s">
        <v>5187</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ht="15" outlineLevel="1">
      <c r="A2781" s="2126">
        <f t="shared" si="564"/>
        <v>1</v>
      </c>
      <c r="B2781" s="2196" t="s">
        <v>1910</v>
      </c>
      <c r="C2781" s="2212"/>
      <c r="D2781" s="2096" t="s">
        <v>5570</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ht="15" outlineLevel="1">
      <c r="A2782" s="2126">
        <f t="shared" si="564"/>
        <v>1</v>
      </c>
      <c r="B2782" s="2196" t="s">
        <v>6</v>
      </c>
      <c r="C2782" s="2212"/>
      <c r="D2782" s="2096">
        <v>0</v>
      </c>
      <c r="E2782" s="2303" t="s">
        <v>3552</v>
      </c>
      <c r="F2782" s="2445" t="s">
        <v>5720</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ht="15"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ht="15" outlineLevel="1">
      <c r="A2784" s="2126">
        <f t="shared" si="564"/>
        <v>0</v>
      </c>
      <c r="B2784" s="2196" t="s">
        <v>1031</v>
      </c>
      <c r="C2784" s="2212"/>
      <c r="D2784" s="2096">
        <v>0</v>
      </c>
      <c r="E2784" s="2303" t="s">
        <v>6293</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ht="15" outlineLevel="1">
      <c r="A2785" s="2126">
        <f t="shared" si="564"/>
        <v>0</v>
      </c>
      <c r="B2785" s="2196" t="s">
        <v>6159</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6035</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ht="15"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ht="15"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ht="15" outlineLevel="1">
      <c r="A2790" s="2126">
        <f>A2788</f>
        <v>0</v>
      </c>
      <c r="B2790" s="2205" t="s">
        <v>6016</v>
      </c>
      <c r="C2790" s="2592" t="s">
        <v>1704</v>
      </c>
      <c r="D2790" s="2593" t="s">
        <v>2589</v>
      </c>
      <c r="E2790" s="2595" t="s">
        <v>2590</v>
      </c>
      <c r="F2790" s="2592" t="s">
        <v>2585</v>
      </c>
      <c r="G2790" s="2053" t="s">
        <v>6017</v>
      </c>
      <c r="H2790" s="2056" t="s">
        <v>6018</v>
      </c>
      <c r="I2790" s="2563"/>
      <c r="J2790" s="2563"/>
      <c r="K2790" s="2564"/>
      <c r="L2790" s="2056" t="s">
        <v>6019</v>
      </c>
      <c r="M2790" s="2563"/>
      <c r="N2790" s="2563"/>
      <c r="O2790" s="2564"/>
      <c r="P2790" s="2592" t="s">
        <v>2591</v>
      </c>
      <c r="Q2790" s="2210"/>
      <c r="R2790" s="2210"/>
      <c r="S2790" s="2210"/>
    </row>
    <row r="2791" spans="1:19" s="2049" customFormat="1" ht="15" outlineLevel="1">
      <c r="A2791" s="2126">
        <f>A2790</f>
        <v>0</v>
      </c>
      <c r="B2791" s="2205"/>
      <c r="C2791" s="2592"/>
      <c r="D2791" s="2594"/>
      <c r="E2791" s="2596"/>
      <c r="F2791" s="2592"/>
      <c r="G2791" s="2055" t="s">
        <v>2280</v>
      </c>
      <c r="H2791" s="2056" t="s">
        <v>6020</v>
      </c>
      <c r="I2791" s="2056" t="s">
        <v>6021</v>
      </c>
      <c r="J2791" s="2056" t="s">
        <v>6022</v>
      </c>
      <c r="K2791" s="2056" t="s">
        <v>6023</v>
      </c>
      <c r="L2791" s="2056" t="s">
        <v>6020</v>
      </c>
      <c r="M2791" s="2056" t="s">
        <v>6021</v>
      </c>
      <c r="N2791" s="2056" t="s">
        <v>6022</v>
      </c>
      <c r="O2791" s="2056" t="s">
        <v>6023</v>
      </c>
      <c r="P2791" s="2592"/>
      <c r="Q2791" s="2210"/>
      <c r="R2791" s="2210"/>
      <c r="S2791" s="2210"/>
    </row>
    <row r="2792" spans="1:19" s="2049" customFormat="1" ht="15"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ht="15" outlineLevel="1">
      <c r="A2793" s="2126" t="str">
        <f t="shared" ref="A2793:A2800" si="565">IF(G2793&lt;&gt;0,1,"")</f>
        <v/>
      </c>
      <c r="B2793" s="2196" t="str">
        <f>IF($F$8=15,"tr1000","tr10001")</f>
        <v>tr10001</v>
      </c>
      <c r="C2793" s="2212">
        <f>IF(G2793&gt;0,1,0)</f>
        <v>0</v>
      </c>
      <c r="D2793" s="2096" t="s">
        <v>5509</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ht="15" outlineLevel="1">
      <c r="A2794" s="2126" t="str">
        <f t="shared" si="565"/>
        <v/>
      </c>
      <c r="B2794" s="2062" t="s">
        <v>1648</v>
      </c>
      <c r="C2794" s="2212">
        <f>IF(G2794&gt;0,C2793+1,C2793)</f>
        <v>0</v>
      </c>
      <c r="D2794" s="2096" t="s">
        <v>5513</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ht="15"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ht="15" outlineLevel="1">
      <c r="A2796" s="2126" t="str">
        <f t="shared" si="565"/>
        <v/>
      </c>
      <c r="B2796" s="2205" t="str">
        <f>"LA"&amp;$F$6</f>
        <v>LA18</v>
      </c>
      <c r="C2796" s="2212">
        <f t="shared" si="570"/>
        <v>0</v>
      </c>
      <c r="D2796" s="2096" t="s">
        <v>5517</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ht="15" outlineLevel="1">
      <c r="A2797" s="2126" t="str">
        <f t="shared" si="565"/>
        <v/>
      </c>
      <c r="B2797" s="2301" t="s">
        <v>6186</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ht="15"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ht="15" outlineLevel="1">
      <c r="A2799" s="2126" t="str">
        <f t="shared" si="565"/>
        <v/>
      </c>
      <c r="B2799" s="2196" t="s">
        <v>5524</v>
      </c>
      <c r="C2799" s="2212">
        <f t="shared" si="570"/>
        <v>0</v>
      </c>
      <c r="D2799" s="2096">
        <v>0</v>
      </c>
      <c r="E2799" s="2138" t="s">
        <v>5525</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ht="15"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ht="15" outlineLevel="1">
      <c r="A2801" s="2126">
        <f>A2788</f>
        <v>0</v>
      </c>
      <c r="B2801" s="2205"/>
      <c r="C2801" s="2337"/>
      <c r="D2801" s="2338"/>
      <c r="E2801" s="2339"/>
      <c r="F2801" s="2337"/>
      <c r="G2801" s="2580"/>
      <c r="H2801" s="2337"/>
      <c r="I2801" s="2337"/>
      <c r="J2801" s="2061" t="s">
        <v>6025</v>
      </c>
      <c r="K2801" s="2337"/>
      <c r="L2801" s="2339">
        <f>SUM(L2793:L2800)</f>
        <v>0</v>
      </c>
      <c r="M2801" s="2339">
        <f>SUM(M2793:M2800)</f>
        <v>0</v>
      </c>
      <c r="N2801" s="2339">
        <f>SUM(N2793:N2800)</f>
        <v>0</v>
      </c>
      <c r="O2801" s="2339">
        <f>SUM(O2793:O2800)</f>
        <v>0</v>
      </c>
      <c r="P2801" s="2340"/>
      <c r="Q2801" s="2210"/>
      <c r="R2801" s="2210"/>
      <c r="S2801" s="2210"/>
    </row>
    <row r="2802" spans="1:19" s="2049" customFormat="1" ht="15"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ht="15" outlineLevel="1">
      <c r="A2803" s="2126" t="str">
        <f t="shared" ref="A2803:A2820" si="571">IF(G2803&lt;&gt;0,1,"")</f>
        <v/>
      </c>
      <c r="B2803" s="2345"/>
      <c r="C2803" s="2346">
        <f>IF(G2803&gt;0,1,0)</f>
        <v>0</v>
      </c>
      <c r="D2803" s="2096"/>
      <c r="E2803" s="2347" t="s">
        <v>6026</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ht="15"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ht="15"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ht="15"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ht="15" outlineLevel="1">
      <c r="A2807" s="2126" t="str">
        <f t="shared" si="571"/>
        <v/>
      </c>
      <c r="B2807" s="2345"/>
      <c r="C2807" s="2346">
        <f>IF(G2807&gt;0,1,0)</f>
        <v>0</v>
      </c>
      <c r="D2807" s="2096"/>
      <c r="E2807" s="2347" t="s">
        <v>6121</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ht="15"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ht="15"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ht="15"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ht="15"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ht="15" outlineLevel="1">
      <c r="A2812" s="2126" t="str">
        <f t="shared" si="571"/>
        <v/>
      </c>
      <c r="B2812" s="2301" t="s">
        <v>633</v>
      </c>
      <c r="C2812" s="2351"/>
      <c r="D2812" s="2096" t="s">
        <v>4965</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ht="15" outlineLevel="1">
      <c r="A2813" s="2126" t="str">
        <f t="shared" si="571"/>
        <v/>
      </c>
      <c r="B2813" s="2301" t="s">
        <v>564</v>
      </c>
      <c r="C2813" s="2351"/>
      <c r="D2813" s="2096"/>
      <c r="E2813" s="2352" t="s">
        <v>4990</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ht="15" outlineLevel="1">
      <c r="A2814" s="2126" t="str">
        <f t="shared" si="571"/>
        <v/>
      </c>
      <c r="B2814" s="2301" t="s">
        <v>636</v>
      </c>
      <c r="C2814" s="2351"/>
      <c r="D2814" s="2096" t="s">
        <v>1742</v>
      </c>
      <c r="E2814" s="2352" t="s">
        <v>5241</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ht="15" outlineLevel="1">
      <c r="A2815" s="2126" t="str">
        <f t="shared" si="571"/>
        <v/>
      </c>
      <c r="B2815" s="2301" t="s">
        <v>21</v>
      </c>
      <c r="C2815" s="2351"/>
      <c r="D2815" s="2096" t="s">
        <v>5242</v>
      </c>
      <c r="E2815" s="2352" t="s">
        <v>5243</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ht="15"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ht="15" outlineLevel="1">
      <c r="A2817" s="2126" t="str">
        <f t="shared" si="571"/>
        <v/>
      </c>
      <c r="B2817" s="2301" t="s">
        <v>633</v>
      </c>
      <c r="C2817" s="2351"/>
      <c r="D2817" s="2096" t="s">
        <v>4965</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ht="15" outlineLevel="1">
      <c r="A2818" s="2126" t="str">
        <f t="shared" si="571"/>
        <v/>
      </c>
      <c r="B2818" s="2301" t="s">
        <v>564</v>
      </c>
      <c r="C2818" s="2351"/>
      <c r="D2818" s="2096"/>
      <c r="E2818" s="2352" t="s">
        <v>4990</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ht="15" outlineLevel="1">
      <c r="A2819" s="2126" t="str">
        <f t="shared" si="571"/>
        <v/>
      </c>
      <c r="B2819" s="2301" t="s">
        <v>636</v>
      </c>
      <c r="C2819" s="2351"/>
      <c r="D2819" s="2096" t="s">
        <v>1742</v>
      </c>
      <c r="E2819" s="2352" t="s">
        <v>5241</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ht="15" outlineLevel="1">
      <c r="A2820" s="2126" t="str">
        <f t="shared" si="571"/>
        <v/>
      </c>
      <c r="B2820" s="2301" t="s">
        <v>21</v>
      </c>
      <c r="C2820" s="2351"/>
      <c r="D2820" s="2096" t="s">
        <v>5242</v>
      </c>
      <c r="E2820" s="2352" t="s">
        <v>5243</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ht="15" outlineLevel="1">
      <c r="A2821" s="2126" t="str">
        <f>IF(G2821&lt;&gt;0,1,"")</f>
        <v/>
      </c>
      <c r="B2821" s="2205"/>
      <c r="C2821" s="2202">
        <f>IF(G2821&gt;0,C2816+1,C2816)</f>
        <v>0</v>
      </c>
      <c r="D2821" s="2203"/>
      <c r="E2821" s="2361" t="s">
        <v>6175</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5" outlineLevel="1">
      <c r="A2822" s="2126" t="str">
        <f>A2821</f>
        <v/>
      </c>
      <c r="B2822" s="2205"/>
      <c r="C2822" s="2202"/>
      <c r="D2822" s="2096"/>
      <c r="E2822" s="2211" t="s">
        <v>6037</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ht="15"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ht="15"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ht="15"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ht="15"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ht="15" outlineLevel="1">
      <c r="A2827" s="2126" t="str">
        <f t="shared" si="576"/>
        <v/>
      </c>
      <c r="B2827" s="2205" t="s">
        <v>2237</v>
      </c>
      <c r="C2827" s="2202"/>
      <c r="D2827" s="2096" t="s">
        <v>5361</v>
      </c>
      <c r="E2827" s="2138" t="s">
        <v>2434</v>
      </c>
      <c r="F2827" s="2096" t="s">
        <v>2433</v>
      </c>
      <c r="G2827" s="2213">
        <f>G2821</f>
        <v>0</v>
      </c>
      <c r="H2827" s="2303">
        <v>0</v>
      </c>
      <c r="I2827" s="2303"/>
      <c r="J2827" s="2303" t="s">
        <v>6249</v>
      </c>
      <c r="K2827" s="2303"/>
      <c r="L2827" s="2304">
        <f t="shared" si="575"/>
        <v>0</v>
      </c>
      <c r="M2827" s="2304"/>
      <c r="N2827" s="2303">
        <v>0</v>
      </c>
      <c r="O2827" s="2304"/>
      <c r="P2827" s="2209"/>
      <c r="Q2827" s="2210"/>
      <c r="R2827" s="2210"/>
      <c r="S2827" s="2210"/>
    </row>
    <row r="2828" spans="1:19" s="2049" customFormat="1" ht="15" outlineLevel="1">
      <c r="A2828" s="2126" t="str">
        <f t="shared" si="576"/>
        <v/>
      </c>
      <c r="B2828" s="2205"/>
      <c r="C2828" s="2202">
        <f>IF(G2828&gt;0,C2821+1,C2821)</f>
        <v>0</v>
      </c>
      <c r="D2828" s="2203"/>
      <c r="E2828" s="2361" t="s">
        <v>6187</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5" outlineLevel="1">
      <c r="A2829" s="2126" t="str">
        <f>A2828</f>
        <v/>
      </c>
      <c r="B2829" s="2205"/>
      <c r="C2829" s="2202"/>
      <c r="D2829" s="2203"/>
      <c r="E2829" s="2211" t="s">
        <v>6037</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ht="15"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ht="15"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ht="15"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ht="15"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ht="15" outlineLevel="1">
      <c r="A2834" s="2126" t="str">
        <f t="shared" si="580"/>
        <v/>
      </c>
      <c r="B2834" s="2205" t="s">
        <v>6188</v>
      </c>
      <c r="C2834" s="2202"/>
      <c r="D2834" s="2096" t="s">
        <v>5295</v>
      </c>
      <c r="E2834" s="2138" t="s">
        <v>5296</v>
      </c>
      <c r="F2834" s="2096" t="s">
        <v>2433</v>
      </c>
      <c r="G2834" s="2213">
        <f>+G2828</f>
        <v>0</v>
      </c>
      <c r="H2834" s="2208">
        <v>0</v>
      </c>
      <c r="I2834" s="2303"/>
      <c r="J2834" s="2303" t="s">
        <v>6294</v>
      </c>
      <c r="K2834" s="2303"/>
      <c r="L2834" s="2304">
        <f t="shared" si="575"/>
        <v>0</v>
      </c>
      <c r="M2834" s="2304"/>
      <c r="N2834" s="2303">
        <v>0</v>
      </c>
      <c r="O2834" s="2304"/>
      <c r="P2834" s="2209"/>
      <c r="Q2834" s="2210"/>
      <c r="R2834" s="2210"/>
      <c r="S2834" s="2210"/>
    </row>
    <row r="2835" spans="1:19" s="2049" customFormat="1" ht="15"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5" outlineLevel="1">
      <c r="A2836" s="2126" t="str">
        <f>A2835</f>
        <v/>
      </c>
      <c r="B2836" s="2205"/>
      <c r="C2836" s="2202"/>
      <c r="D2836" s="2203"/>
      <c r="E2836" s="2211" t="s">
        <v>6037</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ht="15"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ht="15" outlineLevel="1">
      <c r="A2838" s="2126" t="str">
        <f t="shared" si="581"/>
        <v/>
      </c>
      <c r="B2838" s="2205" t="s">
        <v>1031</v>
      </c>
      <c r="C2838" s="2202"/>
      <c r="D2838" s="2096">
        <v>0</v>
      </c>
      <c r="E2838" s="2138" t="s">
        <v>6278</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ht="15"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ht="15"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ht="15"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ht="15" outlineLevel="1">
      <c r="A2842" s="2126" t="str">
        <f t="shared" si="581"/>
        <v/>
      </c>
      <c r="B2842" s="2205" t="s">
        <v>515</v>
      </c>
      <c r="C2842" s="2202"/>
      <c r="D2842" s="2096" t="s">
        <v>5347</v>
      </c>
      <c r="E2842" s="2138" t="s">
        <v>3158</v>
      </c>
      <c r="F2842" s="2096" t="s">
        <v>2379</v>
      </c>
      <c r="G2842" s="2213">
        <f>G2835</f>
        <v>0</v>
      </c>
      <c r="H2842" s="2208">
        <v>0</v>
      </c>
      <c r="I2842" s="2208"/>
      <c r="J2842" s="2208" t="s">
        <v>6295</v>
      </c>
      <c r="K2842" s="2208"/>
      <c r="L2842" s="2208">
        <f t="shared" si="575"/>
        <v>0</v>
      </c>
      <c r="M2842" s="2208"/>
      <c r="N2842" s="2208">
        <v>0</v>
      </c>
      <c r="O2842" s="2208"/>
      <c r="P2842" s="2333"/>
      <c r="Q2842" s="2210"/>
      <c r="R2842" s="2210"/>
      <c r="S2842" s="2210"/>
    </row>
    <row r="2843" spans="1:19" s="2049" customFormat="1" ht="15" outlineLevel="1">
      <c r="A2843" s="2126" t="str">
        <f t="shared" si="581"/>
        <v/>
      </c>
      <c r="B2843" s="2205"/>
      <c r="C2843" s="2202">
        <f>IF(G2843&gt;0,C2835+1,C2835)</f>
        <v>0</v>
      </c>
      <c r="D2843" s="2203"/>
      <c r="E2843" s="2361" t="s">
        <v>6143</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5" outlineLevel="1">
      <c r="A2844" s="2126" t="str">
        <f>A2843</f>
        <v/>
      </c>
      <c r="B2844" s="2205"/>
      <c r="C2844" s="2202"/>
      <c r="D2844" s="2203"/>
      <c r="E2844" s="2211" t="s">
        <v>6037</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ht="15"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ht="15" outlineLevel="1">
      <c r="A2846" s="2126" t="str">
        <f t="shared" si="582"/>
        <v/>
      </c>
      <c r="B2846" s="2205" t="s">
        <v>1031</v>
      </c>
      <c r="C2846" s="2202"/>
      <c r="D2846" s="2096">
        <v>0</v>
      </c>
      <c r="E2846" s="2138" t="s">
        <v>6278</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ht="15"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ht="15"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ht="15"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ht="15" outlineLevel="1">
      <c r="A2850" s="2126" t="str">
        <f t="shared" si="582"/>
        <v/>
      </c>
      <c r="B2850" s="2205" t="s">
        <v>984</v>
      </c>
      <c r="C2850" s="2202"/>
      <c r="D2850" s="2096">
        <v>0</v>
      </c>
      <c r="E2850" s="2138" t="s">
        <v>5188</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ht="15" outlineLevel="1">
      <c r="A2851" s="2126" t="str">
        <f t="shared" si="582"/>
        <v/>
      </c>
      <c r="B2851" s="2205" t="s">
        <v>1436</v>
      </c>
      <c r="C2851" s="2202"/>
      <c r="D2851" s="2096" t="s">
        <v>5338</v>
      </c>
      <c r="E2851" s="2138" t="s">
        <v>5339</v>
      </c>
      <c r="F2851" s="2096" t="s">
        <v>2379</v>
      </c>
      <c r="G2851" s="2213">
        <f>G2843</f>
        <v>0</v>
      </c>
      <c r="H2851" s="2208">
        <v>0</v>
      </c>
      <c r="I2851" s="2208"/>
      <c r="J2851" s="2208" t="s">
        <v>6295</v>
      </c>
      <c r="K2851" s="2208"/>
      <c r="L2851" s="2208">
        <f t="shared" si="575"/>
        <v>0</v>
      </c>
      <c r="M2851" s="2208"/>
      <c r="N2851" s="2208">
        <v>0</v>
      </c>
      <c r="O2851" s="2208"/>
      <c r="P2851" s="2333"/>
      <c r="Q2851" s="2210"/>
      <c r="R2851" s="2210"/>
      <c r="S2851" s="2210"/>
    </row>
    <row r="2852" spans="1:19" s="2049" customFormat="1" ht="15"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5" outlineLevel="1">
      <c r="A2853" s="2126" t="str">
        <f>+A2852</f>
        <v/>
      </c>
      <c r="B2853" s="2362"/>
      <c r="C2853" s="2202"/>
      <c r="D2853" s="2203"/>
      <c r="E2853" s="2211" t="s">
        <v>6037</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ht="15"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ht="15" outlineLevel="1">
      <c r="A2855" s="2126" t="str">
        <f t="shared" si="584"/>
        <v/>
      </c>
      <c r="B2855" s="2196" t="s">
        <v>1504</v>
      </c>
      <c r="C2855" s="2202"/>
      <c r="D2855" s="2096">
        <v>0</v>
      </c>
      <c r="E2855" s="2138" t="s">
        <v>5081</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ht="15"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ht="15"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ht="15"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ht="15" outlineLevel="1">
      <c r="A2859" s="2126" t="str">
        <f t="shared" si="584"/>
        <v/>
      </c>
      <c r="B2859" s="2196" t="s">
        <v>523</v>
      </c>
      <c r="C2859" s="2202"/>
      <c r="D2859" s="2096">
        <v>0</v>
      </c>
      <c r="E2859" s="2138" t="s">
        <v>5170</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ht="15" outlineLevel="1">
      <c r="A2860" s="2126" t="str">
        <f t="shared" si="584"/>
        <v/>
      </c>
      <c r="B2860" s="2196" t="s">
        <v>1581</v>
      </c>
      <c r="C2860" s="2202"/>
      <c r="D2860" s="2096">
        <v>0</v>
      </c>
      <c r="E2860" s="2138" t="s">
        <v>5628</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ht="15" outlineLevel="1">
      <c r="A2861" s="2126">
        <f>IF(G2861=0,0,1)</f>
        <v>0</v>
      </c>
      <c r="B2861" s="2196" t="s">
        <v>791</v>
      </c>
      <c r="C2861" s="2212"/>
      <c r="D2861" s="2096" t="s">
        <v>5253</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ht="15" outlineLevel="1">
      <c r="A2862" s="2126">
        <f>IF(G2862=0,0,1)</f>
        <v>0</v>
      </c>
      <c r="B2862" s="2196" t="s">
        <v>795</v>
      </c>
      <c r="C2862" s="2212"/>
      <c r="D2862" s="2096" t="s">
        <v>5242</v>
      </c>
      <c r="E2862" s="2138" t="s">
        <v>5254</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ht="15" outlineLevel="1">
      <c r="A2863" s="2126">
        <f>IF(G2863=0,0,1)</f>
        <v>0</v>
      </c>
      <c r="B2863" s="2196" t="s">
        <v>899</v>
      </c>
      <c r="C2863" s="2212"/>
      <c r="D2863" s="2096" t="s">
        <v>5268</v>
      </c>
      <c r="E2863" s="2138" t="s">
        <v>5269</v>
      </c>
      <c r="F2863" s="2096" t="s">
        <v>2272</v>
      </c>
      <c r="G2863" s="2333">
        <f>G2855</f>
        <v>0</v>
      </c>
      <c r="H2863" s="2208">
        <v>0</v>
      </c>
      <c r="I2863" s="2208"/>
      <c r="J2863" s="2208" t="s">
        <v>6216</v>
      </c>
      <c r="K2863" s="2208">
        <v>0</v>
      </c>
      <c r="L2863" s="2208">
        <f>H2863*$G2863</f>
        <v>0</v>
      </c>
      <c r="M2863" s="2208">
        <f>I2863*$G2863</f>
        <v>0</v>
      </c>
      <c r="N2863" s="2208">
        <v>0</v>
      </c>
      <c r="O2863" s="2208">
        <f>K2863*$G2863</f>
        <v>0</v>
      </c>
      <c r="P2863" s="2333"/>
      <c r="Q2863" s="2210"/>
      <c r="R2863" s="2210"/>
      <c r="S2863" s="2210"/>
    </row>
    <row r="2864" spans="1:19" s="2049" customFormat="1" ht="15" outlineLevel="1">
      <c r="A2864" s="2126" t="str">
        <f>IF(G2864&lt;&gt;0,1,"")</f>
        <v/>
      </c>
      <c r="B2864" s="2196" t="s">
        <v>1433</v>
      </c>
      <c r="C2864" s="2202"/>
      <c r="D2864" s="2096" t="s">
        <v>5263</v>
      </c>
      <c r="E2864" s="2138" t="s">
        <v>5264</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ht="15" outlineLevel="1">
      <c r="A2865" s="2126" t="str">
        <f>IF(G2865&lt;&gt;0,1,"")</f>
        <v/>
      </c>
      <c r="B2865" s="2205"/>
      <c r="C2865" s="2202">
        <f>IF(G2865&gt;0,C2852+1,C2852)</f>
        <v>0</v>
      </c>
      <c r="D2865" s="2203"/>
      <c r="E2865" s="2320" t="s">
        <v>6113</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5" outlineLevel="1">
      <c r="A2866" s="2126" t="str">
        <f>A2865</f>
        <v/>
      </c>
      <c r="B2866" s="2205"/>
      <c r="C2866" s="2202"/>
      <c r="D2866" s="2203"/>
      <c r="E2866" s="2211" t="s">
        <v>6037</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ht="15" outlineLevel="1">
      <c r="A2867" s="2126" t="str">
        <f>IF(G2867&lt;&gt;0,1,"")</f>
        <v/>
      </c>
      <c r="B2867" s="2205" t="s">
        <v>5566</v>
      </c>
      <c r="C2867" s="2212"/>
      <c r="D2867" s="2096" t="s">
        <v>5548</v>
      </c>
      <c r="E2867" s="2138" t="s">
        <v>5567</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ht="15" outlineLevel="1">
      <c r="A2868" s="2126" t="str">
        <f>IF(G2868&lt;&gt;0,1,"")</f>
        <v/>
      </c>
      <c r="B2868" s="2205" t="s">
        <v>877</v>
      </c>
      <c r="C2868" s="2202"/>
      <c r="D2868" s="2096">
        <v>0</v>
      </c>
      <c r="E2868" s="2138" t="s">
        <v>5713</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ht="15" outlineLevel="1">
      <c r="A2869" s="2126" t="str">
        <f>IF(G2869&lt;&gt;0,1,"")</f>
        <v/>
      </c>
      <c r="B2869" s="2205" t="s">
        <v>288</v>
      </c>
      <c r="C2869" s="2212"/>
      <c r="D2869" s="2096">
        <v>0</v>
      </c>
      <c r="E2869" s="2138" t="s">
        <v>5627</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ht="15"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5" outlineLevel="1">
      <c r="A2871" s="2126" t="str">
        <f>A2870</f>
        <v/>
      </c>
      <c r="B2871" s="2205"/>
      <c r="C2871" s="2202"/>
      <c r="D2871" s="2203"/>
      <c r="E2871" s="2211" t="s">
        <v>6037</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ht="15" outlineLevel="1">
      <c r="A2872" s="2126" t="str">
        <f t="shared" ref="A2872:A2880" si="590">IF(G2872&lt;&gt;0,1,"")</f>
        <v/>
      </c>
      <c r="B2872" s="2498" t="s">
        <v>749</v>
      </c>
      <c r="C2872" s="2212"/>
      <c r="D2872" s="2096">
        <v>0</v>
      </c>
      <c r="E2872" s="2303" t="s">
        <v>6279</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ht="15" outlineLevel="1">
      <c r="A2873" s="2126" t="str">
        <f t="shared" si="590"/>
        <v/>
      </c>
      <c r="B2873" s="2498" t="s">
        <v>518</v>
      </c>
      <c r="C2873" s="2212"/>
      <c r="D2873" s="2096">
        <v>0</v>
      </c>
      <c r="E2873" s="2303" t="s">
        <v>6280</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ht="15" outlineLevel="1">
      <c r="A2874" s="2126" t="str">
        <f t="shared" si="590"/>
        <v/>
      </c>
      <c r="B2874" s="2498" t="s">
        <v>1671</v>
      </c>
      <c r="C2874" s="2212"/>
      <c r="D2874" s="2096">
        <v>0</v>
      </c>
      <c r="E2874" s="2303" t="s">
        <v>6281</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ht="15" outlineLevel="1">
      <c r="A2875" s="2126" t="str">
        <f t="shared" si="590"/>
        <v/>
      </c>
      <c r="B2875" s="2498" t="s">
        <v>1672</v>
      </c>
      <c r="C2875" s="2212"/>
      <c r="D2875" s="2096" t="s">
        <v>5208</v>
      </c>
      <c r="E2875" s="2303" t="s">
        <v>6282</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ht="15"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ht="15" outlineLevel="1">
      <c r="A2877" s="2126" t="str">
        <f t="shared" si="590"/>
        <v/>
      </c>
      <c r="B2877" s="2498" t="s">
        <v>1674</v>
      </c>
      <c r="C2877" s="2212"/>
      <c r="D2877" s="2096" t="s">
        <v>5250</v>
      </c>
      <c r="E2877" s="2303" t="s">
        <v>6283</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ht="15" outlineLevel="1">
      <c r="A2878" s="2126" t="str">
        <f t="shared" si="590"/>
        <v/>
      </c>
      <c r="B2878" s="2498" t="s">
        <v>144</v>
      </c>
      <c r="C2878" s="2212"/>
      <c r="D2878" s="2096" t="s">
        <v>5244</v>
      </c>
      <c r="E2878" s="2303" t="s">
        <v>6284</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ht="15" outlineLevel="1">
      <c r="A2879" s="2126" t="str">
        <f t="shared" si="590"/>
        <v/>
      </c>
      <c r="B2879" s="2498" t="s">
        <v>527</v>
      </c>
      <c r="C2879" s="2212"/>
      <c r="D2879" s="2096" t="s">
        <v>5249</v>
      </c>
      <c r="E2879" s="2303" t="s">
        <v>6285</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ht="15"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5" outlineLevel="1">
      <c r="A2881" s="2126" t="str">
        <f>A2880</f>
        <v/>
      </c>
      <c r="B2881" s="2205"/>
      <c r="C2881" s="2202"/>
      <c r="D2881" s="2203"/>
      <c r="E2881" s="2211" t="s">
        <v>6037</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ht="15" outlineLevel="1">
      <c r="A2882" s="2126" t="str">
        <f t="shared" ref="A2882:A2889" si="591">IF(G2882&lt;&gt;0,1,"")</f>
        <v/>
      </c>
      <c r="B2882" s="2205" t="s">
        <v>620</v>
      </c>
      <c r="C2882" s="2212"/>
      <c r="D2882" s="2096" t="s">
        <v>5223</v>
      </c>
      <c r="E2882" s="2138" t="s">
        <v>5224</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ht="15"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ht="15"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ht="15"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ht="15"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ht="15" outlineLevel="1">
      <c r="A2887" s="2126" t="str">
        <f t="shared" si="591"/>
        <v/>
      </c>
      <c r="B2887" s="2205" t="s">
        <v>1406</v>
      </c>
      <c r="C2887" s="2202"/>
      <c r="D2887" s="2096" t="s">
        <v>5258</v>
      </c>
      <c r="E2887" s="2138" t="s">
        <v>5259</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ht="15" outlineLevel="1">
      <c r="A2888" s="2126" t="str">
        <f t="shared" si="591"/>
        <v/>
      </c>
      <c r="B2888" s="2205" t="s">
        <v>288</v>
      </c>
      <c r="C2888" s="2212"/>
      <c r="D2888" s="2096">
        <v>0</v>
      </c>
      <c r="E2888" s="2138" t="s">
        <v>5627</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ht="15"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5" outlineLevel="1">
      <c r="A2890" s="2126" t="str">
        <f>A2889</f>
        <v/>
      </c>
      <c r="B2890" s="2205"/>
      <c r="C2890" s="2202"/>
      <c r="D2890" s="2203"/>
      <c r="E2890" s="2218" t="s">
        <v>6037</v>
      </c>
      <c r="F2890" s="2202"/>
      <c r="G2890" s="2207"/>
      <c r="H2890" s="2208"/>
      <c r="I2890" s="2208"/>
      <c r="J2890" s="2208"/>
      <c r="K2890" s="2208"/>
      <c r="L2890" s="2208"/>
      <c r="M2890" s="2208"/>
      <c r="N2890" s="2208"/>
      <c r="O2890" s="2208"/>
      <c r="P2890" s="2209"/>
      <c r="Q2890" s="2210"/>
      <c r="R2890" s="2210"/>
      <c r="S2890" s="2210"/>
    </row>
    <row r="2891" spans="1:19" s="2049" customFormat="1" ht="15" outlineLevel="1">
      <c r="A2891" s="2126" t="str">
        <f>IF(G2891&lt;&gt;0,1,"")</f>
        <v/>
      </c>
      <c r="B2891" s="2196" t="s">
        <v>468</v>
      </c>
      <c r="C2891" s="2212"/>
      <c r="D2891" s="2096">
        <v>0</v>
      </c>
      <c r="E2891" s="2138" t="s">
        <v>6286</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ht="15" outlineLevel="1">
      <c r="A2892" s="2126" t="str">
        <f>IF(G2892&lt;&gt;0,1,"")</f>
        <v/>
      </c>
      <c r="B2892" s="2196" t="s">
        <v>270</v>
      </c>
      <c r="C2892" s="2212"/>
      <c r="D2892" s="2096">
        <v>0</v>
      </c>
      <c r="E2892" s="2138" t="s">
        <v>6287</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ht="15" outlineLevel="1">
      <c r="A2893" s="2126" t="str">
        <f t="shared" ref="A2893:A2899" si="592">IF(G2893&lt;&gt;0,1,"")</f>
        <v/>
      </c>
      <c r="B2893" s="2196" t="s">
        <v>270</v>
      </c>
      <c r="C2893" s="2212"/>
      <c r="D2893" s="2096">
        <v>0</v>
      </c>
      <c r="E2893" s="2138" t="s">
        <v>6288</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ht="15"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ht="15" outlineLevel="1">
      <c r="A2895" s="2126" t="str">
        <f t="shared" si="592"/>
        <v/>
      </c>
      <c r="B2895" s="2196" t="s">
        <v>468</v>
      </c>
      <c r="C2895" s="2212"/>
      <c r="D2895" s="2096">
        <v>0</v>
      </c>
      <c r="E2895" s="2138" t="s">
        <v>6289</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ht="15" outlineLevel="1">
      <c r="A2896" s="2126" t="str">
        <f t="shared" si="592"/>
        <v/>
      </c>
      <c r="B2896" s="2196" t="s">
        <v>270</v>
      </c>
      <c r="C2896" s="2212"/>
      <c r="D2896" s="2096">
        <v>0</v>
      </c>
      <c r="E2896" s="2138" t="s">
        <v>6290</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ht="15"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ht="15" outlineLevel="1">
      <c r="A2898" s="2126" t="str">
        <f t="shared" si="592"/>
        <v/>
      </c>
      <c r="B2898" s="2196" t="s">
        <v>1670</v>
      </c>
      <c r="C2898" s="2212"/>
      <c r="D2898" s="2096" t="s">
        <v>5376</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ht="15"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ht="15"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ht="15" outlineLevel="1">
      <c r="A2901" s="2126" t="str">
        <f>IF(G2901&lt;&gt;0,1,"")</f>
        <v/>
      </c>
      <c r="B2901" s="2196" t="s">
        <v>1521</v>
      </c>
      <c r="C2901" s="2212"/>
      <c r="D2901" s="2096" t="s">
        <v>5487</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ht="15"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ht="15" outlineLevel="1">
      <c r="A2903" s="2126" t="str">
        <f>IF(G2903&lt;&gt;0,1,"")</f>
        <v/>
      </c>
      <c r="B2903" s="2205"/>
      <c r="C2903" s="2202">
        <f>IF(G2903&gt;0,C2889+1,C2889)</f>
        <v>0</v>
      </c>
      <c r="D2903" s="2203"/>
      <c r="E2903" s="2204" t="s">
        <v>6167</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5" outlineLevel="1">
      <c r="A2904" s="2126" t="str">
        <f>A2903</f>
        <v/>
      </c>
      <c r="B2904" s="2205"/>
      <c r="C2904" s="2202"/>
      <c r="D2904" s="2203"/>
      <c r="E2904" s="2218" t="s">
        <v>6037</v>
      </c>
      <c r="F2904" s="2202"/>
      <c r="G2904" s="2207"/>
      <c r="H2904" s="2208"/>
      <c r="I2904" s="2208"/>
      <c r="J2904" s="2208"/>
      <c r="K2904" s="2208"/>
      <c r="L2904" s="2208"/>
      <c r="M2904" s="2208"/>
      <c r="N2904" s="2208"/>
      <c r="O2904" s="2208"/>
      <c r="P2904" s="2333"/>
      <c r="Q2904" s="2210"/>
      <c r="R2904" s="2210"/>
      <c r="S2904" s="2210"/>
    </row>
    <row r="2905" spans="1:19" s="2049" customFormat="1" ht="15" outlineLevel="1">
      <c r="A2905" s="2126" t="str">
        <f>IF(G2905&lt;&gt;0,1,"")</f>
        <v/>
      </c>
      <c r="B2905" s="2196" t="s">
        <v>694</v>
      </c>
      <c r="C2905" s="2212"/>
      <c r="D2905" s="2096">
        <v>0</v>
      </c>
      <c r="E2905" s="2138" t="s">
        <v>5005</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ht="15" outlineLevel="1">
      <c r="A2906" s="2126" t="str">
        <f>IF(G2906&lt;&gt;0,1,"")</f>
        <v/>
      </c>
      <c r="B2906" s="2301" t="s">
        <v>1835</v>
      </c>
      <c r="C2906" s="2212"/>
      <c r="D2906" s="2096">
        <v>0</v>
      </c>
      <c r="E2906" s="2138" t="s">
        <v>4996</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ht="15"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ht="15" outlineLevel="1">
      <c r="A2908" s="2126" t="str">
        <f t="shared" si="600"/>
        <v/>
      </c>
      <c r="B2908" s="2301" t="s">
        <v>1473</v>
      </c>
      <c r="C2908" s="2212"/>
      <c r="D2908" s="2096">
        <v>0</v>
      </c>
      <c r="E2908" s="2138" t="s">
        <v>6250</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ht="15"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ht="15"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ht="15" outlineLevel="1">
      <c r="A2911" s="2126" t="str">
        <f t="shared" si="600"/>
        <v/>
      </c>
      <c r="B2911" s="2196" t="s">
        <v>1561</v>
      </c>
      <c r="C2911" s="2212"/>
      <c r="D2911" s="2096" t="s">
        <v>5477</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ht="15" outlineLevel="1">
      <c r="A2912" s="2126" t="str">
        <f t="shared" si="600"/>
        <v/>
      </c>
      <c r="B2912" s="2196" t="s">
        <v>1521</v>
      </c>
      <c r="C2912" s="2212"/>
      <c r="D2912" s="2096" t="s">
        <v>5487</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ht="15"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5" outlineLevel="1">
      <c r="A2914" s="2126" t="str">
        <f>A2913</f>
        <v/>
      </c>
      <c r="B2914" s="2196"/>
      <c r="C2914" s="2202"/>
      <c r="D2914" s="2203"/>
      <c r="E2914" s="2218" t="s">
        <v>6037</v>
      </c>
      <c r="F2914" s="2202"/>
      <c r="G2914" s="2213"/>
      <c r="H2914" s="2208"/>
      <c r="I2914" s="2208"/>
      <c r="J2914" s="2208"/>
      <c r="K2914" s="2208"/>
      <c r="L2914" s="2208"/>
      <c r="M2914" s="2208"/>
      <c r="N2914" s="2208"/>
      <c r="O2914" s="2208"/>
      <c r="P2914" s="2333"/>
      <c r="Q2914" s="2210"/>
      <c r="R2914" s="2210"/>
      <c r="S2914" s="2210"/>
    </row>
    <row r="2915" spans="1:19" s="2049" customFormat="1" ht="15" outlineLevel="1">
      <c r="A2915" s="2126" t="str">
        <f>IF(G2915&lt;&gt;0,1,"")</f>
        <v/>
      </c>
      <c r="B2915" s="2205" t="s">
        <v>4679</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ht="15"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ht="15" outlineLevel="1">
      <c r="A2917" s="2126" t="str">
        <f t="shared" ref="A2917:A2924" si="603">IF(G2917&lt;&gt;0,1,"")</f>
        <v/>
      </c>
      <c r="B2917" s="2205" t="s">
        <v>2151</v>
      </c>
      <c r="C2917" s="2212"/>
      <c r="D2917" s="2096" t="s">
        <v>5645</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ht="15"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ht="15"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ht="15"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ht="15" outlineLevel="1">
      <c r="A2921" s="2126" t="str">
        <f t="shared" si="603"/>
        <v/>
      </c>
      <c r="B2921" s="2196" t="s">
        <v>6</v>
      </c>
      <c r="C2921" s="2212"/>
      <c r="D2921" s="2096"/>
      <c r="E2921" s="2138" t="s">
        <v>3552</v>
      </c>
      <c r="F2921" s="2096" t="s">
        <v>5720</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ht="15"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ht="15" outlineLevel="1">
      <c r="A2923" s="2126" t="str">
        <f t="shared" si="603"/>
        <v/>
      </c>
      <c r="B2923" s="2196" t="s">
        <v>669</v>
      </c>
      <c r="C2923" s="2212"/>
      <c r="D2923" s="2096">
        <v>0</v>
      </c>
      <c r="E2923" s="2138" t="s">
        <v>5715</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ht="15" outlineLevel="1">
      <c r="A2924" s="2126" t="str">
        <f t="shared" si="603"/>
        <v/>
      </c>
      <c r="B2924" s="2196" t="s">
        <v>246</v>
      </c>
      <c r="C2924" s="2212"/>
      <c r="D2924" s="2096" t="s">
        <v>5489</v>
      </c>
      <c r="E2924" s="2138" t="s">
        <v>5490</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ht="15" outlineLevel="1">
      <c r="A2925" s="2126">
        <f>A2788</f>
        <v>0</v>
      </c>
      <c r="B2925" s="2301"/>
      <c r="C2925" s="2367"/>
      <c r="D2925" s="2368"/>
      <c r="E2925" s="2343"/>
      <c r="F2925" s="2581"/>
      <c r="G2925" s="2582"/>
      <c r="H2925" s="2581"/>
      <c r="I2925" s="2581"/>
      <c r="J2925" s="2591" t="s">
        <v>6035</v>
      </c>
      <c r="K2925" s="2591"/>
      <c r="L2925" s="2369">
        <f>SUM(L2804:L2924)</f>
        <v>0</v>
      </c>
      <c r="M2925" s="2369">
        <f>SUM(M2804:M2924)</f>
        <v>0</v>
      </c>
      <c r="N2925" s="2369">
        <f>SUM(N2804:N2924)</f>
        <v>0</v>
      </c>
      <c r="O2925" s="2369">
        <f>SUM(O2804:O2924)</f>
        <v>0</v>
      </c>
      <c r="P2925" s="2340"/>
      <c r="Q2925" s="2210"/>
      <c r="R2925" s="2210"/>
      <c r="S2925" s="2210"/>
    </row>
    <row r="2926" spans="1:19" s="2049" customFormat="1" ht="15"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ht="15"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ht="15" outlineLevel="1">
      <c r="A2929" s="2126">
        <f>A2927</f>
        <v>0</v>
      </c>
      <c r="B2929" s="2205" t="s">
        <v>6016</v>
      </c>
      <c r="C2929" s="2592" t="s">
        <v>1704</v>
      </c>
      <c r="D2929" s="2593" t="s">
        <v>2589</v>
      </c>
      <c r="E2929" s="2595" t="s">
        <v>2590</v>
      </c>
      <c r="F2929" s="2592" t="s">
        <v>2585</v>
      </c>
      <c r="G2929" s="2053" t="s">
        <v>6017</v>
      </c>
      <c r="H2929" s="2056" t="s">
        <v>6018</v>
      </c>
      <c r="I2929" s="2563"/>
      <c r="J2929" s="2563"/>
      <c r="K2929" s="2564"/>
      <c r="L2929" s="2056" t="s">
        <v>6019</v>
      </c>
      <c r="M2929" s="2563"/>
      <c r="N2929" s="2563"/>
      <c r="O2929" s="2564"/>
      <c r="P2929" s="2592" t="s">
        <v>2591</v>
      </c>
      <c r="Q2929" s="2210"/>
      <c r="R2929" s="2210"/>
      <c r="S2929" s="2210"/>
    </row>
    <row r="2930" spans="1:19" s="2049" customFormat="1" ht="15" outlineLevel="1">
      <c r="A2930" s="2126">
        <f>A2929</f>
        <v>0</v>
      </c>
      <c r="B2930" s="2205"/>
      <c r="C2930" s="2592"/>
      <c r="D2930" s="2594"/>
      <c r="E2930" s="2596"/>
      <c r="F2930" s="2592"/>
      <c r="G2930" s="2055" t="s">
        <v>2280</v>
      </c>
      <c r="H2930" s="2056" t="s">
        <v>6020</v>
      </c>
      <c r="I2930" s="2056" t="s">
        <v>6021</v>
      </c>
      <c r="J2930" s="2056" t="s">
        <v>6022</v>
      </c>
      <c r="K2930" s="2056" t="s">
        <v>6023</v>
      </c>
      <c r="L2930" s="2056" t="s">
        <v>6020</v>
      </c>
      <c r="M2930" s="2056" t="s">
        <v>6021</v>
      </c>
      <c r="N2930" s="2056" t="s">
        <v>6022</v>
      </c>
      <c r="O2930" s="2056" t="s">
        <v>6023</v>
      </c>
      <c r="P2930" s="2592"/>
      <c r="Q2930" s="2210"/>
      <c r="R2930" s="2210"/>
      <c r="S2930" s="2210"/>
    </row>
    <row r="2931" spans="1:19" s="2049" customFormat="1" ht="15"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ht="15" outlineLevel="1">
      <c r="A2932" s="2126" t="str">
        <f t="shared" ref="A2932:A2942" si="607">IF(G2932&lt;&gt;0,1,"")</f>
        <v/>
      </c>
      <c r="B2932" s="2196" t="str">
        <f>IF($F$8=15,"tr1250","tr12501")</f>
        <v>tr12501</v>
      </c>
      <c r="C2932" s="2212">
        <f>IF(G2932&gt;0,1,0)</f>
        <v>0</v>
      </c>
      <c r="D2932" s="2096" t="s">
        <v>5509</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ht="15" outlineLevel="1">
      <c r="A2933" s="2126" t="str">
        <f t="shared" si="607"/>
        <v/>
      </c>
      <c r="B2933" s="2301" t="s">
        <v>392</v>
      </c>
      <c r="C2933" s="2212">
        <f>IF(G2933&gt;0,C2932+1,C2932)</f>
        <v>0</v>
      </c>
      <c r="D2933" s="2096" t="s">
        <v>5515</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ht="15"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6189</v>
      </c>
      <c r="Q2934" s="2210"/>
      <c r="R2934" s="2210"/>
      <c r="S2934" s="2210"/>
    </row>
    <row r="2935" spans="1:19" s="2049" customFormat="1" ht="15" outlineLevel="1">
      <c r="A2935" s="2126" t="str">
        <f t="shared" si="607"/>
        <v/>
      </c>
      <c r="B2935" s="2062" t="str">
        <f>"FCO100-"&amp;$F$8</f>
        <v>FCO100-22</v>
      </c>
      <c r="C2935" s="2212">
        <f t="shared" si="612"/>
        <v>0</v>
      </c>
      <c r="D2935" s="2096" t="s">
        <v>5513</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ht="15"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ht="15" outlineLevel="1">
      <c r="A2937" s="2126" t="str">
        <f t="shared" si="607"/>
        <v/>
      </c>
      <c r="B2937" s="2205" t="str">
        <f>"LA"&amp;$F$6</f>
        <v>LA18</v>
      </c>
      <c r="C2937" s="2212">
        <f t="shared" si="612"/>
        <v>0</v>
      </c>
      <c r="D2937" s="2096" t="s">
        <v>5517</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ht="15" outlineLevel="1">
      <c r="A2938" s="2126" t="str">
        <f t="shared" si="607"/>
        <v/>
      </c>
      <c r="B2938" s="2301" t="s">
        <v>438</v>
      </c>
      <c r="C2938" s="2212">
        <f t="shared" si="612"/>
        <v>0</v>
      </c>
      <c r="D2938" s="2096">
        <v>0</v>
      </c>
      <c r="E2938" s="2138" t="s">
        <v>5605</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ht="15" outlineLevel="1">
      <c r="A2939" s="2126" t="str">
        <f t="shared" si="607"/>
        <v/>
      </c>
      <c r="B2939" s="2301" t="s">
        <v>6179</v>
      </c>
      <c r="C2939" s="2212">
        <f t="shared" si="612"/>
        <v>0</v>
      </c>
      <c r="D2939" s="2096" t="s">
        <v>1021</v>
      </c>
      <c r="E2939" s="2138" t="s">
        <v>5533</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ht="15"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ht="15" outlineLevel="1">
      <c r="A2941" s="2126" t="str">
        <f t="shared" si="607"/>
        <v/>
      </c>
      <c r="B2941" s="2196" t="str">
        <f>IF($F$8=15,"TU15","TU22")</f>
        <v>TU22</v>
      </c>
      <c r="C2941" s="2212">
        <f>IF(G2941&gt;0,C2940+1,C2940)</f>
        <v>0</v>
      </c>
      <c r="D2941" s="2096">
        <v>0</v>
      </c>
      <c r="E2941" s="2138" t="s">
        <v>5526</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ht="15" outlineLevel="1">
      <c r="A2942" s="2126" t="str">
        <f t="shared" si="607"/>
        <v/>
      </c>
      <c r="B2942" s="2511" t="s">
        <v>1832</v>
      </c>
      <c r="C2942" s="2212">
        <f>IF(G2942&gt;0,C2941+1,C2941)</f>
        <v>0</v>
      </c>
      <c r="D2942" s="2096">
        <v>0</v>
      </c>
      <c r="E2942" s="2138" t="s">
        <v>5624</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ht="15" outlineLevel="1">
      <c r="A2943" s="2126">
        <f>A2927</f>
        <v>0</v>
      </c>
      <c r="B2943" s="2205"/>
      <c r="C2943" s="2337"/>
      <c r="D2943" s="2338"/>
      <c r="E2943" s="2339"/>
      <c r="F2943" s="2337"/>
      <c r="G2943" s="2580"/>
      <c r="H2943" s="2337"/>
      <c r="I2943" s="2337"/>
      <c r="J2943" s="2061" t="s">
        <v>6025</v>
      </c>
      <c r="K2943" s="2337"/>
      <c r="L2943" s="2339">
        <f>SUM(L2932:L2942)</f>
        <v>0</v>
      </c>
      <c r="M2943" s="2339">
        <f>SUM(M2932:M2942)</f>
        <v>0</v>
      </c>
      <c r="N2943" s="2339">
        <f>SUM(N2932:N2942)</f>
        <v>0</v>
      </c>
      <c r="O2943" s="2339">
        <f>SUM(O2932:O2942)</f>
        <v>0</v>
      </c>
      <c r="P2943" s="2512"/>
      <c r="Q2943" s="2210"/>
      <c r="R2943" s="2210"/>
      <c r="S2943" s="2210"/>
    </row>
    <row r="2944" spans="1:19" s="2049" customFormat="1" ht="15"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ht="15" outlineLevel="1">
      <c r="A2945" s="2126" t="str">
        <f t="shared" ref="A2945:A2959" si="613">IF(G2945&lt;&gt;0,1,"")</f>
        <v/>
      </c>
      <c r="B2945" s="2345"/>
      <c r="C2945" s="2346">
        <f>IF(G2945&gt;0,1,0)</f>
        <v>0</v>
      </c>
      <c r="D2945" s="2096"/>
      <c r="E2945" s="2347" t="s">
        <v>6026</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ht="15" outlineLevel="1">
      <c r="A2946" s="2126" t="str">
        <f t="shared" si="613"/>
        <v/>
      </c>
      <c r="B2946" s="2301" t="s">
        <v>6190</v>
      </c>
      <c r="C2946" s="2351"/>
      <c r="D2946" s="2096"/>
      <c r="E2946" s="2352" t="s">
        <v>5194</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ht="15"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ht="15" outlineLevel="1">
      <c r="A2948" s="2126" t="str">
        <f t="shared" si="613"/>
        <v/>
      </c>
      <c r="B2948" s="2301" t="s">
        <v>2164</v>
      </c>
      <c r="C2948" s="2351"/>
      <c r="D2948" s="2096" t="s">
        <v>5276</v>
      </c>
      <c r="E2948" s="2352" t="s">
        <v>5277</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ht="15" outlineLevel="1">
      <c r="A2949" s="2126" t="str">
        <f t="shared" si="613"/>
        <v/>
      </c>
      <c r="B2949" s="2301" t="s">
        <v>2229</v>
      </c>
      <c r="C2949" s="2351"/>
      <c r="D2949" s="2096"/>
      <c r="E2949" s="2352" t="s">
        <v>5241</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ht="15" outlineLevel="1">
      <c r="A2950" s="2126" t="str">
        <f t="shared" si="613"/>
        <v/>
      </c>
      <c r="B2950" s="2301" t="s">
        <v>21</v>
      </c>
      <c r="C2950" s="2351"/>
      <c r="D2950" s="2096" t="s">
        <v>5242</v>
      </c>
      <c r="E2950" s="2352" t="s">
        <v>5243</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ht="15" outlineLevel="1">
      <c r="A2951" s="2126" t="str">
        <f t="shared" si="613"/>
        <v/>
      </c>
      <c r="B2951" s="2301"/>
      <c r="C2951" s="2202">
        <f>IF(G2951&gt;0,C2945+1,C2945)</f>
        <v>0</v>
      </c>
      <c r="D2951" s="2096"/>
      <c r="E2951" s="2347" t="s">
        <v>6191</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ht="15" outlineLevel="1">
      <c r="A2952" s="2126" t="str">
        <f t="shared" si="613"/>
        <v/>
      </c>
      <c r="B2952" s="2301" t="s">
        <v>748</v>
      </c>
      <c r="C2952" s="2351"/>
      <c r="D2952" s="2096">
        <v>0</v>
      </c>
      <c r="E2952" s="2352" t="s">
        <v>5207</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ht="15"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ht="15"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ht="15" outlineLevel="1">
      <c r="A2955" s="2126" t="str">
        <f t="shared" si="613"/>
        <v/>
      </c>
      <c r="B2955" s="2301" t="s">
        <v>2003</v>
      </c>
      <c r="C2955" s="2351"/>
      <c r="D2955" s="2096"/>
      <c r="E2955" s="2352" t="s">
        <v>5165</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ht="15"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ht="15" outlineLevel="1">
      <c r="A2957" s="2126" t="str">
        <f t="shared" si="613"/>
        <v/>
      </c>
      <c r="B2957" s="2301" t="s">
        <v>636</v>
      </c>
      <c r="C2957" s="2351"/>
      <c r="D2957" s="2096" t="s">
        <v>1742</v>
      </c>
      <c r="E2957" s="2352" t="s">
        <v>5241</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ht="15" outlineLevel="1">
      <c r="A2958" s="2126" t="str">
        <f t="shared" si="613"/>
        <v/>
      </c>
      <c r="B2958" s="2513" t="s">
        <v>1830</v>
      </c>
      <c r="C2958" s="2351"/>
      <c r="D2958" s="2096" t="s">
        <v>5388</v>
      </c>
      <c r="E2958" s="2352" t="s">
        <v>5390</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ht="15" outlineLevel="1">
      <c r="A2959" s="2126" t="str">
        <f t="shared" si="613"/>
        <v/>
      </c>
      <c r="B2959" s="2205"/>
      <c r="C2959" s="2202">
        <f>IF(G2959&gt;0,C2951+1,C2951)</f>
        <v>0</v>
      </c>
      <c r="D2959" s="2203"/>
      <c r="E2959" s="2361" t="s">
        <v>6175</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5" outlineLevel="1">
      <c r="A2960" s="2126" t="str">
        <f>A2959</f>
        <v/>
      </c>
      <c r="B2960" s="2205"/>
      <c r="C2960" s="2202"/>
      <c r="D2960" s="2203"/>
      <c r="E2960" s="2211" t="s">
        <v>6037</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ht="15"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ht="15"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ht="15"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ht="15"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ht="15" outlineLevel="1">
      <c r="A2965" s="2126" t="str">
        <f t="shared" si="618"/>
        <v/>
      </c>
      <c r="B2965" s="2205" t="s">
        <v>2237</v>
      </c>
      <c r="C2965" s="2202"/>
      <c r="D2965" s="2096" t="s">
        <v>727</v>
      </c>
      <c r="E2965" s="2138" t="s">
        <v>2434</v>
      </c>
      <c r="F2965" s="2096" t="s">
        <v>2379</v>
      </c>
      <c r="G2965" s="2213">
        <f>G2959</f>
        <v>0</v>
      </c>
      <c r="H2965" s="2303">
        <v>0</v>
      </c>
      <c r="I2965" s="2303"/>
      <c r="J2965" s="2303" t="s">
        <v>6249</v>
      </c>
      <c r="K2965" s="2303"/>
      <c r="L2965" s="2304">
        <f t="shared" si="614"/>
        <v>0</v>
      </c>
      <c r="M2965" s="2304"/>
      <c r="N2965" s="2303">
        <v>0</v>
      </c>
      <c r="O2965" s="2304"/>
      <c r="P2965" s="2209"/>
      <c r="Q2965" s="2210"/>
      <c r="R2965" s="2210"/>
      <c r="S2965" s="2210"/>
    </row>
    <row r="2966" spans="1:19" s="2049" customFormat="1" ht="15" outlineLevel="1" collapsed="1">
      <c r="A2966" s="2126" t="str">
        <f t="shared" si="618"/>
        <v/>
      </c>
      <c r="B2966" s="2205"/>
      <c r="C2966" s="2202">
        <f>IF(G2966&gt;0,C2959+1,C2959)</f>
        <v>0</v>
      </c>
      <c r="D2966" s="2203"/>
      <c r="E2966" s="2361" t="s">
        <v>6192</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5" outlineLevel="1">
      <c r="A2967" s="2126" t="str">
        <f>A2966</f>
        <v/>
      </c>
      <c r="B2967" s="2205"/>
      <c r="C2967" s="2202"/>
      <c r="D2967" s="2203"/>
      <c r="E2967" s="2211" t="s">
        <v>6037</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ht="15"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ht="15"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ht="15"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ht="15"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ht="15"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ht="15" outlineLevel="1">
      <c r="A2973" s="2126" t="str">
        <f t="shared" si="619"/>
        <v/>
      </c>
      <c r="B2973" s="2205" t="s">
        <v>514</v>
      </c>
      <c r="C2973" s="2202"/>
      <c r="D2973" s="2096" t="s">
        <v>1453</v>
      </c>
      <c r="E2973" s="2138" t="s">
        <v>5339</v>
      </c>
      <c r="F2973" s="2096" t="s">
        <v>2379</v>
      </c>
      <c r="G2973" s="2213">
        <f>G2966</f>
        <v>0</v>
      </c>
      <c r="H2973" s="2208">
        <v>0</v>
      </c>
      <c r="I2973" s="2208"/>
      <c r="J2973" s="2208" t="s">
        <v>6295</v>
      </c>
      <c r="K2973" s="2208"/>
      <c r="L2973" s="2208">
        <f t="shared" si="614"/>
        <v>0</v>
      </c>
      <c r="M2973" s="2208"/>
      <c r="N2973" s="2208">
        <v>0</v>
      </c>
      <c r="O2973" s="2208"/>
      <c r="P2973" s="2209"/>
      <c r="Q2973" s="2210"/>
      <c r="R2973" s="2210"/>
      <c r="S2973" s="2210"/>
    </row>
    <row r="2974" spans="1:19" s="2049" customFormat="1" ht="15" outlineLevel="1">
      <c r="A2974" s="2126" t="str">
        <f t="shared" si="619"/>
        <v/>
      </c>
      <c r="B2974" s="2205"/>
      <c r="C2974" s="2202">
        <f>IF(G2974&gt;0,C2966+1,C2966)</f>
        <v>0</v>
      </c>
      <c r="D2974" s="2203"/>
      <c r="E2974" s="2361" t="s">
        <v>6193</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5" outlineLevel="1">
      <c r="A2975" s="2126" t="str">
        <f>A2974</f>
        <v/>
      </c>
      <c r="B2975" s="2205"/>
      <c r="C2975" s="2202"/>
      <c r="D2975" s="2203"/>
      <c r="E2975" s="2211" t="s">
        <v>6037</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ht="15"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ht="15"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ht="15"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ht="15"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ht="15" outlineLevel="1">
      <c r="A2980" s="2126" t="str">
        <f t="shared" si="620"/>
        <v/>
      </c>
      <c r="B2980" s="2205" t="s">
        <v>984</v>
      </c>
      <c r="C2980" s="2202"/>
      <c r="D2980" s="2096">
        <v>0</v>
      </c>
      <c r="E2980" s="2138" t="s">
        <v>5188</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ht="15" outlineLevel="1">
      <c r="A2981" s="2126" t="str">
        <f t="shared" si="620"/>
        <v/>
      </c>
      <c r="B2981" s="2205" t="s">
        <v>1990</v>
      </c>
      <c r="C2981" s="2202"/>
      <c r="D2981" s="2096" t="s">
        <v>2259</v>
      </c>
      <c r="E2981" s="2138" t="s">
        <v>5296</v>
      </c>
      <c r="F2981" s="2096" t="s">
        <v>2379</v>
      </c>
      <c r="G2981" s="2213">
        <f>G2974</f>
        <v>0</v>
      </c>
      <c r="H2981" s="2208">
        <v>0</v>
      </c>
      <c r="I2981" s="2208"/>
      <c r="J2981" s="2208" t="s">
        <v>6248</v>
      </c>
      <c r="K2981" s="2208"/>
      <c r="L2981" s="2208">
        <f t="shared" si="614"/>
        <v>0</v>
      </c>
      <c r="M2981" s="2208"/>
      <c r="N2981" s="2208">
        <v>0</v>
      </c>
      <c r="O2981" s="2208"/>
      <c r="P2981" s="2209"/>
      <c r="Q2981" s="2210"/>
      <c r="R2981" s="2210"/>
      <c r="S2981" s="2210"/>
    </row>
    <row r="2982" spans="1:19" s="2049" customFormat="1" ht="15"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5" outlineLevel="1">
      <c r="A2983" s="2126" t="str">
        <f>A2982</f>
        <v/>
      </c>
      <c r="B2983" s="2362"/>
      <c r="C2983" s="2202"/>
      <c r="D2983" s="2203"/>
      <c r="E2983" s="2211" t="s">
        <v>6194</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ht="15"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ht="15" outlineLevel="1">
      <c r="A2985" s="2126" t="str">
        <f t="shared" si="622"/>
        <v/>
      </c>
      <c r="B2985" s="2196" t="s">
        <v>1504</v>
      </c>
      <c r="C2985" s="2202"/>
      <c r="D2985" s="2096">
        <v>0</v>
      </c>
      <c r="E2985" s="2138" t="s">
        <v>5081</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ht="15" outlineLevel="1">
      <c r="A2986" s="2126" t="str">
        <f t="shared" si="622"/>
        <v/>
      </c>
      <c r="B2986" s="2196" t="s">
        <v>1581</v>
      </c>
      <c r="C2986" s="2202"/>
      <c r="D2986" s="2096">
        <v>0</v>
      </c>
      <c r="E2986" s="2138" t="s">
        <v>5628</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ht="15"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ht="15"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ht="15" outlineLevel="1">
      <c r="A2989" s="2126" t="str">
        <f t="shared" si="622"/>
        <v/>
      </c>
      <c r="B2989" s="2196" t="s">
        <v>523</v>
      </c>
      <c r="C2989" s="2202"/>
      <c r="D2989" s="2096">
        <v>0</v>
      </c>
      <c r="E2989" s="2138" t="s">
        <v>5170</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ht="15"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ht="15" outlineLevel="1">
      <c r="A2991" s="2126">
        <f>IF(G2991=0,0,1)</f>
        <v>0</v>
      </c>
      <c r="B2991" s="2196" t="s">
        <v>791</v>
      </c>
      <c r="C2991" s="2212"/>
      <c r="D2991" s="2096" t="s">
        <v>5253</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ht="15" outlineLevel="1">
      <c r="A2992" s="2126">
        <f>IF(G2992=0,0,1)</f>
        <v>0</v>
      </c>
      <c r="B2992" s="2196" t="s">
        <v>795</v>
      </c>
      <c r="C2992" s="2212"/>
      <c r="D2992" s="2096" t="s">
        <v>5242</v>
      </c>
      <c r="E2992" s="2138" t="s">
        <v>5254</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ht="15" outlineLevel="1">
      <c r="A2993" s="2126">
        <f>IF(G2993=0,0,1)</f>
        <v>0</v>
      </c>
      <c r="B2993" s="2196" t="s">
        <v>899</v>
      </c>
      <c r="C2993" s="2212"/>
      <c r="D2993" s="2096" t="s">
        <v>5268</v>
      </c>
      <c r="E2993" s="2138" t="s">
        <v>5269</v>
      </c>
      <c r="F2993" s="2445" t="s">
        <v>853</v>
      </c>
      <c r="G2993" s="2364">
        <f>G2985</f>
        <v>0</v>
      </c>
      <c r="H2993" s="2208">
        <v>0</v>
      </c>
      <c r="I2993" s="2208"/>
      <c r="J2993" s="2208" t="s">
        <v>6216</v>
      </c>
      <c r="K2993" s="2208">
        <v>0</v>
      </c>
      <c r="L2993" s="2208">
        <f>H2993*$G2993</f>
        <v>0</v>
      </c>
      <c r="M2993" s="2208">
        <f>I2993*$G2993</f>
        <v>0</v>
      </c>
      <c r="N2993" s="2208">
        <v>0</v>
      </c>
      <c r="O2993" s="2208">
        <f>K2993*$G2993</f>
        <v>0</v>
      </c>
      <c r="P2993" s="2209"/>
      <c r="Q2993" s="2210"/>
      <c r="R2993" s="2210"/>
      <c r="S2993" s="2210"/>
    </row>
    <row r="2994" spans="1:19" s="2049" customFormat="1" ht="15" outlineLevel="1">
      <c r="A2994" s="2126" t="str">
        <f>IF(G2994&lt;&gt;0,1,"")</f>
        <v/>
      </c>
      <c r="B2994" s="2196" t="s">
        <v>1433</v>
      </c>
      <c r="C2994" s="2202"/>
      <c r="D2994" s="2096" t="s">
        <v>5263</v>
      </c>
      <c r="E2994" s="2138" t="s">
        <v>5264</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ht="15" outlineLevel="1">
      <c r="A2995" s="2126" t="str">
        <f>IF(G2995&lt;&gt;0,1,"")</f>
        <v/>
      </c>
      <c r="B2995" s="2205"/>
      <c r="C2995" s="2202">
        <f>IF(G2995&gt;0,C2982+1,C2982)</f>
        <v>0</v>
      </c>
      <c r="D2995" s="2203"/>
      <c r="E2995" s="2320" t="s">
        <v>6195</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5" outlineLevel="1">
      <c r="A2996" s="2126" t="str">
        <f>A2995</f>
        <v/>
      </c>
      <c r="B2996" s="2205"/>
      <c r="C2996" s="2202"/>
      <c r="D2996" s="2203"/>
      <c r="E2996" s="2211" t="s">
        <v>6037</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ht="15" outlineLevel="1">
      <c r="A2997" s="2126" t="str">
        <f>IF(G2997&lt;&gt;0,1,"")</f>
        <v/>
      </c>
      <c r="B2997" s="2205" t="s">
        <v>6196</v>
      </c>
      <c r="C2997" s="2212"/>
      <c r="D2997" s="2096" t="s">
        <v>5548</v>
      </c>
      <c r="E2997" s="2138" t="s">
        <v>5552</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ht="15" outlineLevel="1">
      <c r="A2998" s="2126" t="str">
        <f>IF(G2998&lt;&gt;0,1,"")</f>
        <v/>
      </c>
      <c r="B2998" s="2205" t="s">
        <v>288</v>
      </c>
      <c r="C2998" s="2212"/>
      <c r="D2998" s="2096">
        <v>0</v>
      </c>
      <c r="E2998" s="2138" t="s">
        <v>5627</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ht="15"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5" outlineLevel="1">
      <c r="A3000" s="2126" t="str">
        <f>A2999</f>
        <v/>
      </c>
      <c r="B3000" s="2205"/>
      <c r="C3000" s="2202"/>
      <c r="D3000" s="2203"/>
      <c r="E3000" s="2211" t="s">
        <v>6037</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ht="15" outlineLevel="1">
      <c r="A3001" s="2126" t="str">
        <f t="shared" ref="A3001:A3009" si="628">IF(G3001&lt;&gt;0,1,"")</f>
        <v/>
      </c>
      <c r="B3001" s="2498" t="s">
        <v>749</v>
      </c>
      <c r="C3001" s="2212"/>
      <c r="D3001" s="2096">
        <v>0</v>
      </c>
      <c r="E3001" s="2303" t="s">
        <v>6296</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ht="15" outlineLevel="1">
      <c r="A3002" s="2126" t="str">
        <f t="shared" si="628"/>
        <v/>
      </c>
      <c r="B3002" s="2498" t="s">
        <v>864</v>
      </c>
      <c r="C3002" s="2212"/>
      <c r="D3002" s="2096">
        <v>0</v>
      </c>
      <c r="E3002" s="2303" t="s">
        <v>6297</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ht="15" outlineLevel="1">
      <c r="A3003" s="2126" t="str">
        <f t="shared" si="628"/>
        <v/>
      </c>
      <c r="B3003" s="2498" t="s">
        <v>1671</v>
      </c>
      <c r="C3003" s="2212"/>
      <c r="D3003" s="2096">
        <v>0</v>
      </c>
      <c r="E3003" s="2303" t="s">
        <v>6281</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ht="15" outlineLevel="1">
      <c r="A3004" s="2126" t="str">
        <f t="shared" si="628"/>
        <v/>
      </c>
      <c r="B3004" s="2498" t="s">
        <v>1672</v>
      </c>
      <c r="C3004" s="2212"/>
      <c r="D3004" s="2096" t="s">
        <v>5208</v>
      </c>
      <c r="E3004" s="2303" t="s">
        <v>6282</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ht="15"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ht="15" outlineLevel="1">
      <c r="A3006" s="2126" t="str">
        <f t="shared" si="628"/>
        <v/>
      </c>
      <c r="B3006" s="2498" t="s">
        <v>1674</v>
      </c>
      <c r="C3006" s="2212"/>
      <c r="D3006" s="2096" t="s">
        <v>5250</v>
      </c>
      <c r="E3006" s="2303" t="s">
        <v>6283</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ht="15" outlineLevel="1">
      <c r="A3007" s="2126" t="str">
        <f t="shared" si="628"/>
        <v/>
      </c>
      <c r="B3007" s="2498" t="s">
        <v>144</v>
      </c>
      <c r="C3007" s="2212"/>
      <c r="D3007" s="2096" t="s">
        <v>5244</v>
      </c>
      <c r="E3007" s="2303" t="s">
        <v>6284</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ht="15" outlineLevel="1">
      <c r="A3008" s="2126" t="str">
        <f t="shared" si="628"/>
        <v/>
      </c>
      <c r="B3008" s="2498" t="s">
        <v>527</v>
      </c>
      <c r="C3008" s="2212"/>
      <c r="D3008" s="2096" t="s">
        <v>5249</v>
      </c>
      <c r="E3008" s="2303" t="s">
        <v>6298</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ht="15"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5" outlineLevel="1">
      <c r="A3010" s="2126" t="str">
        <f>A3009</f>
        <v/>
      </c>
      <c r="B3010" s="2205"/>
      <c r="C3010" s="2202"/>
      <c r="D3010" s="2203"/>
      <c r="E3010" s="2211" t="s">
        <v>6037</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ht="15" outlineLevel="1">
      <c r="A3011" s="2126" t="str">
        <f t="shared" ref="A3011:A3018" si="629">IF(G3011&lt;&gt;0,1,"")</f>
        <v/>
      </c>
      <c r="B3011" s="2205" t="s">
        <v>620</v>
      </c>
      <c r="C3011" s="2212"/>
      <c r="D3011" s="2096" t="s">
        <v>5223</v>
      </c>
      <c r="E3011" s="2138" t="s">
        <v>5224</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ht="15"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ht="15"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ht="15"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ht="15"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ht="15" outlineLevel="1">
      <c r="A3016" s="2126" t="str">
        <f t="shared" si="629"/>
        <v/>
      </c>
      <c r="B3016" s="2205" t="s">
        <v>1406</v>
      </c>
      <c r="C3016" s="2202"/>
      <c r="D3016" s="2096" t="s">
        <v>5258</v>
      </c>
      <c r="E3016" s="2138" t="s">
        <v>5259</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ht="15" outlineLevel="1">
      <c r="A3017" s="2126" t="str">
        <f t="shared" si="629"/>
        <v/>
      </c>
      <c r="B3017" s="2205" t="s">
        <v>288</v>
      </c>
      <c r="C3017" s="2212"/>
      <c r="D3017" s="2096">
        <v>0</v>
      </c>
      <c r="E3017" s="2138" t="s">
        <v>5627</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ht="15"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5" outlineLevel="1">
      <c r="A3019" s="2126" t="str">
        <f>A3018</f>
        <v/>
      </c>
      <c r="B3019" s="2205"/>
      <c r="C3019" s="2202"/>
      <c r="D3019" s="2203"/>
      <c r="E3019" s="2218" t="s">
        <v>6037</v>
      </c>
      <c r="F3019" s="2202"/>
      <c r="G3019" s="2207"/>
      <c r="H3019" s="2208"/>
      <c r="I3019" s="2208"/>
      <c r="J3019" s="2208"/>
      <c r="K3019" s="2208"/>
      <c r="L3019" s="2208"/>
      <c r="M3019" s="2208"/>
      <c r="N3019" s="2208"/>
      <c r="O3019" s="2208"/>
      <c r="P3019" s="2209"/>
      <c r="Q3019" s="2210"/>
      <c r="R3019" s="2210"/>
      <c r="S3019" s="2210"/>
    </row>
    <row r="3020" spans="1:19" s="2049" customFormat="1" ht="15" outlineLevel="1">
      <c r="A3020" s="2126" t="str">
        <f>IF(G3020&lt;&gt;0,1,"")</f>
        <v/>
      </c>
      <c r="B3020" s="2196" t="s">
        <v>468</v>
      </c>
      <c r="C3020" s="2212"/>
      <c r="D3020" s="2096">
        <v>0</v>
      </c>
      <c r="E3020" s="2138" t="s">
        <v>6299</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ht="15" outlineLevel="1">
      <c r="A3021" s="2126" t="str">
        <f t="shared" ref="A3021:A3030" si="630">IF(G3021&lt;&gt;0,1,"")</f>
        <v/>
      </c>
      <c r="B3021" s="2196" t="s">
        <v>270</v>
      </c>
      <c r="C3021" s="2212"/>
      <c r="D3021" s="2096">
        <v>0</v>
      </c>
      <c r="E3021" s="2138" t="s">
        <v>6300</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ht="15"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ht="15" outlineLevel="1">
      <c r="A3023" s="2126" t="str">
        <f t="shared" si="630"/>
        <v/>
      </c>
      <c r="B3023" s="2196" t="s">
        <v>468</v>
      </c>
      <c r="C3023" s="2212"/>
      <c r="D3023" s="2096">
        <v>0</v>
      </c>
      <c r="E3023" s="2138" t="s">
        <v>6289</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ht="15" outlineLevel="1">
      <c r="A3024" s="2126" t="str">
        <f t="shared" si="630"/>
        <v/>
      </c>
      <c r="B3024" s="2196" t="s">
        <v>270</v>
      </c>
      <c r="C3024" s="2212"/>
      <c r="D3024" s="2096">
        <v>0</v>
      </c>
      <c r="E3024" s="2138" t="s">
        <v>6290</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ht="15"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ht="15" outlineLevel="1">
      <c r="A3026" s="2126" t="str">
        <f t="shared" si="630"/>
        <v/>
      </c>
      <c r="B3026" s="2196" t="s">
        <v>1670</v>
      </c>
      <c r="C3026" s="2212"/>
      <c r="D3026" s="2096" t="s">
        <v>5376</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ht="15" outlineLevel="1">
      <c r="A3027" s="2126" t="str">
        <f t="shared" si="630"/>
        <v/>
      </c>
      <c r="B3027" s="2196" t="s">
        <v>1178</v>
      </c>
      <c r="C3027" s="2212"/>
      <c r="D3027" s="2096" t="s">
        <v>5469</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ht="15" outlineLevel="1">
      <c r="A3028" s="2126" t="str">
        <f t="shared" si="630"/>
        <v/>
      </c>
      <c r="B3028" s="2196" t="s">
        <v>1521</v>
      </c>
      <c r="C3028" s="2212"/>
      <c r="D3028" s="2096" t="s">
        <v>5487</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ht="15"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ht="15"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5" outlineLevel="1">
      <c r="A3031" s="2126" t="str">
        <f>A3030</f>
        <v/>
      </c>
      <c r="B3031" s="2205"/>
      <c r="C3031" s="2202"/>
      <c r="D3031" s="2203"/>
      <c r="E3031" s="2218" t="s">
        <v>6037</v>
      </c>
      <c r="F3031" s="2202"/>
      <c r="G3031" s="2207"/>
      <c r="H3031" s="2208"/>
      <c r="I3031" s="2208"/>
      <c r="J3031" s="2208"/>
      <c r="K3031" s="2208"/>
      <c r="L3031" s="2208"/>
      <c r="M3031" s="2208"/>
      <c r="N3031" s="2208"/>
      <c r="O3031" s="2208"/>
      <c r="P3031" s="2209"/>
      <c r="Q3031" s="2210"/>
      <c r="R3031" s="2210"/>
      <c r="S3031" s="2210"/>
    </row>
    <row r="3032" spans="1:19" s="2049" customFormat="1" ht="15" outlineLevel="1">
      <c r="A3032" s="2126" t="str">
        <f t="shared" ref="A3032:A3037" si="635">IF(G3032&lt;&gt;0,1,"")</f>
        <v/>
      </c>
      <c r="B3032" s="2196" t="s">
        <v>694</v>
      </c>
      <c r="C3032" s="2212"/>
      <c r="D3032" s="2096">
        <v>0</v>
      </c>
      <c r="E3032" s="2138" t="s">
        <v>5005</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ht="15"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ht="15"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ht="15" outlineLevel="1">
      <c r="A3035" s="2126" t="str">
        <f t="shared" si="635"/>
        <v/>
      </c>
      <c r="B3035" s="2301" t="s">
        <v>1473</v>
      </c>
      <c r="C3035" s="2212"/>
      <c r="D3035" s="2096">
        <v>0</v>
      </c>
      <c r="E3035" s="2138" t="s">
        <v>6250</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ht="15"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ht="15"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ht="15" outlineLevel="1">
      <c r="A3038" s="2126" t="str">
        <f>IF(G3038&lt;&gt;0,1,"")</f>
        <v/>
      </c>
      <c r="B3038" s="2196" t="s">
        <v>346</v>
      </c>
      <c r="C3038" s="2212"/>
      <c r="D3038" s="2096" t="s">
        <v>5477</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ht="15" outlineLevel="1">
      <c r="A3039" s="2126" t="str">
        <f>IF(G3039&lt;&gt;0,1,"")</f>
        <v/>
      </c>
      <c r="B3039" s="2196"/>
      <c r="C3039" s="2202">
        <f>IF(G3039&gt;0,C3030+1,C3030)</f>
        <v>0</v>
      </c>
      <c r="D3039" s="2203"/>
      <c r="E3039" s="2204" t="s">
        <v>6197</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5" outlineLevel="1">
      <c r="A3040" s="2126" t="str">
        <f>A3039</f>
        <v/>
      </c>
      <c r="B3040" s="2196"/>
      <c r="C3040" s="2202"/>
      <c r="D3040" s="2203"/>
      <c r="E3040" s="2218" t="s">
        <v>6037</v>
      </c>
      <c r="F3040" s="2202"/>
      <c r="G3040" s="2213"/>
      <c r="H3040" s="2208"/>
      <c r="I3040" s="2208"/>
      <c r="J3040" s="2208"/>
      <c r="K3040" s="2208"/>
      <c r="L3040" s="2208"/>
      <c r="M3040" s="2208"/>
      <c r="N3040" s="2208"/>
      <c r="O3040" s="2208"/>
      <c r="P3040" s="2209"/>
      <c r="Q3040" s="2210"/>
      <c r="R3040" s="2210"/>
      <c r="S3040" s="2210"/>
    </row>
    <row r="3041" spans="1:19" s="2049" customFormat="1" ht="15"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ht="15" outlineLevel="1">
      <c r="A3042" s="2126" t="str">
        <f t="shared" si="639"/>
        <v/>
      </c>
      <c r="B3042" s="2205" t="s">
        <v>446</v>
      </c>
      <c r="C3042" s="2212"/>
      <c r="D3042" s="2096" t="s">
        <v>5646</v>
      </c>
      <c r="E3042" s="2138" t="s">
        <v>6301</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ht="15" outlineLevel="1">
      <c r="A3043" s="2126" t="str">
        <f t="shared" si="639"/>
        <v/>
      </c>
      <c r="B3043" s="2205" t="s">
        <v>1068</v>
      </c>
      <c r="C3043" s="2212"/>
      <c r="D3043" s="2096">
        <v>0</v>
      </c>
      <c r="E3043" s="2138" t="s">
        <v>6302</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ht="15"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ht="15" outlineLevel="1">
      <c r="A3045" s="2126" t="str">
        <f t="shared" si="639"/>
        <v/>
      </c>
      <c r="B3045" s="2196" t="s">
        <v>728</v>
      </c>
      <c r="C3045" s="2212"/>
      <c r="D3045" s="2096">
        <v>0</v>
      </c>
      <c r="E3045" s="2138" t="s">
        <v>5176</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ht="15" outlineLevel="1">
      <c r="A3046" s="2126" t="str">
        <f t="shared" si="639"/>
        <v/>
      </c>
      <c r="B3046" s="2205" t="s">
        <v>1039</v>
      </c>
      <c r="C3046" s="2212"/>
      <c r="D3046" s="2096">
        <v>0</v>
      </c>
      <c r="E3046" s="2138" t="s">
        <v>5712</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ht="15"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ht="15" outlineLevel="1">
      <c r="A3048" s="2126" t="str">
        <f t="shared" si="639"/>
        <v/>
      </c>
      <c r="B3048" s="2205" t="s">
        <v>2163</v>
      </c>
      <c r="C3048" s="2212"/>
      <c r="D3048" s="2096">
        <v>0</v>
      </c>
      <c r="E3048" s="2138" t="s">
        <v>6303</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ht="15" outlineLevel="1">
      <c r="A3049" s="2126" t="str">
        <f t="shared" si="639"/>
        <v/>
      </c>
      <c r="B3049" s="2205" t="s">
        <v>723</v>
      </c>
      <c r="C3049" s="2212"/>
      <c r="D3049" s="2096">
        <v>0</v>
      </c>
      <c r="E3049" s="2138" t="s">
        <v>6304</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ht="15" outlineLevel="1">
      <c r="A3050" s="2126" t="str">
        <f>IF(G3050&lt;&gt;0,1,"")</f>
        <v/>
      </c>
      <c r="B3050" s="2196" t="s">
        <v>6</v>
      </c>
      <c r="C3050" s="2212"/>
      <c r="D3050" s="2096"/>
      <c r="E3050" s="2138" t="s">
        <v>6305</v>
      </c>
      <c r="F3050" s="2096" t="s">
        <v>5720</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ht="15"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ht="15" outlineLevel="1">
      <c r="A3052" s="2126" t="str">
        <f>IF(G3052&lt;&gt;0,1,"")</f>
        <v/>
      </c>
      <c r="B3052" s="2196" t="s">
        <v>669</v>
      </c>
      <c r="C3052" s="2212"/>
      <c r="D3052" s="2096">
        <v>0</v>
      </c>
      <c r="E3052" s="2138" t="s">
        <v>5715</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ht="15" outlineLevel="1">
      <c r="A3053" s="2126" t="str">
        <f>IF(G3053&lt;&gt;0,1,"")</f>
        <v/>
      </c>
      <c r="B3053" s="2196" t="s">
        <v>246</v>
      </c>
      <c r="C3053" s="2515"/>
      <c r="D3053" s="2096" t="s">
        <v>5489</v>
      </c>
      <c r="E3053" s="2138" t="s">
        <v>6306</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ht="15" outlineLevel="1">
      <c r="A3054" s="2126" t="str">
        <f>IF(G3054&lt;&gt;0,1,"")</f>
        <v/>
      </c>
      <c r="B3054" s="2196"/>
      <c r="C3054" s="2202">
        <f>IF(G3054&gt;0,C3039+1,C3039)</f>
        <v>0</v>
      </c>
      <c r="D3054" s="2203"/>
      <c r="E3054" s="2204" t="s">
        <v>6157</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5" outlineLevel="1">
      <c r="A3055" s="2126" t="str">
        <f>A3054</f>
        <v/>
      </c>
      <c r="B3055" s="2444"/>
      <c r="C3055" s="2202"/>
      <c r="D3055" s="2203"/>
      <c r="E3055" s="2218" t="s">
        <v>6037</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ht="15"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ht="15" outlineLevel="1">
      <c r="A3057" s="2126">
        <f>IF(G3057=0,0,1)</f>
        <v>0</v>
      </c>
      <c r="B3057" s="2196" t="s">
        <v>6158</v>
      </c>
      <c r="C3057" s="2212"/>
      <c r="D3057" s="2096">
        <v>0</v>
      </c>
      <c r="E3057" s="2303" t="s">
        <v>4971</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ht="15" outlineLevel="1">
      <c r="A3058" s="2126">
        <f>IF(G3058=0,0,1)</f>
        <v>0</v>
      </c>
      <c r="B3058" s="2196" t="s">
        <v>6159</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ht="15" outlineLevel="1">
      <c r="A3059" s="2126">
        <f t="shared" ref="A3059:A3076" si="645">IF(G3059=0,0,1)</f>
        <v>0</v>
      </c>
      <c r="B3059" s="2205" t="s">
        <v>245</v>
      </c>
      <c r="C3059" s="2333"/>
      <c r="D3059" s="2096">
        <v>0</v>
      </c>
      <c r="E3059" s="2303" t="s">
        <v>5783</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ht="15"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ht="15"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ht="15"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ht="15"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ht="15"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ht="15"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ht="15"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ht="15"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ht="15" outlineLevel="1">
      <c r="A3068" s="2126">
        <f t="shared" si="645"/>
        <v>0</v>
      </c>
      <c r="B3068" s="2196" t="s">
        <v>669</v>
      </c>
      <c r="C3068" s="2212"/>
      <c r="D3068" s="2096">
        <v>0</v>
      </c>
      <c r="E3068" s="2303" t="s">
        <v>5715</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ht="15"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ht="15"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ht="15" outlineLevel="1">
      <c r="A3071" s="2126">
        <f t="shared" si="645"/>
        <v>0</v>
      </c>
      <c r="B3071" s="2196" t="s">
        <v>318</v>
      </c>
      <c r="C3071" s="2212"/>
      <c r="D3071" s="2096">
        <v>0</v>
      </c>
      <c r="E3071" s="2303" t="s">
        <v>5187</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ht="15" outlineLevel="1">
      <c r="A3072" s="2126">
        <f t="shared" si="645"/>
        <v>0</v>
      </c>
      <c r="B3072" s="2196" t="s">
        <v>1910</v>
      </c>
      <c r="C3072" s="2212"/>
      <c r="D3072" s="2096" t="s">
        <v>5570</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ht="15" outlineLevel="1">
      <c r="A3073" s="2126">
        <f t="shared" si="645"/>
        <v>0</v>
      </c>
      <c r="B3073" s="2196" t="s">
        <v>6</v>
      </c>
      <c r="C3073" s="2212"/>
      <c r="D3073" s="2096">
        <v>0</v>
      </c>
      <c r="E3073" s="2303" t="s">
        <v>3552</v>
      </c>
      <c r="F3073" s="2445" t="s">
        <v>5720</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ht="15"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ht="15"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ht="15" outlineLevel="1">
      <c r="A3076" s="2126">
        <f t="shared" si="645"/>
        <v>0</v>
      </c>
      <c r="B3076" s="2196" t="s">
        <v>6159</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ht="15" outlineLevel="1">
      <c r="A3077" s="2126">
        <f>A2927</f>
        <v>0</v>
      </c>
      <c r="B3077" s="2301"/>
      <c r="C3077" s="2516"/>
      <c r="D3077" s="2368"/>
      <c r="E3077" s="2343"/>
      <c r="F3077" s="2581"/>
      <c r="G3077" s="2582"/>
      <c r="H3077" s="2581"/>
      <c r="I3077" s="2581"/>
      <c r="J3077" s="2591" t="s">
        <v>6035</v>
      </c>
      <c r="K3077" s="2591"/>
      <c r="L3077" s="2369">
        <f>SUM(L2946:L3076)</f>
        <v>0</v>
      </c>
      <c r="M3077" s="2369">
        <f>SUM(M2946:M3076)</f>
        <v>0</v>
      </c>
      <c r="N3077" s="2369">
        <f>SUM(N2946:N3076)</f>
        <v>0</v>
      </c>
      <c r="O3077" s="2369">
        <f>SUM(O2946:O3076)</f>
        <v>0</v>
      </c>
      <c r="P3077" s="2512"/>
      <c r="Q3077" s="2210"/>
      <c r="R3077" s="2210"/>
      <c r="S3077" s="2210"/>
    </row>
    <row r="3078" spans="1:19" s="2049" customFormat="1" ht="15"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ht="15"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ht="15" outlineLevel="1">
      <c r="A3081" s="2126">
        <f>A3079</f>
        <v>0</v>
      </c>
      <c r="B3081" s="2205" t="s">
        <v>6016</v>
      </c>
      <c r="C3081" s="2592" t="s">
        <v>1704</v>
      </c>
      <c r="D3081" s="2593" t="s">
        <v>2589</v>
      </c>
      <c r="E3081" s="2595" t="s">
        <v>2590</v>
      </c>
      <c r="F3081" s="2592" t="s">
        <v>2585</v>
      </c>
      <c r="G3081" s="2053" t="s">
        <v>6017</v>
      </c>
      <c r="H3081" s="2056" t="s">
        <v>6018</v>
      </c>
      <c r="I3081" s="2563"/>
      <c r="J3081" s="2563"/>
      <c r="K3081" s="2564"/>
      <c r="L3081" s="2056" t="s">
        <v>6019</v>
      </c>
      <c r="M3081" s="2563"/>
      <c r="N3081" s="2563"/>
      <c r="O3081" s="2564"/>
      <c r="P3081" s="2592" t="s">
        <v>2591</v>
      </c>
      <c r="Q3081" s="2210"/>
      <c r="R3081" s="2210"/>
      <c r="S3081" s="2210"/>
    </row>
    <row r="3082" spans="1:19" s="2049" customFormat="1" ht="15" outlineLevel="1">
      <c r="A3082" s="2126">
        <f>A3081</f>
        <v>0</v>
      </c>
      <c r="B3082" s="2205"/>
      <c r="C3082" s="2592"/>
      <c r="D3082" s="2594"/>
      <c r="E3082" s="2596"/>
      <c r="F3082" s="2592"/>
      <c r="G3082" s="2055" t="s">
        <v>2280</v>
      </c>
      <c r="H3082" s="2056" t="s">
        <v>6020</v>
      </c>
      <c r="I3082" s="2056" t="s">
        <v>6021</v>
      </c>
      <c r="J3082" s="2056" t="s">
        <v>6022</v>
      </c>
      <c r="K3082" s="2056" t="s">
        <v>6023</v>
      </c>
      <c r="L3082" s="2056" t="s">
        <v>6020</v>
      </c>
      <c r="M3082" s="2056" t="s">
        <v>6021</v>
      </c>
      <c r="N3082" s="2056" t="s">
        <v>6022</v>
      </c>
      <c r="O3082" s="2056" t="s">
        <v>6023</v>
      </c>
      <c r="P3082" s="2592"/>
      <c r="Q3082" s="2210"/>
      <c r="R3082" s="2210"/>
      <c r="S3082" s="2210"/>
    </row>
    <row r="3083" spans="1:19" s="2049" customFormat="1" ht="15"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ht="15" outlineLevel="1">
      <c r="A3084" s="2126" t="str">
        <f t="shared" ref="A3084:A3094" si="646">IF(G3084&lt;&gt;0,1,"")</f>
        <v/>
      </c>
      <c r="B3084" s="2196" t="str">
        <f>IF($F$8=15,"tr1500","tr15001")</f>
        <v>tr15001</v>
      </c>
      <c r="C3084" s="2212">
        <f>IF(G3084&gt;0,1,0)</f>
        <v>0</v>
      </c>
      <c r="D3084" s="2096" t="s">
        <v>5509</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ht="15" outlineLevel="1">
      <c r="A3085" s="2126" t="str">
        <f t="shared" si="646"/>
        <v/>
      </c>
      <c r="B3085" s="2301" t="s">
        <v>392</v>
      </c>
      <c r="C3085" s="2212">
        <f>IF(G3085&gt;0,C3084+1,C3084)</f>
        <v>0</v>
      </c>
      <c r="D3085" s="2096" t="s">
        <v>5515</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ht="15"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6189</v>
      </c>
      <c r="Q3086" s="2210"/>
      <c r="R3086" s="2210"/>
      <c r="S3086" s="2210"/>
    </row>
    <row r="3087" spans="1:19" s="2049" customFormat="1" ht="15" outlineLevel="1">
      <c r="A3087" s="2126" t="str">
        <f t="shared" si="646"/>
        <v/>
      </c>
      <c r="B3087" s="2062" t="str">
        <f>"FCO100-"&amp;$F$8</f>
        <v>FCO100-22</v>
      </c>
      <c r="C3087" s="2212">
        <f t="shared" si="651"/>
        <v>0</v>
      </c>
      <c r="D3087" s="2096" t="s">
        <v>5513</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ht="15"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ht="15" outlineLevel="1">
      <c r="A3089" s="2126" t="str">
        <f t="shared" si="646"/>
        <v/>
      </c>
      <c r="B3089" s="2205" t="str">
        <f>"LA"&amp;$F$6</f>
        <v>LA18</v>
      </c>
      <c r="C3089" s="2212">
        <f t="shared" si="651"/>
        <v>0</v>
      </c>
      <c r="D3089" s="2096" t="s">
        <v>5517</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ht="15"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ht="15" outlineLevel="1">
      <c r="A3091" s="2126" t="str">
        <f t="shared" si="646"/>
        <v/>
      </c>
      <c r="B3091" s="2301" t="s">
        <v>6198</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ht="15"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ht="15" outlineLevel="1">
      <c r="A3093" s="2126" t="str">
        <f t="shared" si="646"/>
        <v/>
      </c>
      <c r="B3093" s="2196" t="str">
        <f>IF($F$8=15,"TU15","TU22")</f>
        <v>TU22</v>
      </c>
      <c r="C3093" s="2212">
        <f>IF(G3093&gt;0,C3092+1,C3092)</f>
        <v>0</v>
      </c>
      <c r="D3093" s="2096">
        <v>0</v>
      </c>
      <c r="E3093" s="2138" t="s">
        <v>5526</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ht="15" outlineLevel="1">
      <c r="A3094" s="2126" t="str">
        <f t="shared" si="646"/>
        <v/>
      </c>
      <c r="B3094" s="2511" t="s">
        <v>1832</v>
      </c>
      <c r="C3094" s="2212">
        <f>IF(G3094&gt;0,C3093+1,C3093)</f>
        <v>0</v>
      </c>
      <c r="D3094" s="2096">
        <v>0</v>
      </c>
      <c r="E3094" s="2138" t="s">
        <v>5624</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ht="15" outlineLevel="1">
      <c r="A3095" s="2126">
        <f>A3079</f>
        <v>0</v>
      </c>
      <c r="B3095" s="2205"/>
      <c r="C3095" s="2337"/>
      <c r="D3095" s="2338"/>
      <c r="E3095" s="2339"/>
      <c r="F3095" s="2337"/>
      <c r="G3095" s="2580"/>
      <c r="H3095" s="2337"/>
      <c r="I3095" s="2337"/>
      <c r="J3095" s="2061" t="s">
        <v>6025</v>
      </c>
      <c r="K3095" s="2337"/>
      <c r="L3095" s="2339">
        <f>SUM(L3084:L3094)</f>
        <v>0</v>
      </c>
      <c r="M3095" s="2339">
        <f>SUM(M3084:M3094)</f>
        <v>0</v>
      </c>
      <c r="N3095" s="2339">
        <f>SUM(N3084:N3094)</f>
        <v>0</v>
      </c>
      <c r="O3095" s="2339">
        <f>SUM(O3084:O3094)</f>
        <v>0</v>
      </c>
      <c r="P3095" s="2512"/>
      <c r="Q3095" s="2210"/>
      <c r="R3095" s="2210"/>
      <c r="S3095" s="2210"/>
    </row>
    <row r="3096" spans="1:19" s="2049" customFormat="1" ht="15"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ht="15" outlineLevel="1">
      <c r="A3097" s="2126" t="str">
        <f t="shared" ref="A3097:A3110" si="652">IF(G3097&lt;&gt;0,1,"")</f>
        <v/>
      </c>
      <c r="B3097" s="2345"/>
      <c r="C3097" s="2346">
        <f>IF(G3097&gt;0,1,0)</f>
        <v>0</v>
      </c>
      <c r="D3097" s="2096"/>
      <c r="E3097" s="2347" t="s">
        <v>6121</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ht="15"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ht="15"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ht="15" outlineLevel="1">
      <c r="A3100" s="2126" t="str">
        <f t="shared" si="652"/>
        <v/>
      </c>
      <c r="B3100" s="2301" t="s">
        <v>1608</v>
      </c>
      <c r="C3100" s="2351"/>
      <c r="D3100" s="2096" t="s">
        <v>5274</v>
      </c>
      <c r="E3100" s="2352" t="s">
        <v>5275</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ht="15" outlineLevel="1">
      <c r="A3101" s="2126" t="str">
        <f t="shared" si="652"/>
        <v/>
      </c>
      <c r="B3101" s="2301" t="s">
        <v>2229</v>
      </c>
      <c r="C3101" s="2351"/>
      <c r="D3101" s="2096"/>
      <c r="E3101" s="2352" t="s">
        <v>5241</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ht="15" outlineLevel="1">
      <c r="A3102" s="2126" t="str">
        <f t="shared" si="652"/>
        <v/>
      </c>
      <c r="B3102" s="2301" t="s">
        <v>21</v>
      </c>
      <c r="C3102" s="2351"/>
      <c r="D3102" s="2096" t="s">
        <v>5242</v>
      </c>
      <c r="E3102" s="2352" t="s">
        <v>5243</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ht="15" outlineLevel="1">
      <c r="A3103" s="2126" t="str">
        <f t="shared" si="652"/>
        <v/>
      </c>
      <c r="B3103" s="2301"/>
      <c r="C3103" s="2202">
        <f>IF(G3103&gt;0,C3097+1,C3097)</f>
        <v>0</v>
      </c>
      <c r="D3103" s="2096"/>
      <c r="E3103" s="2347" t="s">
        <v>6199</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ht="15" outlineLevel="1">
      <c r="A3104" s="2126" t="str">
        <f t="shared" si="652"/>
        <v/>
      </c>
      <c r="B3104" s="2301" t="s">
        <v>748</v>
      </c>
      <c r="C3104" s="2351"/>
      <c r="D3104" s="2096">
        <v>0</v>
      </c>
      <c r="E3104" s="2352" t="s">
        <v>5207</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ht="15"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ht="15"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ht="15" outlineLevel="1">
      <c r="A3107" s="2126" t="str">
        <f>IF(G3107&lt;&gt;0,1,"")</f>
        <v/>
      </c>
      <c r="B3107" s="2301" t="s">
        <v>2003</v>
      </c>
      <c r="C3107" s="2351"/>
      <c r="D3107" s="2096"/>
      <c r="E3107" s="2352" t="s">
        <v>5165</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ht="15"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ht="15" outlineLevel="1">
      <c r="A3109" s="2126" t="str">
        <f t="shared" si="652"/>
        <v/>
      </c>
      <c r="B3109" s="2301" t="s">
        <v>636</v>
      </c>
      <c r="C3109" s="2351"/>
      <c r="D3109" s="2096" t="s">
        <v>1742</v>
      </c>
      <c r="E3109" s="2352" t="s">
        <v>5241</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ht="15" outlineLevel="1">
      <c r="A3110" s="2126" t="str">
        <f t="shared" si="652"/>
        <v/>
      </c>
      <c r="B3110" s="2513" t="s">
        <v>1830</v>
      </c>
      <c r="C3110" s="2351"/>
      <c r="D3110" s="2096" t="s">
        <v>5388</v>
      </c>
      <c r="E3110" s="2352" t="s">
        <v>5390</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ht="15" outlineLevel="1">
      <c r="A3111" s="2126" t="str">
        <f>IF(G3111&lt;&gt;0,1,"")</f>
        <v/>
      </c>
      <c r="B3111" s="2205"/>
      <c r="C3111" s="2202">
        <f>IF(G3111&gt;0,C3103+1,C3103)</f>
        <v>0</v>
      </c>
      <c r="D3111" s="2203"/>
      <c r="E3111" s="2361" t="s">
        <v>6175</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5" outlineLevel="1">
      <c r="A3112" s="2126" t="str">
        <f>A3111</f>
        <v/>
      </c>
      <c r="B3112" s="2205"/>
      <c r="C3112" s="2202"/>
      <c r="D3112" s="2203"/>
      <c r="E3112" s="2211" t="s">
        <v>6037</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ht="15"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ht="15"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ht="15"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ht="15"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ht="15" outlineLevel="1">
      <c r="A3117" s="2126" t="str">
        <f t="shared" si="657"/>
        <v/>
      </c>
      <c r="B3117" s="2205" t="s">
        <v>2237</v>
      </c>
      <c r="C3117" s="2202"/>
      <c r="D3117" s="2096" t="s">
        <v>727</v>
      </c>
      <c r="E3117" s="2138" t="s">
        <v>2434</v>
      </c>
      <c r="F3117" s="2096" t="s">
        <v>2379</v>
      </c>
      <c r="G3117" s="2213">
        <f>G3111</f>
        <v>0</v>
      </c>
      <c r="H3117" s="2303">
        <v>0</v>
      </c>
      <c r="I3117" s="2303"/>
      <c r="J3117" s="2303" t="s">
        <v>6249</v>
      </c>
      <c r="K3117" s="2303"/>
      <c r="L3117" s="2304">
        <f t="shared" si="653"/>
        <v>0</v>
      </c>
      <c r="M3117" s="2304"/>
      <c r="N3117" s="2303">
        <v>0</v>
      </c>
      <c r="O3117" s="2304"/>
      <c r="P3117" s="2209"/>
      <c r="Q3117" s="2210"/>
      <c r="R3117" s="2210"/>
      <c r="S3117" s="2210"/>
    </row>
    <row r="3118" spans="1:19" s="2049" customFormat="1" ht="15" outlineLevel="1" collapsed="1">
      <c r="A3118" s="2126" t="str">
        <f t="shared" si="657"/>
        <v/>
      </c>
      <c r="B3118" s="2205"/>
      <c r="C3118" s="2202">
        <f>IF(G3118&gt;0,C3111+1,C3111)</f>
        <v>0</v>
      </c>
      <c r="D3118" s="2203"/>
      <c r="E3118" s="2361" t="s">
        <v>6200</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5" outlineLevel="1">
      <c r="A3119" s="2126" t="str">
        <f>A3118</f>
        <v/>
      </c>
      <c r="B3119" s="2205"/>
      <c r="C3119" s="2202"/>
      <c r="D3119" s="2203"/>
      <c r="E3119" s="2211" t="s">
        <v>6037</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ht="15"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ht="15"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ht="15"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ht="15"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ht="15"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ht="15" outlineLevel="1">
      <c r="A3125" s="2126" t="str">
        <f t="shared" si="658"/>
        <v/>
      </c>
      <c r="B3125" s="2205" t="s">
        <v>514</v>
      </c>
      <c r="C3125" s="2202"/>
      <c r="D3125" s="2096" t="s">
        <v>1453</v>
      </c>
      <c r="E3125" s="2138" t="s">
        <v>5339</v>
      </c>
      <c r="F3125" s="2096" t="s">
        <v>2379</v>
      </c>
      <c r="G3125" s="2213">
        <f>G3118</f>
        <v>0</v>
      </c>
      <c r="H3125" s="2208">
        <v>0</v>
      </c>
      <c r="I3125" s="2208"/>
      <c r="J3125" s="2208" t="s">
        <v>6295</v>
      </c>
      <c r="K3125" s="2208"/>
      <c r="L3125" s="2208">
        <f t="shared" si="653"/>
        <v>0</v>
      </c>
      <c r="M3125" s="2208"/>
      <c r="N3125" s="2208">
        <v>0</v>
      </c>
      <c r="O3125" s="2208"/>
      <c r="P3125" s="2209"/>
      <c r="Q3125" s="2210"/>
      <c r="R3125" s="2210"/>
      <c r="S3125" s="2210"/>
    </row>
    <row r="3126" spans="1:19" s="2049" customFormat="1" ht="15" outlineLevel="1">
      <c r="A3126" s="2126" t="str">
        <f t="shared" si="658"/>
        <v/>
      </c>
      <c r="B3126" s="2205"/>
      <c r="C3126" s="2202">
        <f>IF(G3126&gt;0,C3118+1,C3118)</f>
        <v>0</v>
      </c>
      <c r="D3126" s="2203"/>
      <c r="E3126" s="2361" t="s">
        <v>6193</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5" outlineLevel="1">
      <c r="A3127" s="2126" t="str">
        <f>A3126</f>
        <v/>
      </c>
      <c r="B3127" s="2205"/>
      <c r="C3127" s="2202"/>
      <c r="D3127" s="2203"/>
      <c r="E3127" s="2211" t="s">
        <v>6037</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ht="15"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ht="15"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ht="15"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ht="15"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ht="15" outlineLevel="1">
      <c r="A3132" s="2126" t="str">
        <f t="shared" si="659"/>
        <v/>
      </c>
      <c r="B3132" s="2205" t="s">
        <v>984</v>
      </c>
      <c r="C3132" s="2202"/>
      <c r="D3132" s="2096">
        <v>0</v>
      </c>
      <c r="E3132" s="2138" t="s">
        <v>5188</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ht="15" outlineLevel="1">
      <c r="A3133" s="2126" t="str">
        <f t="shared" si="659"/>
        <v/>
      </c>
      <c r="B3133" s="2205" t="s">
        <v>1990</v>
      </c>
      <c r="C3133" s="2202"/>
      <c r="D3133" s="2096" t="s">
        <v>2259</v>
      </c>
      <c r="E3133" s="2138" t="s">
        <v>5296</v>
      </c>
      <c r="F3133" s="2096" t="s">
        <v>2379</v>
      </c>
      <c r="G3133" s="2213">
        <f>G3126</f>
        <v>0</v>
      </c>
      <c r="H3133" s="2208">
        <v>0</v>
      </c>
      <c r="I3133" s="2208"/>
      <c r="J3133" s="2208" t="s">
        <v>6248</v>
      </c>
      <c r="K3133" s="2208"/>
      <c r="L3133" s="2208">
        <f t="shared" si="653"/>
        <v>0</v>
      </c>
      <c r="M3133" s="2208"/>
      <c r="N3133" s="2208">
        <v>0</v>
      </c>
      <c r="O3133" s="2208"/>
      <c r="P3133" s="2209"/>
      <c r="Q3133" s="2210"/>
      <c r="R3133" s="2210"/>
      <c r="S3133" s="2210"/>
    </row>
    <row r="3134" spans="1:19" s="2049" customFormat="1" ht="15"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5" outlineLevel="1">
      <c r="A3135" s="2126" t="str">
        <f>A3134</f>
        <v/>
      </c>
      <c r="B3135" s="2362"/>
      <c r="C3135" s="2202"/>
      <c r="D3135" s="2203"/>
      <c r="E3135" s="2211" t="s">
        <v>6194</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ht="15"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ht="15" outlineLevel="1">
      <c r="A3137" s="2126" t="str">
        <f t="shared" si="661"/>
        <v/>
      </c>
      <c r="B3137" s="2196" t="s">
        <v>1504</v>
      </c>
      <c r="C3137" s="2202"/>
      <c r="D3137" s="2096">
        <v>0</v>
      </c>
      <c r="E3137" s="2138" t="s">
        <v>5081</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ht="15" outlineLevel="1">
      <c r="A3138" s="2126" t="str">
        <f>IF(G3138&lt;&gt;0,1,"")</f>
        <v/>
      </c>
      <c r="B3138" s="2196" t="s">
        <v>1581</v>
      </c>
      <c r="C3138" s="2202"/>
      <c r="D3138" s="2096">
        <v>0</v>
      </c>
      <c r="E3138" s="2138" t="s">
        <v>5628</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ht="15"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ht="15"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ht="15" outlineLevel="1">
      <c r="A3141" s="2126" t="str">
        <f t="shared" si="661"/>
        <v/>
      </c>
      <c r="B3141" s="2196" t="s">
        <v>523</v>
      </c>
      <c r="C3141" s="2202"/>
      <c r="D3141" s="2096">
        <v>0</v>
      </c>
      <c r="E3141" s="2138" t="s">
        <v>5170</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ht="15"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ht="15" outlineLevel="1">
      <c r="A3143" s="2126">
        <f>IF(G3143=0,0,1)</f>
        <v>0</v>
      </c>
      <c r="B3143" s="2196" t="s">
        <v>791</v>
      </c>
      <c r="C3143" s="2212"/>
      <c r="D3143" s="2096" t="s">
        <v>5253</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ht="15" outlineLevel="1">
      <c r="A3144" s="2126">
        <f>IF(G3144=0,0,1)</f>
        <v>0</v>
      </c>
      <c r="B3144" s="2196" t="s">
        <v>795</v>
      </c>
      <c r="C3144" s="2212"/>
      <c r="D3144" s="2096" t="s">
        <v>5242</v>
      </c>
      <c r="E3144" s="2138" t="s">
        <v>5254</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ht="15" outlineLevel="1">
      <c r="A3145" s="2126">
        <f>IF(G3145=0,0,1)</f>
        <v>0</v>
      </c>
      <c r="B3145" s="2196" t="s">
        <v>899</v>
      </c>
      <c r="C3145" s="2212"/>
      <c r="D3145" s="2096" t="s">
        <v>5268</v>
      </c>
      <c r="E3145" s="2138" t="s">
        <v>5269</v>
      </c>
      <c r="F3145" s="2445" t="s">
        <v>853</v>
      </c>
      <c r="G3145" s="2364">
        <f>G3137</f>
        <v>0</v>
      </c>
      <c r="H3145" s="2208">
        <v>0</v>
      </c>
      <c r="I3145" s="2208"/>
      <c r="J3145" s="2208" t="s">
        <v>6216</v>
      </c>
      <c r="K3145" s="2208">
        <v>0</v>
      </c>
      <c r="L3145" s="2208">
        <f>H3145*$G3145</f>
        <v>0</v>
      </c>
      <c r="M3145" s="2208">
        <f>I3145*$G3145</f>
        <v>0</v>
      </c>
      <c r="N3145" s="2208">
        <v>0</v>
      </c>
      <c r="O3145" s="2208">
        <f>K3145*$G3145</f>
        <v>0</v>
      </c>
      <c r="P3145" s="2209"/>
      <c r="Q3145" s="2210"/>
      <c r="R3145" s="2210"/>
      <c r="S3145" s="2210"/>
    </row>
    <row r="3146" spans="1:19" s="2049" customFormat="1" ht="15" outlineLevel="1">
      <c r="A3146" s="2126" t="str">
        <f>IF(G3146&lt;&gt;0,1,"")</f>
        <v/>
      </c>
      <c r="B3146" s="2196" t="s">
        <v>1433</v>
      </c>
      <c r="C3146" s="2202"/>
      <c r="D3146" s="2096" t="s">
        <v>5263</v>
      </c>
      <c r="E3146" s="2138" t="s">
        <v>5264</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ht="15" outlineLevel="1">
      <c r="A3147" s="2126" t="str">
        <f>IF(G3147&lt;&gt;0,1,"")</f>
        <v/>
      </c>
      <c r="B3147" s="2205"/>
      <c r="C3147" s="2202">
        <f>IF(G3147&gt;0,C3134+1,C3134)</f>
        <v>0</v>
      </c>
      <c r="D3147" s="2203"/>
      <c r="E3147" s="2320" t="s">
        <v>6195</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5" outlineLevel="1">
      <c r="A3148" s="2126" t="str">
        <f>A3147</f>
        <v/>
      </c>
      <c r="B3148" s="2205"/>
      <c r="C3148" s="2202"/>
      <c r="D3148" s="2203"/>
      <c r="E3148" s="2211" t="s">
        <v>6037</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ht="15" outlineLevel="1">
      <c r="A3149" s="2126" t="str">
        <f>IF(G3149&lt;&gt;0,1,"")</f>
        <v/>
      </c>
      <c r="B3149" s="2205" t="s">
        <v>6201</v>
      </c>
      <c r="C3149" s="2212"/>
      <c r="D3149" s="2096" t="s">
        <v>5548</v>
      </c>
      <c r="E3149" s="2138" t="s">
        <v>5554</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ht="15" outlineLevel="1">
      <c r="A3150" s="2126" t="str">
        <f>IF(G3150&lt;&gt;0,1,"")</f>
        <v/>
      </c>
      <c r="B3150" s="2205" t="s">
        <v>288</v>
      </c>
      <c r="C3150" s="2212"/>
      <c r="D3150" s="2096">
        <v>0</v>
      </c>
      <c r="E3150" s="2138" t="s">
        <v>5627</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ht="15"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5" outlineLevel="1">
      <c r="A3152" s="2126" t="str">
        <f>A3151</f>
        <v/>
      </c>
      <c r="B3152" s="2205"/>
      <c r="C3152" s="2202"/>
      <c r="D3152" s="2203"/>
      <c r="E3152" s="2211" t="s">
        <v>6037</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ht="15" outlineLevel="1">
      <c r="A3153" s="2126" t="str">
        <f t="shared" ref="A3153:A3161" si="667">IF(G3153&lt;&gt;0,1,"")</f>
        <v/>
      </c>
      <c r="B3153" s="2498" t="s">
        <v>749</v>
      </c>
      <c r="C3153" s="2212"/>
      <c r="D3153" s="2096">
        <v>0</v>
      </c>
      <c r="E3153" s="2303" t="s">
        <v>6296</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ht="15" outlineLevel="1">
      <c r="A3154" s="2126" t="str">
        <f t="shared" si="667"/>
        <v/>
      </c>
      <c r="B3154" s="2498" t="s">
        <v>864</v>
      </c>
      <c r="C3154" s="2212"/>
      <c r="D3154" s="2096">
        <v>0</v>
      </c>
      <c r="E3154" s="2303" t="s">
        <v>6297</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ht="15" outlineLevel="1">
      <c r="A3155" s="2126" t="str">
        <f t="shared" si="667"/>
        <v/>
      </c>
      <c r="B3155" s="2498" t="s">
        <v>1671</v>
      </c>
      <c r="C3155" s="2212"/>
      <c r="D3155" s="2096">
        <v>0</v>
      </c>
      <c r="E3155" s="2303" t="s">
        <v>6281</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ht="15" outlineLevel="1">
      <c r="A3156" s="2126" t="str">
        <f t="shared" si="667"/>
        <v/>
      </c>
      <c r="B3156" s="2498" t="s">
        <v>1672</v>
      </c>
      <c r="C3156" s="2212"/>
      <c r="D3156" s="2096" t="s">
        <v>5208</v>
      </c>
      <c r="E3156" s="2303" t="s">
        <v>6282</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ht="15"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ht="15" outlineLevel="1">
      <c r="A3158" s="2126" t="str">
        <f t="shared" si="667"/>
        <v/>
      </c>
      <c r="B3158" s="2498" t="s">
        <v>1674</v>
      </c>
      <c r="C3158" s="2212"/>
      <c r="D3158" s="2096" t="s">
        <v>5250</v>
      </c>
      <c r="E3158" s="2303" t="s">
        <v>5251</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ht="15" outlineLevel="1">
      <c r="A3159" s="2126" t="str">
        <f t="shared" si="667"/>
        <v/>
      </c>
      <c r="B3159" s="2498" t="s">
        <v>144</v>
      </c>
      <c r="C3159" s="2212"/>
      <c r="D3159" s="2096" t="s">
        <v>5244</v>
      </c>
      <c r="E3159" s="2303" t="s">
        <v>6284</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ht="15" outlineLevel="1">
      <c r="A3160" s="2126" t="str">
        <f t="shared" si="667"/>
        <v/>
      </c>
      <c r="B3160" s="2498" t="s">
        <v>527</v>
      </c>
      <c r="C3160" s="2212"/>
      <c r="D3160" s="2096" t="s">
        <v>5249</v>
      </c>
      <c r="E3160" s="2303" t="s">
        <v>6298</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ht="15"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5" outlineLevel="1">
      <c r="A3162" s="2126" t="str">
        <f>A3161</f>
        <v/>
      </c>
      <c r="B3162" s="2205"/>
      <c r="C3162" s="2202"/>
      <c r="D3162" s="2203"/>
      <c r="E3162" s="2211" t="s">
        <v>6037</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ht="15" outlineLevel="1">
      <c r="A3163" s="2126" t="str">
        <f t="shared" ref="A3163:A3170" si="668">IF(G3163&lt;&gt;0,1,"")</f>
        <v/>
      </c>
      <c r="B3163" s="2205" t="s">
        <v>620</v>
      </c>
      <c r="C3163" s="2212"/>
      <c r="D3163" s="2096" t="s">
        <v>5223</v>
      </c>
      <c r="E3163" s="2138" t="s">
        <v>5224</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ht="15"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ht="15"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ht="15"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ht="15"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ht="15" outlineLevel="1">
      <c r="A3168" s="2126" t="str">
        <f t="shared" si="668"/>
        <v/>
      </c>
      <c r="B3168" s="2205" t="s">
        <v>1406</v>
      </c>
      <c r="C3168" s="2202"/>
      <c r="D3168" s="2096" t="s">
        <v>5258</v>
      </c>
      <c r="E3168" s="2138" t="s">
        <v>5259</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ht="15" outlineLevel="1">
      <c r="A3169" s="2126" t="str">
        <f t="shared" si="668"/>
        <v/>
      </c>
      <c r="B3169" s="2205" t="s">
        <v>288</v>
      </c>
      <c r="C3169" s="2212"/>
      <c r="D3169" s="2096">
        <v>0</v>
      </c>
      <c r="E3169" s="2138" t="s">
        <v>5627</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ht="15"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5" outlineLevel="1">
      <c r="A3171" s="2126" t="str">
        <f>A3170</f>
        <v/>
      </c>
      <c r="B3171" s="2205"/>
      <c r="C3171" s="2202"/>
      <c r="D3171" s="2203"/>
      <c r="E3171" s="2218" t="s">
        <v>6037</v>
      </c>
      <c r="F3171" s="2202"/>
      <c r="G3171" s="2207"/>
      <c r="H3171" s="2208"/>
      <c r="I3171" s="2208"/>
      <c r="J3171" s="2208"/>
      <c r="K3171" s="2208"/>
      <c r="L3171" s="2208"/>
      <c r="M3171" s="2208"/>
      <c r="N3171" s="2208"/>
      <c r="O3171" s="2208"/>
      <c r="P3171" s="2209"/>
      <c r="Q3171" s="2210"/>
      <c r="R3171" s="2210"/>
      <c r="S3171" s="2210"/>
    </row>
    <row r="3172" spans="1:19" s="2049" customFormat="1" ht="15"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ht="15"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ht="15"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ht="15"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ht="15"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ht="15"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ht="15" outlineLevel="1">
      <c r="A3178" s="2126" t="str">
        <f t="shared" si="669"/>
        <v/>
      </c>
      <c r="B3178" s="2196" t="s">
        <v>1670</v>
      </c>
      <c r="C3178" s="2212"/>
      <c r="D3178" s="2096" t="s">
        <v>5376</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ht="15" outlineLevel="1">
      <c r="A3179" s="2126" t="str">
        <f t="shared" si="669"/>
        <v/>
      </c>
      <c r="B3179" s="2196" t="s">
        <v>1178</v>
      </c>
      <c r="C3179" s="2212"/>
      <c r="D3179" s="2096" t="s">
        <v>5469</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ht="15" outlineLevel="1">
      <c r="A3180" s="2126" t="str">
        <f t="shared" si="669"/>
        <v/>
      </c>
      <c r="B3180" s="2196" t="s">
        <v>1521</v>
      </c>
      <c r="C3180" s="2212"/>
      <c r="D3180" s="2096" t="s">
        <v>5487</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ht="15"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ht="15"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5" outlineLevel="1">
      <c r="A3183" s="2126" t="str">
        <f>A3182</f>
        <v/>
      </c>
      <c r="B3183" s="2205"/>
      <c r="C3183" s="2202"/>
      <c r="D3183" s="2203"/>
      <c r="E3183" s="2218" t="s">
        <v>6037</v>
      </c>
      <c r="F3183" s="2202"/>
      <c r="G3183" s="2207"/>
      <c r="H3183" s="2208"/>
      <c r="I3183" s="2208"/>
      <c r="J3183" s="2208"/>
      <c r="K3183" s="2208"/>
      <c r="L3183" s="2208"/>
      <c r="M3183" s="2208"/>
      <c r="N3183" s="2208"/>
      <c r="O3183" s="2208"/>
      <c r="P3183" s="2209"/>
      <c r="Q3183" s="2210"/>
      <c r="R3183" s="2210"/>
      <c r="S3183" s="2210"/>
    </row>
    <row r="3184" spans="1:19" s="2049" customFormat="1" ht="15" outlineLevel="1">
      <c r="A3184" s="2126" t="str">
        <f t="shared" ref="A3184:A3189" si="674">IF(G3184&lt;&gt;0,1,"")</f>
        <v/>
      </c>
      <c r="B3184" s="2196" t="s">
        <v>694</v>
      </c>
      <c r="C3184" s="2212"/>
      <c r="D3184" s="2096">
        <v>0</v>
      </c>
      <c r="E3184" s="2138" t="s">
        <v>5005</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ht="15"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ht="15"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ht="15" outlineLevel="1">
      <c r="A3187" s="2126" t="str">
        <f t="shared" si="674"/>
        <v/>
      </c>
      <c r="B3187" s="2301" t="s">
        <v>1473</v>
      </c>
      <c r="C3187" s="2212"/>
      <c r="D3187" s="2096">
        <v>0</v>
      </c>
      <c r="E3187" s="2138" t="s">
        <v>6250</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ht="15"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ht="15"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ht="15" outlineLevel="1">
      <c r="A3190" s="2126" t="str">
        <f>IF(G3190&lt;&gt;0,1,"")</f>
        <v/>
      </c>
      <c r="B3190" s="2196" t="s">
        <v>346</v>
      </c>
      <c r="C3190" s="2212"/>
      <c r="D3190" s="2096" t="s">
        <v>5477</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ht="15" outlineLevel="1">
      <c r="A3191" s="2126" t="str">
        <f>IF(G3191&lt;&gt;0,1,"")</f>
        <v/>
      </c>
      <c r="B3191" s="2196"/>
      <c r="C3191" s="2202">
        <f>IF(G3191&gt;0,C3182+1,C3182)</f>
        <v>0</v>
      </c>
      <c r="D3191" s="2203"/>
      <c r="E3191" s="2204" t="s">
        <v>6197</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5" outlineLevel="1">
      <c r="A3192" s="2126" t="str">
        <f>A3191</f>
        <v/>
      </c>
      <c r="B3192" s="2196"/>
      <c r="C3192" s="2202"/>
      <c r="D3192" s="2203"/>
      <c r="E3192" s="2218" t="s">
        <v>6037</v>
      </c>
      <c r="F3192" s="2202"/>
      <c r="G3192" s="2213"/>
      <c r="H3192" s="2208"/>
      <c r="I3192" s="2208"/>
      <c r="J3192" s="2208"/>
      <c r="K3192" s="2208"/>
      <c r="L3192" s="2208"/>
      <c r="M3192" s="2208"/>
      <c r="N3192" s="2208"/>
      <c r="O3192" s="2208"/>
      <c r="P3192" s="2209"/>
      <c r="Q3192" s="2210"/>
      <c r="R3192" s="2210"/>
      <c r="S3192" s="2210"/>
    </row>
    <row r="3193" spans="1:19" s="2049" customFormat="1" ht="15"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ht="15" outlineLevel="1">
      <c r="A3194" s="2126" t="str">
        <f t="shared" si="678"/>
        <v/>
      </c>
      <c r="B3194" s="2205" t="s">
        <v>446</v>
      </c>
      <c r="C3194" s="2212"/>
      <c r="D3194" s="2096" t="s">
        <v>5646</v>
      </c>
      <c r="E3194" s="2138" t="s">
        <v>6301</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ht="15" outlineLevel="1">
      <c r="A3195" s="2126" t="str">
        <f t="shared" si="678"/>
        <v/>
      </c>
      <c r="B3195" s="2205" t="s">
        <v>1068</v>
      </c>
      <c r="C3195" s="2212"/>
      <c r="D3195" s="2096">
        <v>0</v>
      </c>
      <c r="E3195" s="2138" t="s">
        <v>6302</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ht="15"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ht="15" outlineLevel="1">
      <c r="A3197" s="2126" t="str">
        <f t="shared" si="678"/>
        <v/>
      </c>
      <c r="B3197" s="2196" t="s">
        <v>728</v>
      </c>
      <c r="C3197" s="2212"/>
      <c r="D3197" s="2096">
        <v>0</v>
      </c>
      <c r="E3197" s="2138" t="s">
        <v>5176</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ht="15" outlineLevel="1">
      <c r="A3198" s="2126" t="str">
        <f t="shared" si="678"/>
        <v/>
      </c>
      <c r="B3198" s="2205" t="s">
        <v>1039</v>
      </c>
      <c r="C3198" s="2212"/>
      <c r="D3198" s="2096">
        <v>0</v>
      </c>
      <c r="E3198" s="2138" t="s">
        <v>5712</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ht="15"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ht="15" outlineLevel="1">
      <c r="A3200" s="2126" t="str">
        <f t="shared" si="678"/>
        <v/>
      </c>
      <c r="B3200" s="2205" t="s">
        <v>2163</v>
      </c>
      <c r="C3200" s="2212"/>
      <c r="D3200" s="2096">
        <v>0</v>
      </c>
      <c r="E3200" s="2138" t="s">
        <v>6303</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ht="15" outlineLevel="1">
      <c r="A3201" s="2126" t="str">
        <f t="shared" si="678"/>
        <v/>
      </c>
      <c r="B3201" s="2205" t="s">
        <v>723</v>
      </c>
      <c r="C3201" s="2212"/>
      <c r="D3201" s="2096">
        <v>0</v>
      </c>
      <c r="E3201" s="2138" t="s">
        <v>6304</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ht="15" outlineLevel="1">
      <c r="A3202" s="2126" t="str">
        <f>IF(G3202&lt;&gt;0,1,"")</f>
        <v/>
      </c>
      <c r="B3202" s="2196" t="s">
        <v>6</v>
      </c>
      <c r="C3202" s="2212"/>
      <c r="D3202" s="2096"/>
      <c r="E3202" s="2138" t="s">
        <v>6305</v>
      </c>
      <c r="F3202" s="2096" t="s">
        <v>5720</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ht="15"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ht="15" outlineLevel="1">
      <c r="A3204" s="2126" t="str">
        <f>IF(G3204&lt;&gt;0,1,"")</f>
        <v/>
      </c>
      <c r="B3204" s="2196" t="s">
        <v>669</v>
      </c>
      <c r="C3204" s="2212"/>
      <c r="D3204" s="2096">
        <v>0</v>
      </c>
      <c r="E3204" s="2138" t="s">
        <v>5715</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ht="15" outlineLevel="1">
      <c r="A3205" s="2126" t="str">
        <f>IF(G3205&lt;&gt;0,1,"")</f>
        <v/>
      </c>
      <c r="B3205" s="2196" t="s">
        <v>246</v>
      </c>
      <c r="C3205" s="2515"/>
      <c r="D3205" s="2096" t="s">
        <v>5489</v>
      </c>
      <c r="E3205" s="2138" t="s">
        <v>6306</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ht="15" outlineLevel="1">
      <c r="A3206" s="2126" t="str">
        <f>IF(G3206&lt;&gt;0,1,"")</f>
        <v/>
      </c>
      <c r="B3206" s="2196"/>
      <c r="C3206" s="2202">
        <f>IF(G3206&gt;0,C3191+1,C3191)</f>
        <v>0</v>
      </c>
      <c r="D3206" s="2203"/>
      <c r="E3206" s="2204" t="s">
        <v>6157</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5" outlineLevel="1">
      <c r="A3207" s="2126" t="str">
        <f>A3206</f>
        <v/>
      </c>
      <c r="B3207" s="2444"/>
      <c r="C3207" s="2202"/>
      <c r="D3207" s="2203"/>
      <c r="E3207" s="2218" t="s">
        <v>6037</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ht="15"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ht="15" outlineLevel="1">
      <c r="A3209" s="2126">
        <f>IF(G3209=0,0,1)</f>
        <v>0</v>
      </c>
      <c r="B3209" s="2196" t="s">
        <v>6158</v>
      </c>
      <c r="C3209" s="2212"/>
      <c r="D3209" s="2096">
        <v>0</v>
      </c>
      <c r="E3209" s="2303" t="s">
        <v>4971</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ht="15" outlineLevel="1">
      <c r="A3210" s="2126">
        <f>IF(G3210=0,0,1)</f>
        <v>0</v>
      </c>
      <c r="B3210" s="2196" t="s">
        <v>6159</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ht="15" outlineLevel="1">
      <c r="A3211" s="2126">
        <f t="shared" si="683"/>
        <v>0</v>
      </c>
      <c r="B3211" s="2205" t="s">
        <v>245</v>
      </c>
      <c r="C3211" s="2333"/>
      <c r="D3211" s="2096">
        <v>0</v>
      </c>
      <c r="E3211" s="2303" t="s">
        <v>5783</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ht="15"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ht="15"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ht="15"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ht="15"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ht="15"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ht="15"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ht="15"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ht="15"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ht="15" outlineLevel="1">
      <c r="A3220" s="2126">
        <f t="shared" si="683"/>
        <v>0</v>
      </c>
      <c r="B3220" s="2196" t="s">
        <v>669</v>
      </c>
      <c r="C3220" s="2212"/>
      <c r="D3220" s="2096">
        <v>0</v>
      </c>
      <c r="E3220" s="2303" t="s">
        <v>5715</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ht="15"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ht="15"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ht="15" outlineLevel="1">
      <c r="A3223" s="2126">
        <f t="shared" si="683"/>
        <v>0</v>
      </c>
      <c r="B3223" s="2196" t="s">
        <v>318</v>
      </c>
      <c r="C3223" s="2212"/>
      <c r="D3223" s="2096">
        <v>0</v>
      </c>
      <c r="E3223" s="2303" t="s">
        <v>5187</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ht="15" outlineLevel="1">
      <c r="A3224" s="2126">
        <f t="shared" si="683"/>
        <v>0</v>
      </c>
      <c r="B3224" s="2196" t="s">
        <v>1910</v>
      </c>
      <c r="C3224" s="2212"/>
      <c r="D3224" s="2096" t="s">
        <v>5570</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ht="15" outlineLevel="1">
      <c r="A3225" s="2126">
        <f t="shared" si="683"/>
        <v>0</v>
      </c>
      <c r="B3225" s="2196" t="s">
        <v>6</v>
      </c>
      <c r="C3225" s="2212"/>
      <c r="D3225" s="2096">
        <v>0</v>
      </c>
      <c r="E3225" s="2303" t="s">
        <v>3552</v>
      </c>
      <c r="F3225" s="2445" t="s">
        <v>5720</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ht="15"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ht="15" outlineLevel="1">
      <c r="A3227" s="2126">
        <f t="shared" si="683"/>
        <v>0</v>
      </c>
      <c r="B3227" s="2196" t="s">
        <v>1031</v>
      </c>
      <c r="C3227" s="2212"/>
      <c r="D3227" s="2096">
        <v>0</v>
      </c>
      <c r="E3227" s="2303" t="s">
        <v>6293</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ht="15" outlineLevel="1">
      <c r="A3228" s="2126">
        <f t="shared" si="683"/>
        <v>0</v>
      </c>
      <c r="B3228" s="2196" t="s">
        <v>6159</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ht="15" outlineLevel="1">
      <c r="A3229" s="2126">
        <f>A3079</f>
        <v>0</v>
      </c>
      <c r="B3229" s="2301"/>
      <c r="C3229" s="2516"/>
      <c r="D3229" s="2368"/>
      <c r="E3229" s="2343"/>
      <c r="F3229" s="2581"/>
      <c r="G3229" s="2582"/>
      <c r="H3229" s="2581"/>
      <c r="I3229" s="2581"/>
      <c r="J3229" s="2591" t="s">
        <v>6035</v>
      </c>
      <c r="K3229" s="2591"/>
      <c r="L3229" s="2369">
        <f>SUM(L3098:L3228)</f>
        <v>0</v>
      </c>
      <c r="M3229" s="2369">
        <f>SUM(M3098:M3228)</f>
        <v>0</v>
      </c>
      <c r="N3229" s="2369">
        <f>SUM(N3098:N3228)</f>
        <v>0</v>
      </c>
      <c r="O3229" s="2369">
        <f>SUM(O3098:O3228)</f>
        <v>0</v>
      </c>
      <c r="P3229" s="2512"/>
      <c r="Q3229" s="2210"/>
      <c r="R3229" s="2210"/>
      <c r="S3229" s="2210"/>
    </row>
    <row r="3230" spans="1:19" s="2049" customFormat="1" ht="15"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ht="15"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ht="15" outlineLevel="1">
      <c r="A3233" s="2126">
        <f>A3231</f>
        <v>0</v>
      </c>
      <c r="B3233" s="2205" t="s">
        <v>6016</v>
      </c>
      <c r="C3233" s="2592" t="s">
        <v>1704</v>
      </c>
      <c r="D3233" s="2593" t="s">
        <v>2589</v>
      </c>
      <c r="E3233" s="2595" t="s">
        <v>2590</v>
      </c>
      <c r="F3233" s="2592" t="s">
        <v>2585</v>
      </c>
      <c r="G3233" s="2053" t="s">
        <v>6017</v>
      </c>
      <c r="H3233" s="2056" t="s">
        <v>6018</v>
      </c>
      <c r="I3233" s="2563"/>
      <c r="J3233" s="2563"/>
      <c r="K3233" s="2564"/>
      <c r="L3233" s="2056" t="s">
        <v>6019</v>
      </c>
      <c r="M3233" s="2563"/>
      <c r="N3233" s="2563"/>
      <c r="O3233" s="2564"/>
      <c r="P3233" s="2592" t="s">
        <v>2591</v>
      </c>
      <c r="Q3233" s="2210"/>
      <c r="R3233" s="2210"/>
      <c r="S3233" s="2210"/>
    </row>
    <row r="3234" spans="1:19" s="2049" customFormat="1" ht="15" outlineLevel="1">
      <c r="A3234" s="2126">
        <f>A3233</f>
        <v>0</v>
      </c>
      <c r="B3234" s="2205"/>
      <c r="C3234" s="2592"/>
      <c r="D3234" s="2594"/>
      <c r="E3234" s="2596"/>
      <c r="F3234" s="2592"/>
      <c r="G3234" s="2055" t="s">
        <v>2280</v>
      </c>
      <c r="H3234" s="2056" t="s">
        <v>6020</v>
      </c>
      <c r="I3234" s="2056" t="s">
        <v>6021</v>
      </c>
      <c r="J3234" s="2056" t="s">
        <v>6022</v>
      </c>
      <c r="K3234" s="2056" t="s">
        <v>6023</v>
      </c>
      <c r="L3234" s="2056" t="s">
        <v>6020</v>
      </c>
      <c r="M3234" s="2056" t="s">
        <v>6021</v>
      </c>
      <c r="N3234" s="2056" t="s">
        <v>6022</v>
      </c>
      <c r="O3234" s="2056" t="s">
        <v>6023</v>
      </c>
      <c r="P3234" s="2592"/>
      <c r="Q3234" s="2210"/>
      <c r="R3234" s="2210"/>
      <c r="S3234" s="2210"/>
    </row>
    <row r="3235" spans="1:19" s="2049" customFormat="1" ht="15"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ht="15" outlineLevel="1">
      <c r="A3236" s="2126" t="str">
        <f t="shared" ref="A3236:A3246" si="685">IF(G3236&lt;&gt;0,1,"")</f>
        <v/>
      </c>
      <c r="B3236" s="2196" t="str">
        <f>IF($F$8=15,"tr1600","tr16001")</f>
        <v>tr16001</v>
      </c>
      <c r="C3236" s="2212">
        <f>IF(G3236&gt;0,1,0)</f>
        <v>0</v>
      </c>
      <c r="D3236" s="2096" t="s">
        <v>5509</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ht="15" outlineLevel="1">
      <c r="A3237" s="2126" t="str">
        <f t="shared" si="685"/>
        <v/>
      </c>
      <c r="B3237" s="2301" t="s">
        <v>392</v>
      </c>
      <c r="C3237" s="2212">
        <f>IF(G3237&gt;0,C3236+1,C3236)</f>
        <v>0</v>
      </c>
      <c r="D3237" s="2096" t="s">
        <v>5515</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ht="15"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6189</v>
      </c>
      <c r="Q3238" s="2210"/>
      <c r="R3238" s="2210"/>
      <c r="S3238" s="2210"/>
    </row>
    <row r="3239" spans="1:19" s="2049" customFormat="1" ht="15" outlineLevel="1">
      <c r="A3239" s="2126" t="str">
        <f t="shared" si="685"/>
        <v/>
      </c>
      <c r="B3239" s="2062" t="str">
        <f>"FCO200-"&amp;$F$8</f>
        <v>FCO200-22</v>
      </c>
      <c r="C3239" s="2212">
        <f t="shared" si="690"/>
        <v>0</v>
      </c>
      <c r="D3239" s="2096" t="s">
        <v>5513</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ht="15"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ht="15" outlineLevel="1">
      <c r="A3241" s="2126" t="str">
        <f t="shared" si="685"/>
        <v/>
      </c>
      <c r="B3241" s="2205" t="str">
        <f>"LA"&amp;$F$6</f>
        <v>LA18</v>
      </c>
      <c r="C3241" s="2212">
        <f t="shared" si="690"/>
        <v>0</v>
      </c>
      <c r="D3241" s="2096" t="s">
        <v>5517</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ht="15"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ht="15" outlineLevel="1">
      <c r="A3243" s="2126" t="str">
        <f t="shared" si="685"/>
        <v/>
      </c>
      <c r="B3243" s="2301" t="s">
        <v>6198</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ht="15"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ht="15" outlineLevel="1">
      <c r="A3245" s="2126" t="str">
        <f t="shared" si="685"/>
        <v/>
      </c>
      <c r="B3245" s="2196" t="str">
        <f>IF($F$8=15,"TU15","TU22")</f>
        <v>TU22</v>
      </c>
      <c r="C3245" s="2212">
        <f>IF(G3245&gt;0,C3244+1,C3244)</f>
        <v>0</v>
      </c>
      <c r="D3245" s="2096">
        <v>0</v>
      </c>
      <c r="E3245" s="2138" t="s">
        <v>5526</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ht="15" outlineLevel="1">
      <c r="A3246" s="2126" t="str">
        <f t="shared" si="685"/>
        <v/>
      </c>
      <c r="B3246" s="2511" t="s">
        <v>1832</v>
      </c>
      <c r="C3246" s="2212">
        <f>IF(G3246&gt;0,C3245+1,C3245)</f>
        <v>0</v>
      </c>
      <c r="D3246" s="2096">
        <v>0</v>
      </c>
      <c r="E3246" s="2138" t="s">
        <v>5624</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ht="15" outlineLevel="1">
      <c r="A3247" s="2126">
        <f>A3231</f>
        <v>0</v>
      </c>
      <c r="B3247" s="2205"/>
      <c r="C3247" s="2337"/>
      <c r="D3247" s="2338"/>
      <c r="E3247" s="2339"/>
      <c r="F3247" s="2337"/>
      <c r="G3247" s="2580"/>
      <c r="H3247" s="2337"/>
      <c r="I3247" s="2337"/>
      <c r="J3247" s="2061" t="s">
        <v>6025</v>
      </c>
      <c r="K3247" s="2337"/>
      <c r="L3247" s="2339">
        <f>SUM(L3236:L3246)</f>
        <v>0</v>
      </c>
      <c r="M3247" s="2339">
        <f>SUM(M3236:M3246)</f>
        <v>0</v>
      </c>
      <c r="N3247" s="2339">
        <f>SUM(N3236:N3246)</f>
        <v>0</v>
      </c>
      <c r="O3247" s="2339">
        <f>SUM(O3236:O3246)</f>
        <v>0</v>
      </c>
      <c r="P3247" s="2512"/>
      <c r="Q3247" s="2210"/>
      <c r="R3247" s="2210"/>
      <c r="S3247" s="2210"/>
    </row>
    <row r="3248" spans="1:19" s="2049" customFormat="1" ht="15"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ht="15" outlineLevel="1">
      <c r="A3249" s="2126" t="str">
        <f t="shared" ref="A3249:A3263" si="691">IF(G3249&lt;&gt;0,1,"")</f>
        <v/>
      </c>
      <c r="B3249" s="2345"/>
      <c r="C3249" s="2346">
        <f>IF(G3249&gt;0,1,0)</f>
        <v>0</v>
      </c>
      <c r="D3249" s="2096"/>
      <c r="E3249" s="2347" t="s">
        <v>6121</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ht="15"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ht="15"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ht="15" outlineLevel="1">
      <c r="A3252" s="2126" t="str">
        <f t="shared" si="691"/>
        <v/>
      </c>
      <c r="B3252" s="2301" t="s">
        <v>1608</v>
      </c>
      <c r="C3252" s="2351"/>
      <c r="D3252" s="2096" t="s">
        <v>5274</v>
      </c>
      <c r="E3252" s="2352" t="s">
        <v>5275</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ht="15" outlineLevel="1">
      <c r="A3253" s="2126" t="str">
        <f t="shared" si="691"/>
        <v/>
      </c>
      <c r="B3253" s="2301" t="s">
        <v>2229</v>
      </c>
      <c r="C3253" s="2351"/>
      <c r="D3253" s="2096"/>
      <c r="E3253" s="2352" t="s">
        <v>5241</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ht="15" outlineLevel="1">
      <c r="A3254" s="2126" t="str">
        <f t="shared" si="691"/>
        <v/>
      </c>
      <c r="B3254" s="2301" t="s">
        <v>21</v>
      </c>
      <c r="C3254" s="2351"/>
      <c r="D3254" s="2096" t="s">
        <v>5242</v>
      </c>
      <c r="E3254" s="2352" t="s">
        <v>5243</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ht="15" outlineLevel="1">
      <c r="A3255" s="2126" t="str">
        <f t="shared" si="691"/>
        <v/>
      </c>
      <c r="B3255" s="2301"/>
      <c r="C3255" s="2202">
        <f>IF(G3255&gt;0,C3249+1,C3249)</f>
        <v>0</v>
      </c>
      <c r="D3255" s="2096"/>
      <c r="E3255" s="2347" t="s">
        <v>6199</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ht="15" outlineLevel="1">
      <c r="A3256" s="2126" t="str">
        <f t="shared" si="691"/>
        <v/>
      </c>
      <c r="B3256" s="2301" t="s">
        <v>748</v>
      </c>
      <c r="C3256" s="2351"/>
      <c r="D3256" s="2096">
        <v>0</v>
      </c>
      <c r="E3256" s="2352" t="s">
        <v>5207</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ht="15"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ht="15"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ht="15" outlineLevel="1">
      <c r="A3259" s="2126" t="str">
        <f t="shared" si="691"/>
        <v/>
      </c>
      <c r="B3259" s="2301" t="s">
        <v>2003</v>
      </c>
      <c r="C3259" s="2351"/>
      <c r="D3259" s="2096"/>
      <c r="E3259" s="2352" t="s">
        <v>5165</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ht="15"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ht="15" outlineLevel="1">
      <c r="A3261" s="2126" t="str">
        <f t="shared" si="691"/>
        <v/>
      </c>
      <c r="B3261" s="2301" t="s">
        <v>636</v>
      </c>
      <c r="C3261" s="2351"/>
      <c r="D3261" s="2096" t="s">
        <v>1742</v>
      </c>
      <c r="E3261" s="2352" t="s">
        <v>5241</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ht="15" outlineLevel="1">
      <c r="A3262" s="2126" t="str">
        <f t="shared" si="691"/>
        <v/>
      </c>
      <c r="B3262" s="2513" t="s">
        <v>1830</v>
      </c>
      <c r="C3262" s="2351"/>
      <c r="D3262" s="2096" t="s">
        <v>5388</v>
      </c>
      <c r="E3262" s="2352" t="s">
        <v>5390</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ht="15" outlineLevel="1">
      <c r="A3263" s="2126" t="str">
        <f t="shared" si="691"/>
        <v/>
      </c>
      <c r="B3263" s="2205"/>
      <c r="C3263" s="2202">
        <f>IF(G3263&gt;0,C3255+1,C3255)</f>
        <v>0</v>
      </c>
      <c r="D3263" s="2203"/>
      <c r="E3263" s="2361" t="s">
        <v>6175</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5" outlineLevel="1">
      <c r="A3264" s="2126" t="str">
        <f>A3263</f>
        <v/>
      </c>
      <c r="B3264" s="2205"/>
      <c r="C3264" s="2202"/>
      <c r="D3264" s="2203"/>
      <c r="E3264" s="2211" t="s">
        <v>6037</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ht="15"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ht="15"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ht="15"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ht="15"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ht="15" outlineLevel="1">
      <c r="A3269" s="2126" t="str">
        <f t="shared" si="696"/>
        <v/>
      </c>
      <c r="B3269" s="2205" t="s">
        <v>2237</v>
      </c>
      <c r="C3269" s="2202"/>
      <c r="D3269" s="2096" t="s">
        <v>727</v>
      </c>
      <c r="E3269" s="2138" t="s">
        <v>2434</v>
      </c>
      <c r="F3269" s="2096" t="s">
        <v>2379</v>
      </c>
      <c r="G3269" s="2213">
        <f>G3263</f>
        <v>0</v>
      </c>
      <c r="H3269" s="2303">
        <v>0</v>
      </c>
      <c r="I3269" s="2303"/>
      <c r="J3269" s="2303" t="s">
        <v>6249</v>
      </c>
      <c r="K3269" s="2303"/>
      <c r="L3269" s="2304">
        <f t="shared" si="692"/>
        <v>0</v>
      </c>
      <c r="M3269" s="2304"/>
      <c r="N3269" s="2303">
        <v>0</v>
      </c>
      <c r="O3269" s="2304"/>
      <c r="P3269" s="2209"/>
      <c r="Q3269" s="2210"/>
      <c r="R3269" s="2210"/>
      <c r="S3269" s="2210"/>
    </row>
    <row r="3270" spans="1:19" s="2049" customFormat="1" ht="15" outlineLevel="1" collapsed="1">
      <c r="A3270" s="2126" t="str">
        <f t="shared" si="696"/>
        <v/>
      </c>
      <c r="B3270" s="2205"/>
      <c r="C3270" s="2202">
        <f>IF(G3270&gt;0,C3263+1,C3263)</f>
        <v>0</v>
      </c>
      <c r="D3270" s="2203"/>
      <c r="E3270" s="2361" t="s">
        <v>6202</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5" outlineLevel="1">
      <c r="A3271" s="2126" t="str">
        <f>A3270</f>
        <v/>
      </c>
      <c r="B3271" s="2205"/>
      <c r="C3271" s="2202"/>
      <c r="D3271" s="2203"/>
      <c r="E3271" s="2211" t="s">
        <v>6037</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ht="15"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ht="15"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ht="15"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ht="15"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ht="15"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ht="15" outlineLevel="1">
      <c r="A3277" s="2126" t="str">
        <f t="shared" si="697"/>
        <v/>
      </c>
      <c r="B3277" s="2205" t="s">
        <v>514</v>
      </c>
      <c r="C3277" s="2202"/>
      <c r="D3277" s="2096" t="s">
        <v>1453</v>
      </c>
      <c r="E3277" s="2138" t="s">
        <v>5339</v>
      </c>
      <c r="F3277" s="2096" t="s">
        <v>2379</v>
      </c>
      <c r="G3277" s="2213">
        <f>G3270</f>
        <v>0</v>
      </c>
      <c r="H3277" s="2208"/>
      <c r="I3277" s="2208"/>
      <c r="J3277" s="2208" t="s">
        <v>6295</v>
      </c>
      <c r="K3277" s="2208"/>
      <c r="L3277" s="2208">
        <f t="shared" si="692"/>
        <v>0</v>
      </c>
      <c r="M3277" s="2208"/>
      <c r="N3277" s="2208">
        <v>0</v>
      </c>
      <c r="O3277" s="2208"/>
      <c r="P3277" s="2209"/>
      <c r="Q3277" s="2210"/>
      <c r="R3277" s="2210"/>
      <c r="S3277" s="2210"/>
    </row>
    <row r="3278" spans="1:19" s="2049" customFormat="1" ht="15" outlineLevel="1">
      <c r="A3278" s="2126" t="str">
        <f t="shared" si="697"/>
        <v/>
      </c>
      <c r="B3278" s="2205"/>
      <c r="C3278" s="2202">
        <f>IF(G3278&gt;0,C3270+1,C3270)</f>
        <v>0</v>
      </c>
      <c r="D3278" s="2203"/>
      <c r="E3278" s="2361" t="s">
        <v>6193</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5" outlineLevel="1">
      <c r="A3279" s="2126" t="str">
        <f>A3278</f>
        <v/>
      </c>
      <c r="B3279" s="2205"/>
      <c r="C3279" s="2202"/>
      <c r="D3279" s="2203"/>
      <c r="E3279" s="2211" t="s">
        <v>6037</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ht="15"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ht="15"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ht="15"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ht="15"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ht="15" outlineLevel="1">
      <c r="A3284" s="2126" t="str">
        <f t="shared" si="698"/>
        <v/>
      </c>
      <c r="B3284" s="2205" t="s">
        <v>984</v>
      </c>
      <c r="C3284" s="2202"/>
      <c r="D3284" s="2096">
        <v>0</v>
      </c>
      <c r="E3284" s="2138" t="s">
        <v>5188</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ht="15" outlineLevel="1">
      <c r="A3285" s="2126" t="str">
        <f t="shared" si="698"/>
        <v/>
      </c>
      <c r="B3285" s="2205" t="s">
        <v>1990</v>
      </c>
      <c r="C3285" s="2202"/>
      <c r="D3285" s="2096" t="s">
        <v>2259</v>
      </c>
      <c r="E3285" s="2138" t="s">
        <v>5296</v>
      </c>
      <c r="F3285" s="2096" t="s">
        <v>2379</v>
      </c>
      <c r="G3285" s="2213">
        <f>G3278</f>
        <v>0</v>
      </c>
      <c r="H3285" s="2208"/>
      <c r="I3285" s="2208"/>
      <c r="J3285" s="2208" t="s">
        <v>6248</v>
      </c>
      <c r="K3285" s="2208"/>
      <c r="L3285" s="2208">
        <f t="shared" si="692"/>
        <v>0</v>
      </c>
      <c r="M3285" s="2208"/>
      <c r="N3285" s="2208">
        <v>0</v>
      </c>
      <c r="O3285" s="2208"/>
      <c r="P3285" s="2209"/>
      <c r="Q3285" s="2210"/>
      <c r="R3285" s="2210"/>
      <c r="S3285" s="2210"/>
    </row>
    <row r="3286" spans="1:19" s="2049" customFormat="1" ht="15"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5" outlineLevel="1">
      <c r="A3287" s="2126" t="str">
        <f>A3286</f>
        <v/>
      </c>
      <c r="B3287" s="2362"/>
      <c r="C3287" s="2202"/>
      <c r="D3287" s="2203"/>
      <c r="E3287" s="2211" t="s">
        <v>6194</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ht="15"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ht="15" outlineLevel="1">
      <c r="A3289" s="2126" t="str">
        <f t="shared" si="700"/>
        <v/>
      </c>
      <c r="B3289" s="2196" t="s">
        <v>1504</v>
      </c>
      <c r="C3289" s="2202"/>
      <c r="D3289" s="2096">
        <v>0</v>
      </c>
      <c r="E3289" s="2138" t="s">
        <v>5081</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ht="15" outlineLevel="1">
      <c r="A3290" s="2126" t="str">
        <f t="shared" si="700"/>
        <v/>
      </c>
      <c r="B3290" s="2196" t="s">
        <v>1581</v>
      </c>
      <c r="C3290" s="2202"/>
      <c r="D3290" s="2096">
        <v>0</v>
      </c>
      <c r="E3290" s="2138" t="s">
        <v>5628</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ht="15"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ht="15"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ht="15" outlineLevel="1">
      <c r="A3293" s="2126" t="str">
        <f t="shared" si="700"/>
        <v/>
      </c>
      <c r="B3293" s="2196" t="s">
        <v>523</v>
      </c>
      <c r="C3293" s="2202"/>
      <c r="D3293" s="2096">
        <v>0</v>
      </c>
      <c r="E3293" s="2138" t="s">
        <v>5170</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ht="15"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ht="15" outlineLevel="1">
      <c r="A3295" s="2126">
        <f>IF(G3295=0,0,1)</f>
        <v>0</v>
      </c>
      <c r="B3295" s="2196" t="s">
        <v>791</v>
      </c>
      <c r="C3295" s="2212"/>
      <c r="D3295" s="2096" t="s">
        <v>5253</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ht="15" outlineLevel="1">
      <c r="A3296" s="2126">
        <f>IF(G3296=0,0,1)</f>
        <v>0</v>
      </c>
      <c r="B3296" s="2196" t="s">
        <v>795</v>
      </c>
      <c r="C3296" s="2212"/>
      <c r="D3296" s="2096" t="s">
        <v>5242</v>
      </c>
      <c r="E3296" s="2138" t="s">
        <v>5254</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ht="15" outlineLevel="1">
      <c r="A3297" s="2126">
        <f>IF(G3297=0,0,1)</f>
        <v>0</v>
      </c>
      <c r="B3297" s="2196" t="s">
        <v>899</v>
      </c>
      <c r="C3297" s="2212"/>
      <c r="D3297" s="2096" t="s">
        <v>5268</v>
      </c>
      <c r="E3297" s="2138" t="s">
        <v>5269</v>
      </c>
      <c r="F3297" s="2445" t="s">
        <v>853</v>
      </c>
      <c r="G3297" s="2333">
        <f>G3289+G3290</f>
        <v>0</v>
      </c>
      <c r="H3297" s="2208">
        <v>0</v>
      </c>
      <c r="I3297" s="2208"/>
      <c r="J3297" s="2208" t="s">
        <v>6216</v>
      </c>
      <c r="K3297" s="2208">
        <v>0</v>
      </c>
      <c r="L3297" s="2208">
        <f>H3297*$G3297</f>
        <v>0</v>
      </c>
      <c r="M3297" s="2208">
        <f>I3297*$G3297</f>
        <v>0</v>
      </c>
      <c r="N3297" s="2208">
        <v>0</v>
      </c>
      <c r="O3297" s="2208">
        <f>K3297*$G3297</f>
        <v>0</v>
      </c>
      <c r="P3297" s="2209"/>
      <c r="Q3297" s="2210"/>
      <c r="R3297" s="2210"/>
      <c r="S3297" s="2210"/>
    </row>
    <row r="3298" spans="1:19" s="2049" customFormat="1" ht="15" outlineLevel="1">
      <c r="A3298" s="2126" t="str">
        <f>IF(G3298&lt;&gt;0,1,"")</f>
        <v/>
      </c>
      <c r="B3298" s="2196" t="s">
        <v>1433</v>
      </c>
      <c r="C3298" s="2202"/>
      <c r="D3298" s="2096" t="s">
        <v>5263</v>
      </c>
      <c r="E3298" s="2138" t="s">
        <v>5264</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ht="15" outlineLevel="1">
      <c r="A3299" s="2126" t="str">
        <f>IF(G3299&lt;&gt;0,1,"")</f>
        <v/>
      </c>
      <c r="B3299" s="2205"/>
      <c r="C3299" s="2202">
        <f>IF(G3299&gt;0,C3286+1,C3286)</f>
        <v>0</v>
      </c>
      <c r="D3299" s="2203"/>
      <c r="E3299" s="2320" t="s">
        <v>6195</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5" outlineLevel="1">
      <c r="A3300" s="2126" t="str">
        <f>A3299</f>
        <v/>
      </c>
      <c r="B3300" s="2205"/>
      <c r="C3300" s="2202"/>
      <c r="D3300" s="2203"/>
      <c r="E3300" s="2211" t="s">
        <v>6037</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ht="15" outlineLevel="1">
      <c r="A3301" s="2126" t="str">
        <f>IF(G3301&lt;&gt;0,1,"")</f>
        <v/>
      </c>
      <c r="B3301" s="2205" t="s">
        <v>6201</v>
      </c>
      <c r="C3301" s="2212"/>
      <c r="D3301" s="2096" t="s">
        <v>5548</v>
      </c>
      <c r="E3301" s="2138" t="s">
        <v>5554</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ht="15" outlineLevel="1">
      <c r="A3302" s="2126" t="str">
        <f>IF(G3302&lt;&gt;0,1,"")</f>
        <v/>
      </c>
      <c r="B3302" s="2205" t="s">
        <v>288</v>
      </c>
      <c r="C3302" s="2212"/>
      <c r="D3302" s="2096">
        <v>0</v>
      </c>
      <c r="E3302" s="2138" t="s">
        <v>5627</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ht="15"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5" outlineLevel="1">
      <c r="A3304" s="2126" t="str">
        <f>A3303</f>
        <v/>
      </c>
      <c r="B3304" s="2205"/>
      <c r="C3304" s="2202"/>
      <c r="D3304" s="2203"/>
      <c r="E3304" s="2211" t="s">
        <v>6037</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ht="15" outlineLevel="1">
      <c r="A3305" s="2126" t="str">
        <f t="shared" ref="A3305:A3313" si="706">IF(G3305&lt;&gt;0,1,"")</f>
        <v/>
      </c>
      <c r="B3305" s="2498" t="s">
        <v>749</v>
      </c>
      <c r="C3305" s="2212"/>
      <c r="D3305" s="2096">
        <v>0</v>
      </c>
      <c r="E3305" s="2303" t="s">
        <v>6296</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ht="15" outlineLevel="1">
      <c r="A3306" s="2126" t="str">
        <f t="shared" si="706"/>
        <v/>
      </c>
      <c r="B3306" s="2498" t="s">
        <v>864</v>
      </c>
      <c r="C3306" s="2212"/>
      <c r="D3306" s="2096">
        <v>0</v>
      </c>
      <c r="E3306" s="2303" t="s">
        <v>6297</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ht="15" outlineLevel="1">
      <c r="A3307" s="2126" t="str">
        <f t="shared" si="706"/>
        <v/>
      </c>
      <c r="B3307" s="2498" t="s">
        <v>1671</v>
      </c>
      <c r="C3307" s="2212"/>
      <c r="D3307" s="2096">
        <v>0</v>
      </c>
      <c r="E3307" s="2303" t="s">
        <v>6281</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ht="15" outlineLevel="1">
      <c r="A3308" s="2126" t="str">
        <f t="shared" si="706"/>
        <v/>
      </c>
      <c r="B3308" s="2498" t="s">
        <v>1672</v>
      </c>
      <c r="C3308" s="2212"/>
      <c r="D3308" s="2096" t="s">
        <v>5208</v>
      </c>
      <c r="E3308" s="2303" t="s">
        <v>6282</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ht="15"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ht="15" outlineLevel="1">
      <c r="A3310" s="2126" t="str">
        <f t="shared" si="706"/>
        <v/>
      </c>
      <c r="B3310" s="2498" t="s">
        <v>1674</v>
      </c>
      <c r="C3310" s="2212"/>
      <c r="D3310" s="2096" t="s">
        <v>5250</v>
      </c>
      <c r="E3310" s="2303" t="s">
        <v>6283</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ht="15" outlineLevel="1">
      <c r="A3311" s="2126" t="str">
        <f t="shared" si="706"/>
        <v/>
      </c>
      <c r="B3311" s="2498" t="s">
        <v>144</v>
      </c>
      <c r="C3311" s="2212"/>
      <c r="D3311" s="2096" t="s">
        <v>5244</v>
      </c>
      <c r="E3311" s="2303" t="s">
        <v>6284</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ht="15" outlineLevel="1">
      <c r="A3312" s="2126" t="str">
        <f t="shared" si="706"/>
        <v/>
      </c>
      <c r="B3312" s="2498" t="s">
        <v>527</v>
      </c>
      <c r="C3312" s="2212"/>
      <c r="D3312" s="2096" t="s">
        <v>5249</v>
      </c>
      <c r="E3312" s="2303" t="s">
        <v>6298</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ht="15"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5" outlineLevel="1">
      <c r="A3314" s="2126" t="str">
        <f>A3313</f>
        <v/>
      </c>
      <c r="B3314" s="2205"/>
      <c r="C3314" s="2202"/>
      <c r="D3314" s="2203"/>
      <c r="E3314" s="2211" t="s">
        <v>6037</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ht="15" outlineLevel="1">
      <c r="A3315" s="2126" t="str">
        <f t="shared" ref="A3315:A3322" si="707">IF(G3315&lt;&gt;0,1,"")</f>
        <v/>
      </c>
      <c r="B3315" s="2205" t="s">
        <v>620</v>
      </c>
      <c r="C3315" s="2212"/>
      <c r="D3315" s="2096" t="s">
        <v>5223</v>
      </c>
      <c r="E3315" s="2138" t="s">
        <v>5224</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ht="15"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ht="15"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ht="15"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ht="15"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ht="15" outlineLevel="1">
      <c r="A3320" s="2126" t="str">
        <f t="shared" si="707"/>
        <v/>
      </c>
      <c r="B3320" s="2205" t="s">
        <v>1406</v>
      </c>
      <c r="C3320" s="2202"/>
      <c r="D3320" s="2096" t="s">
        <v>5258</v>
      </c>
      <c r="E3320" s="2138" t="s">
        <v>5259</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ht="15" outlineLevel="1">
      <c r="A3321" s="2126" t="str">
        <f t="shared" si="707"/>
        <v/>
      </c>
      <c r="B3321" s="2205" t="s">
        <v>288</v>
      </c>
      <c r="C3321" s="2212"/>
      <c r="D3321" s="2096">
        <v>0</v>
      </c>
      <c r="E3321" s="2138" t="s">
        <v>5627</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ht="15"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5" outlineLevel="1">
      <c r="A3323" s="2126" t="str">
        <f>A3322</f>
        <v/>
      </c>
      <c r="B3323" s="2205"/>
      <c r="C3323" s="2202"/>
      <c r="D3323" s="2203"/>
      <c r="E3323" s="2218" t="s">
        <v>6037</v>
      </c>
      <c r="F3323" s="2202"/>
      <c r="G3323" s="2207"/>
      <c r="H3323" s="2208"/>
      <c r="I3323" s="2208"/>
      <c r="J3323" s="2208"/>
      <c r="K3323" s="2208"/>
      <c r="L3323" s="2208"/>
      <c r="M3323" s="2208"/>
      <c r="N3323" s="2208"/>
      <c r="O3323" s="2208"/>
      <c r="P3323" s="2209"/>
      <c r="Q3323" s="2210"/>
      <c r="R3323" s="2210"/>
      <c r="S3323" s="2210"/>
    </row>
    <row r="3324" spans="1:19" s="2049" customFormat="1" ht="15" outlineLevel="1">
      <c r="A3324" s="2126" t="str">
        <f>IF(G3324&lt;&gt;0,1,"")</f>
        <v/>
      </c>
      <c r="B3324" s="2196" t="s">
        <v>468</v>
      </c>
      <c r="C3324" s="2212"/>
      <c r="D3324" s="2096">
        <v>0</v>
      </c>
      <c r="E3324" s="2138" t="s">
        <v>6299</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ht="15" outlineLevel="1">
      <c r="A3325" s="2126" t="str">
        <f t="shared" ref="A3325:A3334" si="708">IF(G3325&lt;&gt;0,1,"")</f>
        <v/>
      </c>
      <c r="B3325" s="2196" t="s">
        <v>270</v>
      </c>
      <c r="C3325" s="2212"/>
      <c r="D3325" s="2096">
        <v>0</v>
      </c>
      <c r="E3325" s="2138" t="s">
        <v>6300</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ht="15"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ht="15" outlineLevel="1">
      <c r="A3327" s="2126" t="str">
        <f t="shared" si="708"/>
        <v/>
      </c>
      <c r="B3327" s="2196" t="s">
        <v>468</v>
      </c>
      <c r="C3327" s="2212"/>
      <c r="D3327" s="2096">
        <v>0</v>
      </c>
      <c r="E3327" s="2138" t="s">
        <v>6289</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ht="15" outlineLevel="1">
      <c r="A3328" s="2126" t="str">
        <f t="shared" si="708"/>
        <v/>
      </c>
      <c r="B3328" s="2196" t="s">
        <v>270</v>
      </c>
      <c r="C3328" s="2212"/>
      <c r="D3328" s="2096">
        <v>0</v>
      </c>
      <c r="E3328" s="2138" t="s">
        <v>6290</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ht="15"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ht="15" outlineLevel="1">
      <c r="A3330" s="2126" t="str">
        <f t="shared" si="708"/>
        <v/>
      </c>
      <c r="B3330" s="2196" t="s">
        <v>1670</v>
      </c>
      <c r="C3330" s="2212"/>
      <c r="D3330" s="2096" t="s">
        <v>5376</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ht="15" outlineLevel="1">
      <c r="A3331" s="2126" t="str">
        <f t="shared" si="708"/>
        <v/>
      </c>
      <c r="B3331" s="2196" t="s">
        <v>1178</v>
      </c>
      <c r="C3331" s="2212"/>
      <c r="D3331" s="2096" t="s">
        <v>5469</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ht="15" outlineLevel="1">
      <c r="A3332" s="2126" t="str">
        <f t="shared" si="708"/>
        <v/>
      </c>
      <c r="B3332" s="2196" t="s">
        <v>1521</v>
      </c>
      <c r="C3332" s="2212"/>
      <c r="D3332" s="2096" t="s">
        <v>5487</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ht="15"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ht="15"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5" outlineLevel="1">
      <c r="A3335" s="2126" t="str">
        <f>A3334</f>
        <v/>
      </c>
      <c r="B3335" s="2205"/>
      <c r="C3335" s="2202"/>
      <c r="D3335" s="2203"/>
      <c r="E3335" s="2218" t="s">
        <v>6037</v>
      </c>
      <c r="F3335" s="2202"/>
      <c r="G3335" s="2207"/>
      <c r="H3335" s="2208"/>
      <c r="I3335" s="2208"/>
      <c r="J3335" s="2208"/>
      <c r="K3335" s="2208"/>
      <c r="L3335" s="2208"/>
      <c r="M3335" s="2208"/>
      <c r="N3335" s="2208"/>
      <c r="O3335" s="2208"/>
      <c r="P3335" s="2209"/>
      <c r="Q3335" s="2210"/>
      <c r="R3335" s="2210"/>
      <c r="S3335" s="2210"/>
    </row>
    <row r="3336" spans="1:19" s="2049" customFormat="1" ht="15" outlineLevel="1">
      <c r="A3336" s="2126" t="str">
        <f t="shared" ref="A3336:A3342" si="713">IF(G3336&lt;&gt;0,1,"")</f>
        <v/>
      </c>
      <c r="B3336" s="2196" t="s">
        <v>694</v>
      </c>
      <c r="C3336" s="2212"/>
      <c r="D3336" s="2096">
        <v>0</v>
      </c>
      <c r="E3336" s="2138" t="s">
        <v>5005</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ht="15"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ht="15"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ht="15"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ht="15" outlineLevel="1">
      <c r="A3340" s="2126" t="str">
        <f t="shared" si="713"/>
        <v/>
      </c>
      <c r="B3340" s="2301" t="s">
        <v>1473</v>
      </c>
      <c r="C3340" s="2212"/>
      <c r="D3340" s="2096">
        <v>0</v>
      </c>
      <c r="E3340" s="2138" t="s">
        <v>6250</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ht="15"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ht="15"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ht="15" outlineLevel="1">
      <c r="A3343" s="2126" t="str">
        <f>IF(G3343&lt;&gt;0,1,"")</f>
        <v/>
      </c>
      <c r="B3343" s="2196" t="s">
        <v>346</v>
      </c>
      <c r="C3343" s="2212"/>
      <c r="D3343" s="2096" t="s">
        <v>5477</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ht="15" outlineLevel="1">
      <c r="A3344" s="2126" t="str">
        <f>IF(G3344&lt;&gt;0,1,"")</f>
        <v/>
      </c>
      <c r="B3344" s="2196"/>
      <c r="C3344" s="2202">
        <f>IF(G3344&gt;0,C3334+1,C3334)</f>
        <v>0</v>
      </c>
      <c r="D3344" s="2203"/>
      <c r="E3344" s="2204" t="s">
        <v>6197</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5" outlineLevel="1">
      <c r="A3345" s="2126" t="str">
        <f>A3344</f>
        <v/>
      </c>
      <c r="B3345" s="2196"/>
      <c r="C3345" s="2202"/>
      <c r="D3345" s="2203"/>
      <c r="E3345" s="2218" t="s">
        <v>6037</v>
      </c>
      <c r="F3345" s="2202"/>
      <c r="G3345" s="2213"/>
      <c r="H3345" s="2208"/>
      <c r="I3345" s="2208"/>
      <c r="J3345" s="2208"/>
      <c r="K3345" s="2208"/>
      <c r="L3345" s="2208"/>
      <c r="M3345" s="2208"/>
      <c r="N3345" s="2208"/>
      <c r="O3345" s="2208"/>
      <c r="P3345" s="2209"/>
      <c r="Q3345" s="2210"/>
      <c r="R3345" s="2210"/>
      <c r="S3345" s="2210"/>
    </row>
    <row r="3346" spans="1:19" s="2049" customFormat="1" ht="15"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ht="15" outlineLevel="1">
      <c r="A3347" s="2126" t="str">
        <f t="shared" si="717"/>
        <v/>
      </c>
      <c r="B3347" s="2205" t="s">
        <v>446</v>
      </c>
      <c r="C3347" s="2212"/>
      <c r="D3347" s="2096" t="s">
        <v>5646</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ht="15"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ht="15"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ht="15" outlineLevel="1">
      <c r="A3350" s="2126" t="str">
        <f t="shared" si="717"/>
        <v/>
      </c>
      <c r="B3350" s="2196" t="s">
        <v>728</v>
      </c>
      <c r="C3350" s="2212"/>
      <c r="D3350" s="2096">
        <v>0</v>
      </c>
      <c r="E3350" s="2138" t="s">
        <v>5176</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ht="15" outlineLevel="1">
      <c r="A3351" s="2126" t="str">
        <f t="shared" si="717"/>
        <v/>
      </c>
      <c r="B3351" s="2205" t="s">
        <v>1039</v>
      </c>
      <c r="C3351" s="2212"/>
      <c r="D3351" s="2096">
        <v>0</v>
      </c>
      <c r="E3351" s="2138" t="s">
        <v>5712</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ht="15"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ht="15"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ht="15"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ht="15" outlineLevel="1">
      <c r="A3355" s="2126" t="str">
        <f>IF(G3355&lt;&gt;0,1,"")</f>
        <v/>
      </c>
      <c r="B3355" s="2196" t="s">
        <v>6</v>
      </c>
      <c r="C3355" s="2212"/>
      <c r="D3355" s="2096"/>
      <c r="E3355" s="2138" t="s">
        <v>3552</v>
      </c>
      <c r="F3355" s="2096" t="s">
        <v>5720</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ht="15"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ht="15" outlineLevel="1">
      <c r="A3357" s="2126" t="str">
        <f>IF(G3357&lt;&gt;0,1,"")</f>
        <v/>
      </c>
      <c r="B3357" s="2196" t="s">
        <v>669</v>
      </c>
      <c r="C3357" s="2212"/>
      <c r="D3357" s="2096">
        <v>0</v>
      </c>
      <c r="E3357" s="2138" t="s">
        <v>5715</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ht="15" outlineLevel="1">
      <c r="A3358" s="2126" t="str">
        <f>IF(G3358&lt;&gt;0,1,"")</f>
        <v/>
      </c>
      <c r="B3358" s="2196" t="s">
        <v>246</v>
      </c>
      <c r="C3358" s="2515"/>
      <c r="D3358" s="2096" t="s">
        <v>5489</v>
      </c>
      <c r="E3358" s="2138" t="s">
        <v>5490</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ht="15" outlineLevel="1">
      <c r="A3359" s="2126" t="str">
        <f>IF(G3359&lt;&gt;0,1,"")</f>
        <v/>
      </c>
      <c r="B3359" s="2196"/>
      <c r="C3359" s="2202">
        <f>IF(G3359&gt;0,C3344+1,C3344)</f>
        <v>0</v>
      </c>
      <c r="D3359" s="2203"/>
      <c r="E3359" s="2204" t="s">
        <v>6157</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5" outlineLevel="1">
      <c r="A3360" s="2126" t="str">
        <f>A3359</f>
        <v/>
      </c>
      <c r="B3360" s="2444"/>
      <c r="C3360" s="2202"/>
      <c r="D3360" s="2203"/>
      <c r="E3360" s="2218" t="s">
        <v>6037</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ht="15"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ht="15" outlineLevel="1">
      <c r="A3362" s="2126">
        <f>IF(G3362=0,0,1)</f>
        <v>0</v>
      </c>
      <c r="B3362" s="2196" t="s">
        <v>6158</v>
      </c>
      <c r="C3362" s="2212"/>
      <c r="D3362" s="2096">
        <v>0</v>
      </c>
      <c r="E3362" s="2303" t="s">
        <v>4971</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ht="15" outlineLevel="1">
      <c r="A3363" s="2126">
        <f>IF(G3363=0,0,1)</f>
        <v>0</v>
      </c>
      <c r="B3363" s="2196" t="s">
        <v>6159</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ht="15" outlineLevel="1">
      <c r="A3364" s="2126">
        <f t="shared" ref="A3364:A3381" si="723">IF(G3364=0,0,1)</f>
        <v>0</v>
      </c>
      <c r="B3364" s="2205" t="s">
        <v>245</v>
      </c>
      <c r="C3364" s="2333"/>
      <c r="D3364" s="2096">
        <v>0</v>
      </c>
      <c r="E3364" s="2303" t="s">
        <v>5783</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ht="15"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ht="15"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ht="15"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ht="15"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ht="15"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ht="15"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ht="15"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ht="15"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ht="15" outlineLevel="1">
      <c r="A3373" s="2126">
        <f t="shared" si="723"/>
        <v>0</v>
      </c>
      <c r="B3373" s="2196" t="s">
        <v>669</v>
      </c>
      <c r="C3373" s="2212"/>
      <c r="D3373" s="2096">
        <v>0</v>
      </c>
      <c r="E3373" s="2303" t="s">
        <v>5715</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ht="15"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ht="15"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ht="15" outlineLevel="1">
      <c r="A3376" s="2126">
        <f t="shared" si="723"/>
        <v>0</v>
      </c>
      <c r="B3376" s="2196" t="s">
        <v>318</v>
      </c>
      <c r="C3376" s="2212"/>
      <c r="D3376" s="2096">
        <v>0</v>
      </c>
      <c r="E3376" s="2303" t="s">
        <v>5187</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ht="15" outlineLevel="1">
      <c r="A3377" s="2126">
        <f t="shared" si="723"/>
        <v>0</v>
      </c>
      <c r="B3377" s="2196" t="s">
        <v>1910</v>
      </c>
      <c r="C3377" s="2212"/>
      <c r="D3377" s="2096" t="s">
        <v>5570</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ht="15" outlineLevel="1">
      <c r="A3378" s="2126">
        <f t="shared" si="723"/>
        <v>0</v>
      </c>
      <c r="B3378" s="2196" t="s">
        <v>6</v>
      </c>
      <c r="C3378" s="2212"/>
      <c r="D3378" s="2096">
        <v>0</v>
      </c>
      <c r="E3378" s="2303" t="s">
        <v>3552</v>
      </c>
      <c r="F3378" s="2445" t="s">
        <v>5720</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ht="15"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ht="15" outlineLevel="1">
      <c r="A3380" s="2126">
        <f t="shared" si="723"/>
        <v>0</v>
      </c>
      <c r="B3380" s="2196" t="s">
        <v>1031</v>
      </c>
      <c r="C3380" s="2212"/>
      <c r="D3380" s="2096">
        <v>0</v>
      </c>
      <c r="E3380" s="2303" t="s">
        <v>6293</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ht="15" outlineLevel="1">
      <c r="A3381" s="2126">
        <f t="shared" si="723"/>
        <v>0</v>
      </c>
      <c r="B3381" s="2196" t="s">
        <v>6159</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ht="15" outlineLevel="1">
      <c r="A3382" s="2126">
        <f>A3231</f>
        <v>0</v>
      </c>
      <c r="B3382" s="2301"/>
      <c r="C3382" s="2516"/>
      <c r="D3382" s="2368"/>
      <c r="E3382" s="2343"/>
      <c r="F3382" s="2581"/>
      <c r="G3382" s="2582"/>
      <c r="H3382" s="2581"/>
      <c r="I3382" s="2581"/>
      <c r="J3382" s="2591" t="s">
        <v>6035</v>
      </c>
      <c r="K3382" s="2591"/>
      <c r="L3382" s="2369">
        <f>SUM(L3250:L3381)</f>
        <v>0</v>
      </c>
      <c r="M3382" s="2369">
        <f>SUM(M3250:M3381)</f>
        <v>0</v>
      </c>
      <c r="N3382" s="2369">
        <f>SUM(N3250:N3381)</f>
        <v>0</v>
      </c>
      <c r="O3382" s="2369">
        <f>SUM(O3250:O3381)</f>
        <v>0</v>
      </c>
      <c r="P3382" s="2512"/>
      <c r="Q3382" s="2210"/>
      <c r="R3382" s="2210"/>
      <c r="S3382" s="2210"/>
    </row>
    <row r="3383" spans="1:19" s="2049" customFormat="1" ht="15"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ht="15"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ht="15" outlineLevel="1">
      <c r="A3386" s="2126">
        <f>A3384</f>
        <v>0</v>
      </c>
      <c r="B3386" s="2205" t="s">
        <v>6016</v>
      </c>
      <c r="C3386" s="2592" t="s">
        <v>1704</v>
      </c>
      <c r="D3386" s="2593" t="s">
        <v>2589</v>
      </c>
      <c r="E3386" s="2595" t="s">
        <v>2590</v>
      </c>
      <c r="F3386" s="2592" t="s">
        <v>2585</v>
      </c>
      <c r="G3386" s="2053" t="s">
        <v>6017</v>
      </c>
      <c r="H3386" s="2056" t="s">
        <v>6018</v>
      </c>
      <c r="I3386" s="2563"/>
      <c r="J3386" s="2563"/>
      <c r="K3386" s="2564"/>
      <c r="L3386" s="2056" t="s">
        <v>6019</v>
      </c>
      <c r="M3386" s="2563"/>
      <c r="N3386" s="2563"/>
      <c r="O3386" s="2564"/>
      <c r="P3386" s="2592" t="s">
        <v>2591</v>
      </c>
      <c r="Q3386" s="2210"/>
      <c r="R3386" s="2210"/>
      <c r="S3386" s="2210"/>
    </row>
    <row r="3387" spans="1:19" s="2049" customFormat="1" ht="15" outlineLevel="1">
      <c r="A3387" s="2126">
        <f>A3386</f>
        <v>0</v>
      </c>
      <c r="B3387" s="2205"/>
      <c r="C3387" s="2592"/>
      <c r="D3387" s="2594"/>
      <c r="E3387" s="2596"/>
      <c r="F3387" s="2592"/>
      <c r="G3387" s="2055" t="s">
        <v>2280</v>
      </c>
      <c r="H3387" s="2056" t="s">
        <v>6020</v>
      </c>
      <c r="I3387" s="2056" t="s">
        <v>6021</v>
      </c>
      <c r="J3387" s="2056" t="s">
        <v>6022</v>
      </c>
      <c r="K3387" s="2056" t="s">
        <v>6023</v>
      </c>
      <c r="L3387" s="2056" t="s">
        <v>6020</v>
      </c>
      <c r="M3387" s="2056" t="s">
        <v>6021</v>
      </c>
      <c r="N3387" s="2056" t="s">
        <v>6022</v>
      </c>
      <c r="O3387" s="2056" t="s">
        <v>6023</v>
      </c>
      <c r="P3387" s="2592"/>
      <c r="Q3387" s="2210"/>
      <c r="R3387" s="2210"/>
      <c r="S3387" s="2210"/>
    </row>
    <row r="3388" spans="1:19" s="2049" customFormat="1" ht="15"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ht="15" outlineLevel="1">
      <c r="A3389" s="2126" t="str">
        <f t="shared" ref="A3389:A3399" si="724">IF(G3389&lt;&gt;0,1,"")</f>
        <v/>
      </c>
      <c r="B3389" s="2196" t="str">
        <f>IF($F$8=15,"tr2000","tr20001")</f>
        <v>tr20001</v>
      </c>
      <c r="C3389" s="2212">
        <f>IF(G3389&gt;0,1,0)</f>
        <v>0</v>
      </c>
      <c r="D3389" s="2096" t="s">
        <v>5509</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ht="15" outlineLevel="1">
      <c r="A3390" s="2126" t="str">
        <f t="shared" si="724"/>
        <v/>
      </c>
      <c r="B3390" s="2301" t="s">
        <v>392</v>
      </c>
      <c r="C3390" s="2212">
        <f t="shared" ref="C3390:C3396" si="729">IF(G3390&gt;0,C3389+1,C3389)</f>
        <v>0</v>
      </c>
      <c r="D3390" s="2096" t="s">
        <v>5515</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ht="15"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6189</v>
      </c>
      <c r="Q3391" s="2210"/>
      <c r="R3391" s="2210"/>
      <c r="S3391" s="2210"/>
    </row>
    <row r="3392" spans="1:19" s="2049" customFormat="1" ht="15" outlineLevel="1">
      <c r="A3392" s="2126" t="str">
        <f t="shared" si="724"/>
        <v/>
      </c>
      <c r="B3392" s="2062" t="str">
        <f>"FCO200-"&amp;$F$8</f>
        <v>FCO200-22</v>
      </c>
      <c r="C3392" s="2212">
        <f t="shared" si="729"/>
        <v>0</v>
      </c>
      <c r="D3392" s="2096" t="s">
        <v>5513</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ht="15"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ht="15" outlineLevel="1">
      <c r="A3394" s="2126" t="str">
        <f t="shared" si="724"/>
        <v/>
      </c>
      <c r="B3394" s="2205" t="str">
        <f>"LA"&amp;$F$6</f>
        <v>LA18</v>
      </c>
      <c r="C3394" s="2212">
        <f t="shared" si="729"/>
        <v>0</v>
      </c>
      <c r="D3394" s="2096" t="s">
        <v>5517</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ht="15"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ht="15" outlineLevel="1">
      <c r="A3396" s="2126" t="str">
        <f t="shared" si="724"/>
        <v/>
      </c>
      <c r="B3396" s="2301" t="s">
        <v>6203</v>
      </c>
      <c r="C3396" s="2212">
        <f t="shared" si="729"/>
        <v>0</v>
      </c>
      <c r="D3396" s="2096" t="s">
        <v>1021</v>
      </c>
      <c r="E3396" s="2138" t="s">
        <v>5531</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ht="15"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ht="15" outlineLevel="1">
      <c r="A3398" s="2126" t="str">
        <f t="shared" si="724"/>
        <v/>
      </c>
      <c r="B3398" s="2196" t="s">
        <v>2182</v>
      </c>
      <c r="C3398" s="2212">
        <f>IF(G3398&gt;0,C3396+1,C3396)</f>
        <v>0</v>
      </c>
      <c r="D3398" s="2096">
        <v>0</v>
      </c>
      <c r="E3398" s="2138" t="s">
        <v>5526</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ht="15" outlineLevel="1">
      <c r="A3399" s="2126" t="str">
        <f t="shared" si="724"/>
        <v/>
      </c>
      <c r="B3399" s="2511" t="s">
        <v>1832</v>
      </c>
      <c r="C3399" s="2212">
        <f>IF(G3399&gt;0,C3397+1,C3397)</f>
        <v>0</v>
      </c>
      <c r="D3399" s="2096">
        <v>0</v>
      </c>
      <c r="E3399" s="2138" t="s">
        <v>5624</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ht="15" outlineLevel="1">
      <c r="A3400" s="2126">
        <f>A3384</f>
        <v>0</v>
      </c>
      <c r="B3400" s="2205"/>
      <c r="C3400" s="2337"/>
      <c r="D3400" s="2338"/>
      <c r="E3400" s="2339"/>
      <c r="F3400" s="2337"/>
      <c r="G3400" s="2580"/>
      <c r="H3400" s="2337"/>
      <c r="I3400" s="2337"/>
      <c r="J3400" s="2061" t="s">
        <v>6025</v>
      </c>
      <c r="K3400" s="2337"/>
      <c r="L3400" s="2339">
        <f>SUM(L3389:L3399)</f>
        <v>0</v>
      </c>
      <c r="M3400" s="2339">
        <f>SUM(M3389:M3399)</f>
        <v>0</v>
      </c>
      <c r="N3400" s="2339">
        <f>SUM(N3389:N3399)</f>
        <v>0</v>
      </c>
      <c r="O3400" s="2339">
        <f>SUM(O3389:O3399)</f>
        <v>0</v>
      </c>
      <c r="P3400" s="2512"/>
      <c r="Q3400" s="2210"/>
      <c r="R3400" s="2210"/>
      <c r="S3400" s="2210"/>
    </row>
    <row r="3401" spans="1:19" s="2049" customFormat="1" ht="15"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ht="15" outlineLevel="1">
      <c r="A3402" s="2126" t="str">
        <f t="shared" ref="A3402:A3413" si="730">IF(G3402&lt;&gt;0,1,"")</f>
        <v/>
      </c>
      <c r="B3402" s="2345"/>
      <c r="C3402" s="2346">
        <f>IF(G3402&gt;0,1,0)</f>
        <v>0</v>
      </c>
      <c r="D3402" s="2096"/>
      <c r="E3402" s="2347" t="s">
        <v>6121</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ht="15"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ht="15"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ht="15" outlineLevel="1">
      <c r="A3405" s="2126" t="str">
        <f t="shared" si="730"/>
        <v/>
      </c>
      <c r="B3405" s="2301" t="s">
        <v>1608</v>
      </c>
      <c r="C3405" s="2351"/>
      <c r="D3405" s="2096" t="s">
        <v>5274</v>
      </c>
      <c r="E3405" s="2352" t="s">
        <v>5275</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ht="15" outlineLevel="1">
      <c r="A3406" s="2126" t="str">
        <f t="shared" si="730"/>
        <v/>
      </c>
      <c r="B3406" s="2301" t="s">
        <v>2229</v>
      </c>
      <c r="C3406" s="2351"/>
      <c r="D3406" s="2096"/>
      <c r="E3406" s="2352" t="s">
        <v>5241</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ht="15" outlineLevel="1">
      <c r="A3407" s="2126" t="str">
        <f t="shared" si="730"/>
        <v/>
      </c>
      <c r="B3407" s="2301" t="s">
        <v>21</v>
      </c>
      <c r="C3407" s="2351"/>
      <c r="D3407" s="2096" t="s">
        <v>5242</v>
      </c>
      <c r="E3407" s="2352" t="s">
        <v>5243</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ht="15"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ht="15" outlineLevel="1">
      <c r="A3409" s="2126" t="str">
        <f t="shared" si="730"/>
        <v/>
      </c>
      <c r="B3409" s="2301" t="s">
        <v>633</v>
      </c>
      <c r="C3409" s="2351"/>
      <c r="D3409" s="2096" t="s">
        <v>4965</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ht="15" outlineLevel="1">
      <c r="A3410" s="2126" t="str">
        <f t="shared" si="730"/>
        <v/>
      </c>
      <c r="B3410" s="2301" t="s">
        <v>564</v>
      </c>
      <c r="C3410" s="2351"/>
      <c r="D3410" s="2096"/>
      <c r="E3410" s="2352" t="s">
        <v>4990</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ht="15" outlineLevel="1">
      <c r="A3411" s="2126" t="str">
        <f t="shared" si="730"/>
        <v/>
      </c>
      <c r="B3411" s="2301" t="s">
        <v>636</v>
      </c>
      <c r="C3411" s="2351"/>
      <c r="D3411" s="2096" t="s">
        <v>1742</v>
      </c>
      <c r="E3411" s="2352" t="s">
        <v>5241</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ht="15" outlineLevel="1">
      <c r="A3412" s="2126" t="str">
        <f t="shared" si="730"/>
        <v/>
      </c>
      <c r="B3412" s="2301" t="s">
        <v>21</v>
      </c>
      <c r="C3412" s="2351"/>
      <c r="D3412" s="2096" t="s">
        <v>5242</v>
      </c>
      <c r="E3412" s="2352" t="s">
        <v>5243</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ht="15"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5" outlineLevel="1">
      <c r="A3414" s="2126" t="str">
        <f>A3413</f>
        <v/>
      </c>
      <c r="B3414" s="2205"/>
      <c r="C3414" s="2202"/>
      <c r="D3414" s="2358"/>
      <c r="E3414" s="2211" t="s">
        <v>6037</v>
      </c>
      <c r="F3414" s="2212"/>
      <c r="G3414" s="2213"/>
      <c r="H3414" s="2359"/>
      <c r="I3414" s="2359"/>
      <c r="J3414" s="2359"/>
      <c r="K3414" s="2359"/>
      <c r="L3414" s="2359"/>
      <c r="M3414" s="2359"/>
      <c r="N3414" s="2359"/>
      <c r="O3414" s="2359"/>
      <c r="P3414" s="2209"/>
      <c r="Q3414" s="2210"/>
      <c r="R3414" s="2210"/>
      <c r="S3414" s="2210"/>
    </row>
    <row r="3415" spans="1:19" s="2049" customFormat="1" ht="15"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6307</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ht="15" outlineLevel="1">
      <c r="A3416" s="2126" t="str">
        <f t="shared" si="731"/>
        <v/>
      </c>
      <c r="B3416" s="2196" t="s">
        <v>1133</v>
      </c>
      <c r="C3416" s="2202"/>
      <c r="D3416" s="2096">
        <v>0</v>
      </c>
      <c r="E3416" s="2138" t="s">
        <v>5752</v>
      </c>
      <c r="F3416" s="2096" t="s">
        <v>2243</v>
      </c>
      <c r="G3416" s="2213">
        <f>G3413*4</f>
        <v>0</v>
      </c>
      <c r="H3416" s="2303">
        <v>31625</v>
      </c>
      <c r="I3416" s="2360"/>
      <c r="J3416" s="2303" t="s">
        <v>6308</v>
      </c>
      <c r="K3416" s="2303">
        <v>0</v>
      </c>
      <c r="L3416" s="2304">
        <f t="shared" si="732"/>
        <v>0</v>
      </c>
      <c r="M3416" s="2304">
        <f t="shared" si="733"/>
        <v>0</v>
      </c>
      <c r="N3416" s="2303">
        <v>0</v>
      </c>
      <c r="O3416" s="2304">
        <f t="shared" si="734"/>
        <v>0</v>
      </c>
      <c r="P3416" s="2209"/>
      <c r="Q3416" s="2210"/>
      <c r="R3416" s="2210"/>
      <c r="S3416" s="2210"/>
    </row>
    <row r="3417" spans="1:19" s="2049" customFormat="1" ht="15" outlineLevel="1">
      <c r="A3417" s="2126" t="str">
        <f t="shared" si="731"/>
        <v/>
      </c>
      <c r="B3417" s="2196" t="s">
        <v>1134</v>
      </c>
      <c r="C3417" s="2202"/>
      <c r="D3417" s="2096">
        <v>0</v>
      </c>
      <c r="E3417" s="2138" t="s">
        <v>5751</v>
      </c>
      <c r="F3417" s="2096" t="s">
        <v>2243</v>
      </c>
      <c r="G3417" s="2213">
        <f>G3413*2</f>
        <v>0</v>
      </c>
      <c r="H3417" s="2303">
        <v>31625</v>
      </c>
      <c r="I3417" s="2360"/>
      <c r="J3417" s="2303" t="s">
        <v>6308</v>
      </c>
      <c r="K3417" s="2303">
        <v>0</v>
      </c>
      <c r="L3417" s="2304">
        <f t="shared" si="732"/>
        <v>0</v>
      </c>
      <c r="M3417" s="2304">
        <f t="shared" si="733"/>
        <v>0</v>
      </c>
      <c r="N3417" s="2303">
        <v>0</v>
      </c>
      <c r="O3417" s="2304">
        <f t="shared" si="734"/>
        <v>0</v>
      </c>
      <c r="P3417" s="2209"/>
      <c r="Q3417" s="2210"/>
      <c r="R3417" s="2210"/>
      <c r="S3417" s="2210"/>
    </row>
    <row r="3418" spans="1:19" s="2049" customFormat="1" ht="15"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ht="15"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ht="15"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ht="15" outlineLevel="1">
      <c r="A3421" s="2126" t="str">
        <f t="shared" si="731"/>
        <v/>
      </c>
      <c r="B3421" s="2205"/>
      <c r="C3421" s="2202">
        <f>IF(G3421&gt;0,C3413+1,C3413)</f>
        <v>0</v>
      </c>
      <c r="D3421" s="2203"/>
      <c r="E3421" s="2361" t="s">
        <v>6175</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5" outlineLevel="1">
      <c r="A3422" s="2126" t="str">
        <f>A3421</f>
        <v/>
      </c>
      <c r="B3422" s="2205"/>
      <c r="C3422" s="2202"/>
      <c r="D3422" s="2203"/>
      <c r="E3422" s="2211" t="s">
        <v>6037</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ht="15"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ht="15"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ht="15"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ht="15"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ht="15" outlineLevel="1">
      <c r="A3427" s="2126" t="str">
        <f t="shared" si="736"/>
        <v/>
      </c>
      <c r="B3427" s="2205" t="s">
        <v>2237</v>
      </c>
      <c r="C3427" s="2202"/>
      <c r="D3427" s="2096" t="s">
        <v>727</v>
      </c>
      <c r="E3427" s="2138" t="s">
        <v>2434</v>
      </c>
      <c r="F3427" s="2096" t="s">
        <v>2379</v>
      </c>
      <c r="G3427" s="2213">
        <f>G3421</f>
        <v>0</v>
      </c>
      <c r="H3427" s="2303">
        <v>0</v>
      </c>
      <c r="I3427" s="2303"/>
      <c r="J3427" s="2303" t="s">
        <v>6249</v>
      </c>
      <c r="K3427" s="2303"/>
      <c r="L3427" s="2304">
        <f t="shared" si="732"/>
        <v>0</v>
      </c>
      <c r="M3427" s="2304"/>
      <c r="N3427" s="2303">
        <v>0</v>
      </c>
      <c r="O3427" s="2304"/>
      <c r="P3427" s="2209"/>
      <c r="Q3427" s="2210"/>
      <c r="R3427" s="2210"/>
      <c r="S3427" s="2210"/>
    </row>
    <row r="3428" spans="1:19" s="2049" customFormat="1" ht="15" outlineLevel="1">
      <c r="A3428" s="2126" t="str">
        <f t="shared" si="736"/>
        <v/>
      </c>
      <c r="B3428" s="2205"/>
      <c r="C3428" s="2202">
        <f>IF(G3428&gt;0,C3421+1,C3421)</f>
        <v>0</v>
      </c>
      <c r="D3428" s="2203"/>
      <c r="E3428" s="2361" t="s">
        <v>6204</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5" outlineLevel="1">
      <c r="A3429" s="2126" t="str">
        <f>A3428</f>
        <v/>
      </c>
      <c r="B3429" s="2205"/>
      <c r="C3429" s="2202"/>
      <c r="D3429" s="2203"/>
      <c r="E3429" s="2211" t="s">
        <v>6037</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ht="15"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ht="15"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ht="15"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ht="15" outlineLevel="1">
      <c r="A3433" s="2126" t="str">
        <f t="shared" si="737"/>
        <v/>
      </c>
      <c r="B3433" s="2196" t="s">
        <v>2265</v>
      </c>
      <c r="C3433" s="2202"/>
      <c r="D3433" s="2096">
        <v>0</v>
      </c>
      <c r="E3433" s="2138" t="s">
        <v>4996</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ht="15" outlineLevel="1">
      <c r="A3434" s="2126" t="str">
        <f t="shared" si="737"/>
        <v/>
      </c>
      <c r="B3434" s="2205" t="s">
        <v>2237</v>
      </c>
      <c r="C3434" s="2202"/>
      <c r="D3434" s="2096" t="s">
        <v>727</v>
      </c>
      <c r="E3434" s="2138" t="s">
        <v>2434</v>
      </c>
      <c r="F3434" s="2096" t="s">
        <v>2379</v>
      </c>
      <c r="G3434" s="2213">
        <f>G3428</f>
        <v>0</v>
      </c>
      <c r="H3434" s="2303">
        <v>0</v>
      </c>
      <c r="I3434" s="2303"/>
      <c r="J3434" s="2303" t="s">
        <v>6249</v>
      </c>
      <c r="K3434" s="2303"/>
      <c r="L3434" s="2304">
        <f t="shared" ref="L3434:L3461" si="738">H3434*G3434</f>
        <v>0</v>
      </c>
      <c r="M3434" s="2304"/>
      <c r="N3434" s="2303">
        <v>0</v>
      </c>
      <c r="O3434" s="2304"/>
      <c r="P3434" s="2209"/>
      <c r="Q3434" s="2210"/>
      <c r="R3434" s="2210"/>
      <c r="S3434" s="2210"/>
    </row>
    <row r="3435" spans="1:19" s="2049" customFormat="1" ht="15" outlineLevel="1">
      <c r="A3435" s="2126" t="str">
        <f t="shared" si="737"/>
        <v/>
      </c>
      <c r="B3435" s="2205"/>
      <c r="C3435" s="2202">
        <f>IF(G3435&gt;0,C3428+1,C3428)</f>
        <v>0</v>
      </c>
      <c r="D3435" s="2203"/>
      <c r="E3435" s="2361" t="s">
        <v>6125</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5" outlineLevel="1">
      <c r="A3436" s="2126" t="str">
        <f>A3435</f>
        <v/>
      </c>
      <c r="B3436" s="2205"/>
      <c r="C3436" s="2202"/>
      <c r="D3436" s="2203"/>
      <c r="E3436" s="2211" t="s">
        <v>6037</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ht="15"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ht="15"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ht="15" outlineLevel="1">
      <c r="A3439" s="2126" t="str">
        <f t="shared" si="739"/>
        <v/>
      </c>
      <c r="B3439" s="2205" t="s">
        <v>2237</v>
      </c>
      <c r="C3439" s="2202"/>
      <c r="D3439" s="2096" t="s">
        <v>727</v>
      </c>
      <c r="E3439" s="2138" t="s">
        <v>2434</v>
      </c>
      <c r="F3439" s="2096" t="s">
        <v>2379</v>
      </c>
      <c r="G3439" s="2213">
        <f>G3435</f>
        <v>0</v>
      </c>
      <c r="H3439" s="2303">
        <v>0</v>
      </c>
      <c r="I3439" s="2303"/>
      <c r="J3439" s="2303" t="s">
        <v>6249</v>
      </c>
      <c r="K3439" s="2303"/>
      <c r="L3439" s="2304">
        <f t="shared" si="738"/>
        <v>0</v>
      </c>
      <c r="M3439" s="2304"/>
      <c r="N3439" s="2303">
        <v>0</v>
      </c>
      <c r="O3439" s="2304"/>
      <c r="P3439" s="2209"/>
      <c r="Q3439" s="2210"/>
      <c r="R3439" s="2210"/>
      <c r="S3439" s="2210"/>
    </row>
    <row r="3440" spans="1:19" s="2049" customFormat="1" ht="15"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ht="15"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ht="15" outlineLevel="1" collapsed="1">
      <c r="A3442" s="2126" t="str">
        <f t="shared" si="739"/>
        <v/>
      </c>
      <c r="B3442" s="2205"/>
      <c r="C3442" s="2202">
        <f>IF(G3442&gt;0,C3435+1,C3435)</f>
        <v>0</v>
      </c>
      <c r="D3442" s="2203"/>
      <c r="E3442" s="2361" t="s">
        <v>6202</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5" outlineLevel="1">
      <c r="A3443" s="2126" t="str">
        <f>A3442</f>
        <v/>
      </c>
      <c r="B3443" s="2205"/>
      <c r="C3443" s="2202"/>
      <c r="D3443" s="2203"/>
      <c r="E3443" s="2211" t="s">
        <v>6037</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ht="15"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ht="15" outlineLevel="1">
      <c r="A3445" s="2126" t="str">
        <f t="shared" si="740"/>
        <v/>
      </c>
      <c r="B3445" s="2205" t="s">
        <v>1031</v>
      </c>
      <c r="C3445" s="2202"/>
      <c r="D3445" s="2096" t="s">
        <v>552</v>
      </c>
      <c r="E3445" s="2138" t="s">
        <v>6309</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ht="15"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ht="15"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ht="15"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ht="15" outlineLevel="1">
      <c r="A3449" s="2126" t="str">
        <f t="shared" si="740"/>
        <v/>
      </c>
      <c r="B3449" s="2205" t="s">
        <v>515</v>
      </c>
      <c r="C3449" s="2202"/>
      <c r="D3449" s="2096" t="s">
        <v>1453</v>
      </c>
      <c r="E3449" s="2138" t="s">
        <v>3158</v>
      </c>
      <c r="F3449" s="2096" t="s">
        <v>2379</v>
      </c>
      <c r="G3449" s="2213">
        <f>G3442</f>
        <v>0</v>
      </c>
      <c r="H3449" s="2208"/>
      <c r="I3449" s="2208"/>
      <c r="J3449" s="2208" t="s">
        <v>6295</v>
      </c>
      <c r="K3449" s="2208"/>
      <c r="L3449" s="2208">
        <f t="shared" si="738"/>
        <v>0</v>
      </c>
      <c r="M3449" s="2208"/>
      <c r="N3449" s="2208">
        <v>0</v>
      </c>
      <c r="O3449" s="2208"/>
      <c r="P3449" s="2209"/>
      <c r="Q3449" s="2210"/>
      <c r="R3449" s="2210"/>
      <c r="S3449" s="2210"/>
    </row>
    <row r="3450" spans="1:19" s="2049" customFormat="1" ht="15" outlineLevel="1">
      <c r="A3450" s="2126" t="str">
        <f t="shared" si="740"/>
        <v/>
      </c>
      <c r="B3450" s="2205"/>
      <c r="C3450" s="2202">
        <f>IF(G3450&gt;0,C3442+1,C3442)</f>
        <v>0</v>
      </c>
      <c r="D3450" s="2203"/>
      <c r="E3450" s="2361" t="s">
        <v>6193</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5" outlineLevel="1">
      <c r="A3451" s="2126" t="str">
        <f>A3450</f>
        <v/>
      </c>
      <c r="B3451" s="2205"/>
      <c r="C3451" s="2202"/>
      <c r="D3451" s="2203"/>
      <c r="E3451" s="2211" t="s">
        <v>6037</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ht="15"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ht="15" outlineLevel="1">
      <c r="A3453" s="2126" t="str">
        <f t="shared" si="741"/>
        <v/>
      </c>
      <c r="B3453" s="2205" t="s">
        <v>1031</v>
      </c>
      <c r="C3453" s="2202"/>
      <c r="D3453" s="2096">
        <v>0</v>
      </c>
      <c r="E3453" s="2138" t="s">
        <v>6309</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ht="15"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ht="15"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ht="15" outlineLevel="1">
      <c r="A3456" s="2126" t="str">
        <f t="shared" si="741"/>
        <v/>
      </c>
      <c r="B3456" s="2205" t="s">
        <v>984</v>
      </c>
      <c r="C3456" s="2202"/>
      <c r="D3456" s="2096">
        <v>0</v>
      </c>
      <c r="E3456" s="2138" t="s">
        <v>5188</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ht="15" outlineLevel="1">
      <c r="A3457" s="2126" t="str">
        <f t="shared" si="741"/>
        <v/>
      </c>
      <c r="B3457" s="2205" t="s">
        <v>1993</v>
      </c>
      <c r="C3457" s="2202"/>
      <c r="D3457" s="2096" t="s">
        <v>2259</v>
      </c>
      <c r="E3457" s="2138" t="s">
        <v>5346</v>
      </c>
      <c r="F3457" s="2096" t="s">
        <v>2379</v>
      </c>
      <c r="G3457" s="2213">
        <f>G3450</f>
        <v>0</v>
      </c>
      <c r="H3457" s="2208"/>
      <c r="I3457" s="2208"/>
      <c r="J3457" s="2208" t="s">
        <v>6233</v>
      </c>
      <c r="K3457" s="2208"/>
      <c r="L3457" s="2208">
        <f t="shared" si="738"/>
        <v>0</v>
      </c>
      <c r="M3457" s="2208"/>
      <c r="N3457" s="2208">
        <v>0</v>
      </c>
      <c r="O3457" s="2208"/>
      <c r="P3457" s="2209"/>
      <c r="Q3457" s="2210"/>
      <c r="R3457" s="2210"/>
      <c r="S3457" s="2210"/>
    </row>
    <row r="3458" spans="1:19" s="2049" customFormat="1" ht="15"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5" outlineLevel="1">
      <c r="A3459" s="2126"/>
      <c r="B3459" s="2362"/>
      <c r="C3459" s="2202"/>
      <c r="D3459" s="2203"/>
      <c r="E3459" s="2211" t="s">
        <v>6194</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ht="15"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ht="15" outlineLevel="1">
      <c r="A3461" s="2126" t="str">
        <f t="shared" si="743"/>
        <v/>
      </c>
      <c r="B3461" s="2196" t="s">
        <v>1504</v>
      </c>
      <c r="C3461" s="2202"/>
      <c r="D3461" s="2096">
        <v>0</v>
      </c>
      <c r="E3461" s="2138" t="s">
        <v>5081</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ht="15" outlineLevel="1">
      <c r="A3462" s="2126" t="str">
        <f t="shared" si="743"/>
        <v/>
      </c>
      <c r="B3462" s="2196" t="s">
        <v>1581</v>
      </c>
      <c r="C3462" s="2202"/>
      <c r="D3462" s="2096">
        <v>0</v>
      </c>
      <c r="E3462" s="2138" t="s">
        <v>5628</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ht="15"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ht="15"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ht="15" outlineLevel="1">
      <c r="A3465" s="2126" t="str">
        <f t="shared" si="743"/>
        <v/>
      </c>
      <c r="B3465" s="2196" t="s">
        <v>523</v>
      </c>
      <c r="C3465" s="2202"/>
      <c r="D3465" s="2096">
        <v>0</v>
      </c>
      <c r="E3465" s="2138" t="s">
        <v>5170</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ht="15"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ht="15" outlineLevel="1">
      <c r="A3467" s="2126">
        <f>IF(G3467=0,0,1)</f>
        <v>0</v>
      </c>
      <c r="B3467" s="2196" t="s">
        <v>791</v>
      </c>
      <c r="C3467" s="2212"/>
      <c r="D3467" s="2096" t="s">
        <v>5253</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ht="15" outlineLevel="1">
      <c r="A3468" s="2126">
        <f>IF(G3468=0,0,1)</f>
        <v>0</v>
      </c>
      <c r="B3468" s="2196" t="s">
        <v>795</v>
      </c>
      <c r="C3468" s="2212"/>
      <c r="D3468" s="2096" t="s">
        <v>5242</v>
      </c>
      <c r="E3468" s="2138" t="s">
        <v>5254</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ht="15" outlineLevel="1">
      <c r="A3469" s="2126">
        <f>IF(G3469=0,0,1)</f>
        <v>0</v>
      </c>
      <c r="B3469" s="2196" t="s">
        <v>899</v>
      </c>
      <c r="C3469" s="2212"/>
      <c r="D3469" s="2096" t="s">
        <v>5268</v>
      </c>
      <c r="E3469" s="2138" t="s">
        <v>5269</v>
      </c>
      <c r="F3469" s="2445" t="s">
        <v>853</v>
      </c>
      <c r="G3469" s="2333">
        <f>G3461+G3462</f>
        <v>0</v>
      </c>
      <c r="H3469" s="2208">
        <v>0</v>
      </c>
      <c r="I3469" s="2208"/>
      <c r="J3469" s="2208" t="s">
        <v>6216</v>
      </c>
      <c r="K3469" s="2208">
        <v>0</v>
      </c>
      <c r="L3469" s="2208">
        <f>H3469*$G3469</f>
        <v>0</v>
      </c>
      <c r="M3469" s="2208">
        <f>I3469*$G3469</f>
        <v>0</v>
      </c>
      <c r="N3469" s="2208">
        <v>0</v>
      </c>
      <c r="O3469" s="2208">
        <f>K3469*$G3469</f>
        <v>0</v>
      </c>
      <c r="P3469" s="2209"/>
      <c r="Q3469" s="2210"/>
      <c r="R3469" s="2210"/>
      <c r="S3469" s="2210"/>
    </row>
    <row r="3470" spans="1:19" s="2049" customFormat="1" ht="15" outlineLevel="1">
      <c r="A3470" s="2126" t="str">
        <f>IF(G3470&lt;&gt;0,1,"")</f>
        <v/>
      </c>
      <c r="B3470" s="2196" t="s">
        <v>1433</v>
      </c>
      <c r="C3470" s="2202"/>
      <c r="D3470" s="2096" t="s">
        <v>5263</v>
      </c>
      <c r="E3470" s="2138" t="s">
        <v>5264</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ht="15" outlineLevel="1">
      <c r="A3471" s="2126" t="str">
        <f>IF(G3471&lt;&gt;0,1,"")</f>
        <v/>
      </c>
      <c r="B3471" s="2205"/>
      <c r="C3471" s="2202">
        <f>IF(G3471&gt;0,C3458+1,C3458)</f>
        <v>0</v>
      </c>
      <c r="D3471" s="2203"/>
      <c r="E3471" s="2320" t="s">
        <v>6205</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5" outlineLevel="1">
      <c r="A3472" s="2126" t="str">
        <f>A3471</f>
        <v/>
      </c>
      <c r="B3472" s="2205"/>
      <c r="C3472" s="2202"/>
      <c r="D3472" s="2203"/>
      <c r="E3472" s="2211" t="s">
        <v>6037</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ht="15" outlineLevel="1">
      <c r="A3473" s="2126" t="str">
        <f>IF(G3473&lt;&gt;0,1,"")</f>
        <v/>
      </c>
      <c r="B3473" s="2205" t="s">
        <v>6206</v>
      </c>
      <c r="C3473" s="2212"/>
      <c r="D3473" s="2096" t="s">
        <v>5548</v>
      </c>
      <c r="E3473" s="2138" t="s">
        <v>5555</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ht="15" outlineLevel="1">
      <c r="A3474" s="2126" t="str">
        <f>IF(G3474&lt;&gt;0,1,"")</f>
        <v/>
      </c>
      <c r="B3474" s="2205" t="s">
        <v>288</v>
      </c>
      <c r="C3474" s="2212"/>
      <c r="D3474" s="2096">
        <v>0</v>
      </c>
      <c r="E3474" s="2138" t="s">
        <v>5627</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ht="15"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5" outlineLevel="1">
      <c r="A3476" s="2126" t="str">
        <f>A3475</f>
        <v/>
      </c>
      <c r="B3476" s="2205"/>
      <c r="C3476" s="2202"/>
      <c r="D3476" s="2203"/>
      <c r="E3476" s="2211" t="s">
        <v>6037</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ht="15" outlineLevel="1">
      <c r="A3477" s="2126" t="str">
        <f t="shared" ref="A3477:A3485" si="749">IF(G3477&lt;&gt;0,1,"")</f>
        <v/>
      </c>
      <c r="B3477" s="2498" t="s">
        <v>749</v>
      </c>
      <c r="C3477" s="2212"/>
      <c r="D3477" s="2096">
        <v>0</v>
      </c>
      <c r="E3477" s="2303" t="s">
        <v>6296</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ht="15" outlineLevel="1">
      <c r="A3478" s="2126" t="str">
        <f t="shared" si="749"/>
        <v/>
      </c>
      <c r="B3478" s="2498" t="s">
        <v>864</v>
      </c>
      <c r="C3478" s="2212"/>
      <c r="D3478" s="2096">
        <v>0</v>
      </c>
      <c r="E3478" s="2303" t="s">
        <v>6297</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ht="15" outlineLevel="1">
      <c r="A3479" s="2126" t="str">
        <f t="shared" si="749"/>
        <v/>
      </c>
      <c r="B3479" s="2498" t="s">
        <v>1671</v>
      </c>
      <c r="C3479" s="2212"/>
      <c r="D3479" s="2096">
        <v>0</v>
      </c>
      <c r="E3479" s="2303" t="s">
        <v>6281</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ht="15" outlineLevel="1">
      <c r="A3480" s="2126" t="str">
        <f t="shared" si="749"/>
        <v/>
      </c>
      <c r="B3480" s="2498" t="s">
        <v>1672</v>
      </c>
      <c r="C3480" s="2212"/>
      <c r="D3480" s="2096" t="s">
        <v>5208</v>
      </c>
      <c r="E3480" s="2303" t="s">
        <v>6282</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ht="15"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ht="15" outlineLevel="1">
      <c r="A3482" s="2126" t="str">
        <f t="shared" si="749"/>
        <v/>
      </c>
      <c r="B3482" s="2498" t="s">
        <v>1674</v>
      </c>
      <c r="C3482" s="2212"/>
      <c r="D3482" s="2096" t="s">
        <v>5250</v>
      </c>
      <c r="E3482" s="2303" t="s">
        <v>6283</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ht="15" outlineLevel="1">
      <c r="A3483" s="2126" t="str">
        <f t="shared" si="749"/>
        <v/>
      </c>
      <c r="B3483" s="2498" t="s">
        <v>144</v>
      </c>
      <c r="C3483" s="2212"/>
      <c r="D3483" s="2096" t="s">
        <v>5244</v>
      </c>
      <c r="E3483" s="2303" t="s">
        <v>6284</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ht="15" outlineLevel="1">
      <c r="A3484" s="2126" t="str">
        <f t="shared" si="749"/>
        <v/>
      </c>
      <c r="B3484" s="2498" t="s">
        <v>527</v>
      </c>
      <c r="C3484" s="2212"/>
      <c r="D3484" s="2096" t="s">
        <v>5249</v>
      </c>
      <c r="E3484" s="2303" t="s">
        <v>6298</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ht="15"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5" outlineLevel="1">
      <c r="A3486" s="2126" t="str">
        <f>A3485</f>
        <v/>
      </c>
      <c r="B3486" s="2205"/>
      <c r="C3486" s="2202"/>
      <c r="D3486" s="2203"/>
      <c r="E3486" s="2211" t="s">
        <v>6037</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ht="15" outlineLevel="1">
      <c r="A3487" s="2126" t="str">
        <f t="shared" ref="A3487:A3494" si="750">IF(G3487&lt;&gt;0,1,"")</f>
        <v/>
      </c>
      <c r="B3487" s="2205" t="s">
        <v>620</v>
      </c>
      <c r="C3487" s="2212"/>
      <c r="D3487" s="2096" t="s">
        <v>5223</v>
      </c>
      <c r="E3487" s="2138" t="s">
        <v>5224</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ht="15"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ht="15"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ht="15"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ht="15"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ht="15" outlineLevel="1">
      <c r="A3492" s="2126" t="str">
        <f t="shared" si="750"/>
        <v/>
      </c>
      <c r="B3492" s="2205" t="s">
        <v>1406</v>
      </c>
      <c r="C3492" s="2202"/>
      <c r="D3492" s="2096" t="s">
        <v>5258</v>
      </c>
      <c r="E3492" s="2138" t="s">
        <v>5259</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ht="15" outlineLevel="1">
      <c r="A3493" s="2126" t="str">
        <f t="shared" si="750"/>
        <v/>
      </c>
      <c r="B3493" s="2205" t="s">
        <v>288</v>
      </c>
      <c r="C3493" s="2212"/>
      <c r="D3493" s="2096">
        <v>0</v>
      </c>
      <c r="E3493" s="2138" t="s">
        <v>5627</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ht="15"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5" outlineLevel="1">
      <c r="A3495" s="2126" t="str">
        <f>A3494</f>
        <v/>
      </c>
      <c r="B3495" s="2205"/>
      <c r="C3495" s="2202"/>
      <c r="D3495" s="2203"/>
      <c r="E3495" s="2218" t="s">
        <v>6037</v>
      </c>
      <c r="F3495" s="2202"/>
      <c r="G3495" s="2207"/>
      <c r="H3495" s="2208"/>
      <c r="I3495" s="2208"/>
      <c r="J3495" s="2208"/>
      <c r="K3495" s="2208"/>
      <c r="L3495" s="2208"/>
      <c r="M3495" s="2208"/>
      <c r="N3495" s="2208"/>
      <c r="O3495" s="2208"/>
      <c r="P3495" s="2209"/>
      <c r="Q3495" s="2210"/>
      <c r="R3495" s="2210"/>
      <c r="S3495" s="2210"/>
    </row>
    <row r="3496" spans="1:19" s="2049" customFormat="1" ht="15" outlineLevel="1">
      <c r="A3496" s="2126" t="str">
        <f>IF(G3496&lt;&gt;0,1,"")</f>
        <v/>
      </c>
      <c r="B3496" s="2196" t="s">
        <v>468</v>
      </c>
      <c r="C3496" s="2212"/>
      <c r="D3496" s="2096">
        <v>0</v>
      </c>
      <c r="E3496" s="2138" t="s">
        <v>6299</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ht="15" outlineLevel="1">
      <c r="A3497" s="2126" t="str">
        <f t="shared" ref="A3497:A3506" si="751">IF(G3497&lt;&gt;0,1,"")</f>
        <v/>
      </c>
      <c r="B3497" s="2196" t="s">
        <v>270</v>
      </c>
      <c r="C3497" s="2212"/>
      <c r="D3497" s="2096">
        <v>0</v>
      </c>
      <c r="E3497" s="2138" t="s">
        <v>6300</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ht="15"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ht="15" outlineLevel="1">
      <c r="A3499" s="2126" t="str">
        <f t="shared" si="751"/>
        <v/>
      </c>
      <c r="B3499" s="2196" t="s">
        <v>468</v>
      </c>
      <c r="C3499" s="2212"/>
      <c r="D3499" s="2096">
        <v>0</v>
      </c>
      <c r="E3499" s="2138" t="s">
        <v>6289</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ht="15" outlineLevel="1">
      <c r="A3500" s="2126" t="str">
        <f t="shared" si="751"/>
        <v/>
      </c>
      <c r="B3500" s="2196" t="s">
        <v>270</v>
      </c>
      <c r="C3500" s="2212"/>
      <c r="D3500" s="2096">
        <v>0</v>
      </c>
      <c r="E3500" s="2138" t="s">
        <v>6290</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ht="15"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ht="15" outlineLevel="1">
      <c r="A3502" s="2126" t="str">
        <f t="shared" si="751"/>
        <v/>
      </c>
      <c r="B3502" s="2196" t="s">
        <v>1670</v>
      </c>
      <c r="C3502" s="2212"/>
      <c r="D3502" s="2096" t="s">
        <v>5376</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ht="15" outlineLevel="1">
      <c r="A3503" s="2126" t="str">
        <f t="shared" si="751"/>
        <v/>
      </c>
      <c r="B3503" s="2196" t="s">
        <v>1178</v>
      </c>
      <c r="C3503" s="2212"/>
      <c r="D3503" s="2096" t="s">
        <v>5469</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ht="15" outlineLevel="1">
      <c r="A3504" s="2126" t="str">
        <f t="shared" si="751"/>
        <v/>
      </c>
      <c r="B3504" s="2196" t="s">
        <v>1521</v>
      </c>
      <c r="C3504" s="2212"/>
      <c r="D3504" s="2096" t="s">
        <v>5487</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ht="15"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ht="15"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5" outlineLevel="1">
      <c r="A3507" s="2126" t="str">
        <f>A3506</f>
        <v/>
      </c>
      <c r="B3507" s="2205"/>
      <c r="C3507" s="2202"/>
      <c r="D3507" s="2203"/>
      <c r="E3507" s="2218" t="s">
        <v>6037</v>
      </c>
      <c r="F3507" s="2202"/>
      <c r="G3507" s="2207"/>
      <c r="H3507" s="2208"/>
      <c r="I3507" s="2208"/>
      <c r="J3507" s="2208"/>
      <c r="K3507" s="2208"/>
      <c r="L3507" s="2208"/>
      <c r="M3507" s="2208"/>
      <c r="N3507" s="2208"/>
      <c r="O3507" s="2208"/>
      <c r="P3507" s="2209"/>
      <c r="Q3507" s="2210"/>
      <c r="R3507" s="2210"/>
      <c r="S3507" s="2210"/>
    </row>
    <row r="3508" spans="1:19" s="2049" customFormat="1" ht="15" outlineLevel="1">
      <c r="A3508" s="2126" t="str">
        <f t="shared" ref="A3508:A3514" si="756">IF(G3508&lt;&gt;0,1,"")</f>
        <v/>
      </c>
      <c r="B3508" s="2196" t="s">
        <v>694</v>
      </c>
      <c r="C3508" s="2212"/>
      <c r="D3508" s="2096">
        <v>0</v>
      </c>
      <c r="E3508" s="2138" t="s">
        <v>5005</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ht="15"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ht="15"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ht="15"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ht="15" outlineLevel="1">
      <c r="A3512" s="2126" t="str">
        <f t="shared" si="756"/>
        <v/>
      </c>
      <c r="B3512" s="2301" t="s">
        <v>1473</v>
      </c>
      <c r="C3512" s="2212"/>
      <c r="D3512" s="2096">
        <v>0</v>
      </c>
      <c r="E3512" s="2138" t="s">
        <v>6250</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ht="15"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ht="15"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ht="15" outlineLevel="1">
      <c r="A3515" s="2126" t="str">
        <f>IF(G3515&lt;&gt;0,1,"")</f>
        <v/>
      </c>
      <c r="B3515" s="2196" t="s">
        <v>346</v>
      </c>
      <c r="C3515" s="2212"/>
      <c r="D3515" s="2096" t="s">
        <v>5477</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ht="15"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5" outlineLevel="1">
      <c r="A3517" s="2126" t="str">
        <f>A3516</f>
        <v/>
      </c>
      <c r="B3517" s="2205"/>
      <c r="C3517" s="2202"/>
      <c r="D3517" s="2203"/>
      <c r="E3517" s="2218" t="s">
        <v>6037</v>
      </c>
      <c r="F3517" s="2202"/>
      <c r="G3517" s="2207"/>
      <c r="H3517" s="2208"/>
      <c r="I3517" s="2208"/>
      <c r="J3517" s="2208"/>
      <c r="K3517" s="2208"/>
      <c r="L3517" s="2208"/>
      <c r="M3517" s="2208"/>
      <c r="N3517" s="2208"/>
      <c r="O3517" s="2208"/>
      <c r="P3517" s="2209"/>
      <c r="Q3517" s="2210"/>
      <c r="R3517" s="2210"/>
      <c r="S3517" s="2210"/>
    </row>
    <row r="3518" spans="1:19" s="2049" customFormat="1" ht="15"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ht="15" outlineLevel="1">
      <c r="A3519" s="2126" t="str">
        <f>IF(G3519&lt;&gt;0,1,"")</f>
        <v/>
      </c>
      <c r="B3519" s="2205" t="s">
        <v>1406</v>
      </c>
      <c r="C3519" s="2212"/>
      <c r="D3519" s="2096" t="s">
        <v>5258</v>
      </c>
      <c r="E3519" s="2138" t="s">
        <v>5259</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ht="15"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5" outlineLevel="1">
      <c r="A3521" s="2126" t="str">
        <f>A3520</f>
        <v/>
      </c>
      <c r="B3521" s="2196"/>
      <c r="C3521" s="2202"/>
      <c r="D3521" s="2203"/>
      <c r="E3521" s="2218" t="s">
        <v>6037</v>
      </c>
      <c r="F3521" s="2202"/>
      <c r="G3521" s="2213"/>
      <c r="H3521" s="2208"/>
      <c r="I3521" s="2208"/>
      <c r="J3521" s="2208"/>
      <c r="K3521" s="2208"/>
      <c r="L3521" s="2208"/>
      <c r="M3521" s="2208"/>
      <c r="N3521" s="2208"/>
      <c r="O3521" s="2208"/>
      <c r="P3521" s="2209"/>
      <c r="Q3521" s="2210"/>
      <c r="R3521" s="2210"/>
      <c r="S3521" s="2210"/>
    </row>
    <row r="3522" spans="1:19" s="2049" customFormat="1" ht="15"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ht="15" outlineLevel="1">
      <c r="A3523" s="2126" t="str">
        <f t="shared" si="760"/>
        <v/>
      </c>
      <c r="B3523" s="2205" t="s">
        <v>446</v>
      </c>
      <c r="C3523" s="2212"/>
      <c r="D3523" s="2096" t="s">
        <v>5646</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ht="15"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ht="15"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ht="15" outlineLevel="1">
      <c r="A3526" s="2126" t="str">
        <f t="shared" si="760"/>
        <v/>
      </c>
      <c r="B3526" s="2196" t="s">
        <v>728</v>
      </c>
      <c r="C3526" s="2212"/>
      <c r="D3526" s="2096">
        <v>0</v>
      </c>
      <c r="E3526" s="2138" t="s">
        <v>5176</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ht="15" outlineLevel="1">
      <c r="A3527" s="2126" t="str">
        <f t="shared" si="760"/>
        <v/>
      </c>
      <c r="B3527" s="2205" t="s">
        <v>1039</v>
      </c>
      <c r="C3527" s="2212"/>
      <c r="D3527" s="2096">
        <v>0</v>
      </c>
      <c r="E3527" s="2138" t="s">
        <v>5712</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ht="15"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ht="15"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ht="15"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ht="15" outlineLevel="1">
      <c r="A3531" s="2126" t="str">
        <f>IF(G3531&lt;&gt;0,1,"")</f>
        <v/>
      </c>
      <c r="B3531" s="2196" t="s">
        <v>6</v>
      </c>
      <c r="C3531" s="2212"/>
      <c r="D3531" s="2096"/>
      <c r="E3531" s="2138" t="s">
        <v>3552</v>
      </c>
      <c r="F3531" s="2096" t="s">
        <v>5720</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ht="15"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ht="15" outlineLevel="1">
      <c r="A3533" s="2126" t="str">
        <f>IF(G3533&lt;&gt;0,1,"")</f>
        <v/>
      </c>
      <c r="B3533" s="2196" t="s">
        <v>669</v>
      </c>
      <c r="C3533" s="2212"/>
      <c r="D3533" s="2096">
        <v>0</v>
      </c>
      <c r="E3533" s="2138" t="s">
        <v>5715</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ht="15" outlineLevel="1">
      <c r="A3534" s="2126" t="str">
        <f>IF(G3534&lt;&gt;0,1,"")</f>
        <v/>
      </c>
      <c r="B3534" s="2196" t="s">
        <v>246</v>
      </c>
      <c r="C3534" s="2515"/>
      <c r="D3534" s="2096" t="s">
        <v>5489</v>
      </c>
      <c r="E3534" s="2138" t="s">
        <v>5490</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ht="15" outlineLevel="1">
      <c r="A3535" s="2126" t="str">
        <f>IF(G3535&lt;&gt;0,1,"")</f>
        <v/>
      </c>
      <c r="B3535" s="2196"/>
      <c r="C3535" s="2202">
        <f>IF(G3535&gt;0,C3520+1,C3520)</f>
        <v>0</v>
      </c>
      <c r="D3535" s="2203"/>
      <c r="E3535" s="2204" t="s">
        <v>6157</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5" outlineLevel="1">
      <c r="A3536" s="2126" t="str">
        <f>A3535</f>
        <v/>
      </c>
      <c r="B3536" s="2444"/>
      <c r="C3536" s="2202"/>
      <c r="D3536" s="2203"/>
      <c r="E3536" s="2218" t="s">
        <v>6037</v>
      </c>
      <c r="F3536" s="2202"/>
      <c r="G3536" s="2207"/>
      <c r="H3536" s="2208"/>
      <c r="I3536" s="2208"/>
      <c r="J3536" s="2208"/>
      <c r="K3536" s="2208"/>
      <c r="L3536" s="2208"/>
      <c r="M3536" s="2208"/>
      <c r="N3536" s="2208"/>
      <c r="O3536" s="2208"/>
      <c r="P3536" s="2209"/>
      <c r="Q3536" s="2377"/>
      <c r="R3536" s="2377"/>
      <c r="S3536" s="2377"/>
    </row>
    <row r="3537" spans="1:19" s="2049" customFormat="1" ht="15"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ht="15" outlineLevel="1">
      <c r="A3538" s="2126">
        <f>IF(G3538=0,0,1)</f>
        <v>0</v>
      </c>
      <c r="B3538" s="2196" t="s">
        <v>6158</v>
      </c>
      <c r="C3538" s="2212"/>
      <c r="D3538" s="2096">
        <v>0</v>
      </c>
      <c r="E3538" s="2303" t="s">
        <v>4971</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ht="15" outlineLevel="1">
      <c r="A3539" s="2126">
        <f>IF(G3539=0,0,1)</f>
        <v>0</v>
      </c>
      <c r="B3539" s="2196" t="s">
        <v>6159</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ht="15" outlineLevel="1">
      <c r="A3540" s="2126">
        <f t="shared" ref="A3540:A3557" si="766">IF(G3540=0,0,1)</f>
        <v>0</v>
      </c>
      <c r="B3540" s="2205" t="s">
        <v>245</v>
      </c>
      <c r="C3540" s="2333"/>
      <c r="D3540" s="2096">
        <v>0</v>
      </c>
      <c r="E3540" s="2303" t="s">
        <v>5783</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ht="15"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ht="15"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ht="15"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ht="15"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ht="15"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ht="15"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ht="15"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ht="15"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ht="15" outlineLevel="1">
      <c r="A3549" s="2126">
        <f t="shared" si="766"/>
        <v>0</v>
      </c>
      <c r="B3549" s="2196" t="s">
        <v>669</v>
      </c>
      <c r="C3549" s="2212"/>
      <c r="D3549" s="2096">
        <v>0</v>
      </c>
      <c r="E3549" s="2303" t="s">
        <v>5715</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ht="15"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ht="15"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ht="15" outlineLevel="1">
      <c r="A3552" s="2126">
        <f t="shared" si="766"/>
        <v>0</v>
      </c>
      <c r="B3552" s="2196" t="s">
        <v>318</v>
      </c>
      <c r="C3552" s="2212"/>
      <c r="D3552" s="2096">
        <v>0</v>
      </c>
      <c r="E3552" s="2303" t="s">
        <v>5187</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ht="15" outlineLevel="1">
      <c r="A3553" s="2126">
        <f t="shared" si="766"/>
        <v>0</v>
      </c>
      <c r="B3553" s="2196" t="s">
        <v>1910</v>
      </c>
      <c r="C3553" s="2212"/>
      <c r="D3553" s="2096" t="s">
        <v>5570</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ht="15" outlineLevel="1">
      <c r="A3554" s="2126">
        <f t="shared" si="766"/>
        <v>0</v>
      </c>
      <c r="B3554" s="2196" t="s">
        <v>6</v>
      </c>
      <c r="C3554" s="2212"/>
      <c r="D3554" s="2096">
        <v>0</v>
      </c>
      <c r="E3554" s="2303" t="s">
        <v>3552</v>
      </c>
      <c r="F3554" s="2445" t="s">
        <v>5720</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ht="15"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ht="15"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ht="15" outlineLevel="1">
      <c r="A3557" s="2126">
        <f t="shared" si="766"/>
        <v>0</v>
      </c>
      <c r="B3557" s="2196" t="s">
        <v>6159</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ht="15" outlineLevel="1">
      <c r="A3558" s="2126">
        <f>A3384</f>
        <v>0</v>
      </c>
      <c r="B3558" s="2301"/>
      <c r="C3558" s="2516"/>
      <c r="D3558" s="2368"/>
      <c r="E3558" s="2343"/>
      <c r="F3558" s="2581"/>
      <c r="G3558" s="2582"/>
      <c r="H3558" s="2581"/>
      <c r="I3558" s="2581"/>
      <c r="J3558" s="2591" t="s">
        <v>6035</v>
      </c>
      <c r="K3558" s="2591"/>
      <c r="L3558" s="2369">
        <f>SUM(L3403:L3557)</f>
        <v>0</v>
      </c>
      <c r="M3558" s="2369">
        <f>SUM(M3403:M3557)</f>
        <v>0</v>
      </c>
      <c r="N3558" s="2369">
        <f>SUM(N3403:N3557)</f>
        <v>0</v>
      </c>
      <c r="O3558" s="2369">
        <f>SUM(O3403:O3557)</f>
        <v>0</v>
      </c>
      <c r="P3558" s="2512"/>
      <c r="Q3558" s="2210"/>
      <c r="R3558" s="2210"/>
      <c r="S3558" s="221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19" zoomScaleNormal="100" workbookViewId="0">
      <selection activeCell="A22" sqref="A22:XFD23"/>
    </sheetView>
  </sheetViews>
  <sheetFormatPr defaultColWidth="8.88671875" defaultRowHeight="15.75" outlineLevelRow="1"/>
  <cols>
    <col min="1" max="1" width="6.33203125" style="925" customWidth="1"/>
    <col min="2" max="2" width="9.109375" style="1001" customWidth="1"/>
    <col min="3" max="3" width="7.44140625" style="2779" customWidth="1"/>
    <col min="4" max="4" width="5.33203125" style="925" customWidth="1"/>
    <col min="5" max="5" width="8.77734375" style="925" customWidth="1"/>
    <col min="6" max="6" width="44.88671875" style="2644" customWidth="1"/>
    <col min="7" max="7" width="7.33203125" style="925" customWidth="1"/>
    <col min="8" max="8" width="9.5546875" style="2645" customWidth="1"/>
    <col min="9" max="9" width="10.21875" style="1693" customWidth="1"/>
    <col min="10" max="11" width="9" style="925" customWidth="1"/>
    <col min="12" max="12" width="11.109375" style="2646"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t="20.25"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8">
        <f>I17+L17</f>
        <v>0</v>
      </c>
      <c r="O6" s="2654"/>
    </row>
    <row r="7" spans="3:16" hidden="1" outlineLevel="1">
      <c r="C7" s="2777"/>
      <c r="D7" s="2662"/>
      <c r="F7" s="2663"/>
      <c r="G7" s="1213" t="s">
        <v>4367</v>
      </c>
      <c r="H7" s="2664" t="s">
        <v>2047</v>
      </c>
      <c r="I7" s="1661"/>
      <c r="J7" s="1213">
        <f>I7*25</f>
        <v>0</v>
      </c>
      <c r="K7" s="2660" t="s">
        <v>4368</v>
      </c>
      <c r="L7" s="1213">
        <v>0</v>
      </c>
      <c r="M7" s="2661">
        <f>L7*3*25</f>
        <v>0</v>
      </c>
      <c r="N7" s="3199"/>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8">
        <f>J18+M18</f>
        <v>560</v>
      </c>
      <c r="O9" s="2654"/>
    </row>
    <row r="10" spans="3:16" hidden="1" outlineLevel="1">
      <c r="C10" s="2777"/>
      <c r="E10" s="2662"/>
      <c r="F10" s="2651"/>
      <c r="G10" s="2668"/>
      <c r="H10" s="2669" t="s">
        <v>2049</v>
      </c>
      <c r="I10" s="1661"/>
      <c r="J10" s="1213">
        <f>I10*75</f>
        <v>0</v>
      </c>
      <c r="K10" s="2670" t="s">
        <v>4373</v>
      </c>
      <c r="L10" s="1213"/>
      <c r="M10" s="2661">
        <f>L10*160</f>
        <v>0</v>
      </c>
      <c r="N10" s="3200"/>
      <c r="O10" s="2654"/>
    </row>
    <row r="11" spans="3:16" hidden="1" outlineLevel="1">
      <c r="C11" s="2777"/>
      <c r="E11" s="2662"/>
      <c r="F11" s="2651"/>
      <c r="G11" s="2668"/>
      <c r="H11" s="2669" t="s">
        <v>2050</v>
      </c>
      <c r="I11" s="1661"/>
      <c r="J11" s="1213">
        <f>I11*100</f>
        <v>0</v>
      </c>
      <c r="K11" s="2670" t="s">
        <v>4374</v>
      </c>
      <c r="L11" s="1213"/>
      <c r="M11" s="2661">
        <f>L11*250</f>
        <v>0</v>
      </c>
      <c r="N11" s="3200"/>
      <c r="O11" s="2654"/>
    </row>
    <row r="12" spans="3:16" hidden="1" outlineLevel="1">
      <c r="C12" s="2777"/>
      <c r="E12" s="2662"/>
      <c r="F12" s="2651"/>
      <c r="G12" s="2668"/>
      <c r="H12" s="2671"/>
      <c r="I12" s="1661"/>
      <c r="J12" s="2672"/>
      <c r="K12" s="2670" t="s">
        <v>4375</v>
      </c>
      <c r="L12" s="1213"/>
      <c r="M12" s="2661">
        <f>L12*320</f>
        <v>0</v>
      </c>
      <c r="N12" s="3200"/>
      <c r="O12" s="2654"/>
    </row>
    <row r="13" spans="3:16" hidden="1" outlineLevel="1">
      <c r="C13" s="2777"/>
      <c r="E13" s="2662"/>
      <c r="F13" s="2651"/>
      <c r="G13" s="2668"/>
      <c r="H13" s="2671"/>
      <c r="I13" s="1661"/>
      <c r="J13" s="2672"/>
      <c r="K13" s="2670" t="s">
        <v>4376</v>
      </c>
      <c r="L13" s="1213">
        <v>0</v>
      </c>
      <c r="M13" s="2661">
        <f>L13*400</f>
        <v>0</v>
      </c>
      <c r="N13" s="3200"/>
      <c r="O13" s="2654"/>
    </row>
    <row r="14" spans="3:16" hidden="1" outlineLevel="1">
      <c r="C14" s="2777"/>
      <c r="E14" s="2662"/>
      <c r="F14" s="2651"/>
      <c r="G14" s="2668"/>
      <c r="H14" s="2671"/>
      <c r="I14" s="1661"/>
      <c r="J14" s="2672"/>
      <c r="K14" s="2670" t="s">
        <v>4377</v>
      </c>
      <c r="L14" s="1213">
        <v>1</v>
      </c>
      <c r="M14" s="2661">
        <f>L14*560</f>
        <v>560</v>
      </c>
      <c r="N14" s="3200"/>
      <c r="O14" s="2654"/>
    </row>
    <row r="15" spans="3:16" hidden="1" outlineLevel="1">
      <c r="C15" s="2777"/>
      <c r="E15" s="2662"/>
      <c r="F15" s="2651"/>
      <c r="G15" s="2668"/>
      <c r="H15" s="2671"/>
      <c r="I15" s="1661"/>
      <c r="J15" s="2672"/>
      <c r="K15" s="2670" t="s">
        <v>4378</v>
      </c>
      <c r="L15" s="1213">
        <v>0</v>
      </c>
      <c r="M15" s="2661">
        <f>L15*630</f>
        <v>0</v>
      </c>
      <c r="N15" s="3200"/>
      <c r="O15" s="2654"/>
    </row>
    <row r="16" spans="3:16" hidden="1" outlineLevel="1">
      <c r="C16" s="2777"/>
      <c r="E16" s="2662"/>
      <c r="F16" s="2651"/>
      <c r="G16" s="2673"/>
      <c r="H16" s="2669"/>
      <c r="I16" s="1661"/>
      <c r="J16" s="2672"/>
      <c r="K16" s="2674">
        <v>1000</v>
      </c>
      <c r="L16" s="1213">
        <v>0</v>
      </c>
      <c r="M16" s="2661">
        <f>L16*1000</f>
        <v>0</v>
      </c>
      <c r="N16" s="3201"/>
      <c r="O16" s="2654"/>
    </row>
    <row r="17" spans="1:23" hidden="1" outlineLevel="1">
      <c r="C17" s="2777"/>
      <c r="E17" s="925">
        <f>chitiet!G5</f>
        <v>3</v>
      </c>
      <c r="F17" s="2651"/>
      <c r="G17" s="2675"/>
      <c r="H17" s="2669"/>
      <c r="I17" s="1661"/>
      <c r="J17" s="2676"/>
      <c r="K17" s="2677">
        <v>2000</v>
      </c>
      <c r="L17" s="1213">
        <v>0</v>
      </c>
      <c r="M17" s="2661">
        <f>L17*2000</f>
        <v>0</v>
      </c>
      <c r="N17" s="3199"/>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4728</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ADE Garnet</v>
      </c>
      <c r="E20" s="926"/>
      <c r="F20" s="926"/>
      <c r="G20" s="926"/>
      <c r="H20" s="1663"/>
      <c r="I20" s="1663"/>
      <c r="J20" s="926"/>
      <c r="K20" s="926"/>
      <c r="L20" s="926"/>
    </row>
    <row r="21" spans="1:23" ht="21" customHeight="1">
      <c r="A21" s="929"/>
      <c r="D21" s="1207" t="str">
        <f>"Địa điểm: "&amp;WORD!AD2</f>
        <v>Địa điểm: Xã Xuân Thành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18" customHeight="1">
      <c r="A22" s="1079"/>
      <c r="B22" s="1214" t="s">
        <v>2278</v>
      </c>
      <c r="C22" s="2778"/>
      <c r="D22" s="3202" t="s">
        <v>1704</v>
      </c>
      <c r="E22" s="3202" t="s">
        <v>2589</v>
      </c>
      <c r="F22" s="3202" t="s">
        <v>2590</v>
      </c>
      <c r="G22" s="3202" t="s">
        <v>2585</v>
      </c>
      <c r="H22" s="2862" t="s">
        <v>4220</v>
      </c>
      <c r="I22" s="2863"/>
      <c r="J22" s="2864"/>
      <c r="K22" s="2864"/>
      <c r="L22" s="3203" t="s">
        <v>2591</v>
      </c>
      <c r="M22" s="928"/>
    </row>
    <row r="23" spans="1:23" s="1009" customFormat="1" ht="18" customHeight="1">
      <c r="A23" s="1079"/>
      <c r="B23" s="1214"/>
      <c r="C23" s="2778"/>
      <c r="D23" s="3202"/>
      <c r="E23" s="3202"/>
      <c r="F23" s="3202"/>
      <c r="G23" s="3202"/>
      <c r="H23" s="2865" t="s">
        <v>4219</v>
      </c>
      <c r="I23" s="2865" t="s">
        <v>4216</v>
      </c>
      <c r="J23" s="2866" t="s">
        <v>4217</v>
      </c>
      <c r="K23" s="2866" t="s">
        <v>4218</v>
      </c>
      <c r="L23" s="3203"/>
      <c r="M23" s="928">
        <v>1000</v>
      </c>
      <c r="N23" s="1009" t="s">
        <v>510</v>
      </c>
    </row>
    <row r="24" spans="1:23" s="1009" customFormat="1" ht="25.15"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15"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15"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15"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15"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15"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15"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15"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15"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15"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15"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15"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15"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15"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15"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15"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15"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15"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15"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15"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15"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15"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15" hidden="1" customHeight="1">
      <c r="A102" s="1079">
        <f t="shared" si="3"/>
        <v>0</v>
      </c>
      <c r="B102" s="1214"/>
      <c r="C102" s="2785"/>
      <c r="D102" s="1087"/>
      <c r="E102" s="928"/>
      <c r="H102" s="1693"/>
      <c r="I102" s="1185">
        <f t="shared" si="4"/>
        <v>0</v>
      </c>
      <c r="M102" s="928"/>
    </row>
    <row r="103" spans="1:14" s="1009" customFormat="1" ht="25.15"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15"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15"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15"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15"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15"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15"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15"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15"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15"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15"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15"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15"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9"/>
      <c r="C128" s="2781"/>
      <c r="D128" s="1004">
        <f>IF(H128&gt;0,D122+1,D122)</f>
        <v>0</v>
      </c>
      <c r="E128" s="1111"/>
      <c r="F128" s="1123" t="s">
        <v>4698</v>
      </c>
      <c r="G128" s="1092" t="s">
        <v>2379</v>
      </c>
      <c r="H128" s="1665">
        <f>SUM(H105:H105)</f>
        <v>0</v>
      </c>
      <c r="I128" s="1185">
        <f t="shared" si="4"/>
        <v>0</v>
      </c>
      <c r="J128" s="1057"/>
      <c r="K128" s="1057"/>
      <c r="L128" s="1008"/>
      <c r="M128" s="928">
        <v>25</v>
      </c>
    </row>
    <row r="129" spans="1:13" s="1009" customFormat="1" ht="25.15"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15"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9" t="s">
        <v>4651</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15"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15"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15"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15"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15"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15"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15"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15"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15" hidden="1" customHeight="1">
      <c r="A193" s="1079">
        <f t="shared" si="6"/>
        <v>0</v>
      </c>
      <c r="B193" s="1214"/>
      <c r="C193" s="2785"/>
      <c r="D193" s="1062"/>
      <c r="E193" s="1116"/>
      <c r="F193" s="996"/>
      <c r="G193" s="1118"/>
      <c r="H193" s="1667"/>
      <c r="I193" s="996"/>
      <c r="J193" s="1119"/>
      <c r="K193" s="1120"/>
      <c r="L193" s="1062"/>
      <c r="M193" s="928">
        <v>25</v>
      </c>
    </row>
    <row r="194" spans="1:14" s="1009" customFormat="1" ht="25.15" hidden="1" customHeight="1">
      <c r="A194" s="1079">
        <f t="shared" si="6"/>
        <v>0</v>
      </c>
      <c r="B194" s="1214"/>
      <c r="C194" s="2785"/>
      <c r="D194" s="1087"/>
      <c r="E194" s="928"/>
      <c r="H194" s="1693"/>
      <c r="I194" s="1185">
        <f t="shared" si="7"/>
        <v>0</v>
      </c>
      <c r="M194" s="928"/>
    </row>
    <row r="195" spans="1:14" s="1009" customFormat="1" ht="25.15"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15"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15"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15"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15"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15"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15"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15"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15"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15"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15"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15"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15"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15"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15"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15"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15"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15"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15"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15"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15"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15"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15"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15"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15"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15"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15"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15"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15"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15"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15"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15"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15"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15"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15"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15"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15"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15"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15"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15"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15"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15"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15"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15"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15"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15"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15"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15"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15"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15"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15"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15"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15"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15"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15"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15"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15"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15"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15"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15"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15"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15"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15"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15"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15"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15"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15"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15"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15"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15"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15"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15"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15"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15"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15" hidden="1" customHeight="1">
      <c r="A269" s="1079">
        <f t="shared" si="9"/>
        <v>0</v>
      </c>
      <c r="B269" s="1214"/>
      <c r="C269" s="2785"/>
      <c r="D269" s="1087"/>
      <c r="E269" s="928"/>
      <c r="H269" s="1693"/>
      <c r="I269" s="1185">
        <f t="shared" si="10"/>
        <v>0</v>
      </c>
      <c r="M269" s="928"/>
    </row>
    <row r="270" spans="1:13" s="1009" customFormat="1" ht="25.15"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15"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15"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15"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15"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15"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15"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15"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15"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15"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15"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15"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15"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15"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15"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15"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15"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15"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15"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15"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15"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15"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15"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15"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15"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15"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15"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9"/>
      <c r="C309" s="2781"/>
      <c r="D309" s="1004">
        <f>IF(H309&gt;0,D303+1,D303)</f>
        <v>0</v>
      </c>
      <c r="E309" s="1111"/>
      <c r="F309" s="1123" t="s">
        <v>4655</v>
      </c>
      <c r="G309" s="1092" t="s">
        <v>2379</v>
      </c>
      <c r="H309" s="1665">
        <f>SUM(H272:H272)</f>
        <v>0</v>
      </c>
      <c r="I309" s="1185">
        <f t="shared" si="13"/>
        <v>0</v>
      </c>
      <c r="J309" s="1034"/>
      <c r="K309" s="1034"/>
      <c r="L309" s="1008"/>
      <c r="M309" s="928">
        <v>50</v>
      </c>
    </row>
    <row r="310" spans="1:14" s="1009" customFormat="1" ht="25.15"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15"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15" hidden="1" customHeight="1">
      <c r="A312" s="1079">
        <f t="shared" si="12"/>
        <v>0</v>
      </c>
      <c r="B312" s="1219" t="s">
        <v>4651</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15"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15"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15" hidden="1" customHeight="1">
      <c r="A315" s="1079">
        <f t="shared" si="12"/>
        <v>0</v>
      </c>
      <c r="B315" s="1219"/>
      <c r="C315" s="2781"/>
      <c r="D315" s="1092">
        <f>IF(H315&gt;0,D309+1,D309)</f>
        <v>0</v>
      </c>
      <c r="E315" s="1111"/>
      <c r="F315" s="1123" t="s">
        <v>4727</v>
      </c>
      <c r="G315" s="1092" t="s">
        <v>2379</v>
      </c>
      <c r="H315" s="1665">
        <f>H309</f>
        <v>0</v>
      </c>
      <c r="I315" s="1185">
        <f t="shared" si="13"/>
        <v>0</v>
      </c>
      <c r="J315" s="1034"/>
      <c r="K315" s="1034"/>
      <c r="L315" s="1008"/>
      <c r="M315" s="928">
        <v>50</v>
      </c>
    </row>
    <row r="316" spans="1:14" s="1009" customFormat="1" ht="25.15"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15"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15"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15"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15"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15"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15"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15"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15"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15"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15"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15"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15"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15"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15"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15"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15"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15"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15"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15"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15"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15"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15"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15"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15"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15"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15"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15"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15"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15"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15" hidden="1" customHeight="1">
      <c r="A368" s="1079">
        <f t="shared" si="15"/>
        <v>0</v>
      </c>
      <c r="B368" s="1214"/>
      <c r="C368" s="2785"/>
      <c r="D368" s="1087"/>
      <c r="E368" s="928"/>
      <c r="H368" s="1693"/>
      <c r="I368" s="1185">
        <f t="shared" si="17"/>
        <v>0</v>
      </c>
      <c r="M368" s="928"/>
    </row>
    <row r="369" spans="1:14" s="1009" customFormat="1" ht="25.15"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15"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15"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15"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15"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15"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15"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15"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15"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15"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15"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15"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15"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15"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15"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15"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15"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15"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15"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15"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15"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15"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15"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15" hidden="1" customHeight="1">
      <c r="A451" s="1079">
        <f t="shared" si="19"/>
        <v>0</v>
      </c>
      <c r="B451" s="1219"/>
      <c r="C451" s="2781"/>
      <c r="D451" s="1087"/>
      <c r="E451" s="1126"/>
      <c r="F451" s="1127"/>
      <c r="H451" s="1693"/>
      <c r="I451" s="1185">
        <f t="shared" si="20"/>
        <v>0</v>
      </c>
      <c r="M451" s="928"/>
    </row>
    <row r="452" spans="1:14" s="1009" customFormat="1" ht="25.15"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15"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15"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15"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15"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15"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15"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15"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15"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15"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15"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15"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9" t="s">
        <v>4651</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15"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15"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15"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15"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15"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15"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15"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15"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15" hidden="1" customHeight="1">
      <c r="A512" s="1079">
        <f t="shared" si="22"/>
        <v>0</v>
      </c>
      <c r="B512" s="1219" t="s">
        <v>4679</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4" t="s">
        <v>4680</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15"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15" hidden="1" customHeight="1">
      <c r="A530" s="1079">
        <f t="shared" si="22"/>
        <v>0</v>
      </c>
      <c r="B530" s="1219"/>
      <c r="C530" s="2781"/>
      <c r="D530" s="1087"/>
      <c r="E530" s="1126"/>
      <c r="F530" s="1127"/>
      <c r="H530" s="1693"/>
      <c r="I530" s="1185">
        <f t="shared" si="23"/>
        <v>0</v>
      </c>
      <c r="M530" s="928"/>
    </row>
    <row r="531" spans="1:13" s="1009" customFormat="1" ht="25.15"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15"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15"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15"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15"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15"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15"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15"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15"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15"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15"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15"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15"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15"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15"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15"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15"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15"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15"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15"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15"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15"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15"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15"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15"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15"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15"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15"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15"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15"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15"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15"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15"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15"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15"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15"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15"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15"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15"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15"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15"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15"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15"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15"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15"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15"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15"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15"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15"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15"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15"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15"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15"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15"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15"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15"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15"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15"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15"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15"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15"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15"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15"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15"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15"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15"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15"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15"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15"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15"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15"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15"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15"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15"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15"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15"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15"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15"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15"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15"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15"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15"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15"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15"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15"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15"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15"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15"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15"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15" hidden="1" customHeight="1">
      <c r="A620" s="1079">
        <f t="shared" si="26"/>
        <v>0</v>
      </c>
      <c r="B620" s="1214"/>
      <c r="C620" s="2785"/>
      <c r="D620" s="1087"/>
      <c r="E620" s="1126"/>
      <c r="H620" s="1693"/>
      <c r="I620" s="1185">
        <f t="shared" si="25"/>
        <v>0</v>
      </c>
      <c r="M620" s="928"/>
    </row>
    <row r="621" spans="1:13" s="1009" customFormat="1" ht="25.15"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15"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15"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15"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15"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15"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15"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15"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15"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15"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15"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15"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15"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15"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15"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15"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15"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15"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15"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15"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15"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15"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15"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15"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15"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15"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15"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15"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15"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15"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15"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15"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15"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15"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15"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15"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15"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15"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15"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15"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15"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15"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15"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15"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15"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15"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15"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15"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15"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15"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15"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15"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15"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15"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15"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15"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15"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15"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15"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15"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15"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15"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15"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15"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15"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15"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15"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15"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15"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15"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15"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15"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15"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15"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15"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15"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15"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15"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15"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15"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15"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15"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15"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15"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15"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15"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15"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15"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15"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15"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15"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15"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15"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15"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15"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15"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15"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15"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15"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15"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15"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15"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15"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15"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15"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15"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15"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15"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15"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15"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15"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15"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15"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15"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15"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15"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15"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15"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15"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15"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15"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15"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15"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15"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15"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15"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15"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15"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15"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15"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15"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15"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15"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15"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15"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15"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15"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15"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15"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15"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15"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15"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15"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15"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15"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15"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15"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15"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15"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15"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15"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15"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15"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15"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15"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15"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15"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15"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15"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15"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15"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15"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15"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15"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15"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15"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15"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15"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15"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15"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15"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15"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15"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15"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15"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15"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15"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15"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15"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15"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15"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15"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15"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15"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15"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15"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15"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15"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15"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15"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15"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15"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15"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15"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15"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15"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15"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15"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15" hidden="1" customHeight="1">
      <c r="A819" s="1079">
        <f t="shared" si="34"/>
        <v>0</v>
      </c>
      <c r="B819" s="1242"/>
      <c r="C819" s="2793"/>
      <c r="D819" s="1113"/>
      <c r="E819" s="1167"/>
      <c r="F819" s="1168"/>
      <c r="G819" s="1169"/>
      <c r="H819" s="1684"/>
      <c r="I819" s="1185">
        <f t="shared" si="35"/>
        <v>0</v>
      </c>
      <c r="J819" s="1168"/>
      <c r="K819" s="1168"/>
      <c r="M819" s="1113"/>
    </row>
    <row r="820" spans="1:13" s="1009" customFormat="1" ht="25.15"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15"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15"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15"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15"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15"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15" hidden="1" customHeight="1">
      <c r="A826" s="1079">
        <f t="shared" si="34"/>
        <v>0</v>
      </c>
      <c r="B826" s="1220" t="s">
        <v>4844</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15"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15"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15"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15"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15"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15"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15"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15"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15"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15"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15"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15" hidden="1" customHeight="1">
      <c r="A838" s="1079">
        <f t="shared" si="34"/>
        <v>0</v>
      </c>
      <c r="B838" s="1219" t="s">
        <v>4684</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15"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15"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15"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15"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15"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15"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15"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15"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15"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15"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15"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15"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15"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15"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15"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15"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15"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15"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15"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15"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15"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15"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15"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15"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15"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15"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15"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15"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15"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15"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15"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15"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15"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15"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15"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15"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15"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15"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15"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15"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15"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15"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15"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15"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15"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15"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15"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15"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15"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15"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15"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15"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15"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15"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15"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15"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15"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15"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15" hidden="1" customHeight="1">
      <c r="A897" s="1079">
        <f t="shared" si="37"/>
        <v>0</v>
      </c>
      <c r="B897" s="1219" t="s">
        <v>4845</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15"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15"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15"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15"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15"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15"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15"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15"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15"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15"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15"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15"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15"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15"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15"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15"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15"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15"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15"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15"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15"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15" hidden="1" customHeight="1">
      <c r="A919" s="1079">
        <f t="shared" si="37"/>
        <v>0</v>
      </c>
      <c r="B919" s="1219" t="s">
        <v>288</v>
      </c>
      <c r="C919" s="2781"/>
      <c r="D919" s="1180">
        <v>8</v>
      </c>
      <c r="E919" s="1181"/>
      <c r="F919" s="1905" t="s">
        <v>4688</v>
      </c>
      <c r="G919" s="1906" t="str">
        <f>VLOOKUP($B919,DG!A:D,DG!$D$2,)</f>
        <v>bộ</v>
      </c>
      <c r="H919" s="1690"/>
      <c r="I919" s="1185">
        <f t="shared" si="39"/>
        <v>0</v>
      </c>
      <c r="J919" s="1034"/>
      <c r="K919" s="1034"/>
      <c r="L919" s="1008"/>
      <c r="M919" s="928" t="s">
        <v>1258</v>
      </c>
    </row>
    <row r="920" spans="1:13" s="1009" customFormat="1" ht="25.15"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15"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15"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15"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15"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15"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15"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15"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15"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15"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15"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15"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15"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15"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15"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15"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15"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15"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15" hidden="1" customHeight="1">
      <c r="A938" s="1079">
        <f t="shared" si="40"/>
        <v>0</v>
      </c>
      <c r="B938" s="1219"/>
      <c r="C938" s="2781"/>
      <c r="D938" s="1075"/>
      <c r="E938" s="1064"/>
      <c r="F938" s="1031"/>
      <c r="G938" s="1065"/>
      <c r="H938" s="1691"/>
      <c r="I938" s="1691"/>
      <c r="J938" s="1691"/>
      <c r="K938" s="1691"/>
      <c r="L938" s="1691"/>
      <c r="M938" s="928"/>
    </row>
    <row r="939" spans="1:13" s="1009" customFormat="1" ht="25.15"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15" hidden="1" customHeight="1">
      <c r="A940" s="1079">
        <f t="shared" si="40"/>
        <v>0</v>
      </c>
      <c r="B940" s="1214"/>
      <c r="C940" s="2785"/>
      <c r="D940" s="1026"/>
      <c r="E940" s="928"/>
      <c r="F940" s="1027"/>
      <c r="G940" s="928"/>
      <c r="H940" s="1693"/>
      <c r="I940" s="1185">
        <f t="shared" si="38"/>
        <v>0</v>
      </c>
      <c r="L940" s="928"/>
      <c r="M940" s="928"/>
    </row>
    <row r="941" spans="1:13" s="1009" customFormat="1" ht="25.15"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15"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15"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15"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15"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15"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15"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15"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15"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15"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15"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15"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15"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15"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15"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15"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15"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15"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15"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15"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15"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15"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15"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15"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15"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15"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15"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15"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15"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15"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15" hidden="1" customHeight="1">
      <c r="A971" s="1079">
        <f t="shared" si="40"/>
        <v>0</v>
      </c>
      <c r="B971" s="1219"/>
      <c r="C971" s="2781"/>
      <c r="D971" s="1010">
        <f>IF(H971&gt;0,D961+1,D961)</f>
        <v>0</v>
      </c>
      <c r="E971" s="1052"/>
      <c r="F971" s="1045" t="s">
        <v>4744</v>
      </c>
      <c r="G971" s="1043" t="s">
        <v>2379</v>
      </c>
      <c r="H971" s="1700"/>
      <c r="I971" s="1185">
        <f t="shared" si="38"/>
        <v>0</v>
      </c>
      <c r="J971" s="1053"/>
      <c r="K971" s="1053"/>
      <c r="L971" s="1008"/>
      <c r="M971" s="928">
        <v>160</v>
      </c>
    </row>
    <row r="972" spans="1:13" s="1009" customFormat="1" ht="25.15"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15"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15"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15"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15"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15"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15" hidden="1" customHeight="1">
      <c r="A979" s="1079">
        <f t="shared" si="40"/>
        <v>0</v>
      </c>
      <c r="B979" s="1219"/>
      <c r="C979" s="2781"/>
      <c r="D979" s="1010">
        <f>IF(H979&gt;0,D969+1,D969)</f>
        <v>1</v>
      </c>
      <c r="E979" s="1052"/>
      <c r="F979" s="1045" t="s">
        <v>4745</v>
      </c>
      <c r="G979" s="1043" t="s">
        <v>2379</v>
      </c>
      <c r="H979" s="1700">
        <v>1</v>
      </c>
      <c r="I979" s="1185">
        <f t="shared" si="42"/>
        <v>0</v>
      </c>
      <c r="J979" s="1053"/>
      <c r="K979" s="1053"/>
      <c r="L979" s="1008"/>
      <c r="M979" s="928">
        <v>160</v>
      </c>
    </row>
    <row r="980" spans="1:13" s="1009" customFormat="1" ht="25.15"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15" hidden="1" customHeight="1">
      <c r="A981" s="1079">
        <f t="shared" si="40"/>
        <v>0</v>
      </c>
      <c r="B981" s="1080" t="s">
        <v>4748</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15" hidden="1" customHeight="1">
      <c r="A982" s="1079">
        <f t="shared" si="40"/>
        <v>0</v>
      </c>
      <c r="B982" s="1080" t="s">
        <v>4749</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15" hidden="1" customHeight="1">
      <c r="A983" s="1079">
        <f t="shared" si="40"/>
        <v>0</v>
      </c>
      <c r="B983" s="1080" t="s">
        <v>4750</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15" hidden="1" customHeight="1">
      <c r="A984" s="1079">
        <f t="shared" si="40"/>
        <v>0</v>
      </c>
      <c r="B984" s="1080" t="s">
        <v>4751</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15" hidden="1" customHeight="1">
      <c r="A985" s="1079">
        <f t="shared" si="40"/>
        <v>0</v>
      </c>
      <c r="B985" s="1080" t="s">
        <v>4752</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15" hidden="1" customHeight="1">
      <c r="A986" s="1079">
        <f t="shared" ref="A986:A1049" si="44">IF(AND(M986=$M$23,I986&gt;0),1,0)</f>
        <v>0</v>
      </c>
      <c r="B986" s="1080" t="s">
        <v>4753</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15" hidden="1" customHeight="1">
      <c r="A987" s="1079">
        <f t="shared" si="44"/>
        <v>0</v>
      </c>
      <c r="B987" s="1080" t="s">
        <v>4754</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15"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15"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15" hidden="1" customHeight="1">
      <c r="A990" s="1079">
        <f t="shared" si="44"/>
        <v>0</v>
      </c>
      <c r="B990" s="1219" t="s">
        <v>4756</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15" hidden="1" customHeight="1">
      <c r="A991" s="1079">
        <f t="shared" si="44"/>
        <v>0</v>
      </c>
      <c r="B991" s="1219" t="s">
        <v>4755</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15" hidden="1" customHeight="1">
      <c r="A992" s="1079">
        <f t="shared" si="44"/>
        <v>0</v>
      </c>
      <c r="B992" s="1219" t="s">
        <v>4757</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15" hidden="1" customHeight="1">
      <c r="A993" s="1079">
        <f t="shared" si="44"/>
        <v>0</v>
      </c>
      <c r="B993" s="1219" t="s">
        <v>2237</v>
      </c>
      <c r="C993" s="2781"/>
      <c r="D993" s="1004"/>
      <c r="E993" s="1017" t="str">
        <f>VLOOKUP($B993,DG!A:D,DG!$B$2,)</f>
        <v>05.6044</v>
      </c>
      <c r="F993" s="1006" t="s">
        <v>4760</v>
      </c>
      <c r="G993" s="1017" t="s">
        <v>2436</v>
      </c>
      <c r="H993" s="1671">
        <v>0.24</v>
      </c>
      <c r="I993" s="1185">
        <f t="shared" si="43"/>
        <v>0</v>
      </c>
      <c r="J993" s="1034"/>
      <c r="K993" s="1034"/>
      <c r="L993" s="1008"/>
      <c r="M993" s="928">
        <v>160</v>
      </c>
    </row>
    <row r="994" spans="1:13" s="1009" customFormat="1" ht="25.15"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15"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15"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15"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15"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15"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15"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15"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15"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15"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15"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15"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15"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15"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15"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15"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15"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15"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15"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15"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15"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15"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15"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15"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15"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15"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15"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15"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15"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15"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15"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15"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15"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15"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15"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15"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15"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15"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15"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15"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15"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15"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15"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15"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15"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15"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15"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15"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15"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15"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15"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15"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15"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15"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15"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15"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15"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15"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15"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15"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15"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15"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15"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15"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15"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15"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15"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15"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15"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15"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15"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15"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15"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15"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15"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15"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15"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15" hidden="1" customHeight="1">
      <c r="A1077" s="1079">
        <f t="shared" si="46"/>
        <v>0</v>
      </c>
      <c r="B1077" s="1249" t="s">
        <v>4762</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15"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15"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15"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15"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15"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15"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15"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15"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15"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15"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15"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15"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15"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15"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15"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15"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15"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15"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15"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15"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15"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15"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15"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15"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15"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15"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15"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15"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15"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15"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15"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15"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15"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15"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15"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15"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15"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15"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15"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15"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15"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15"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15"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15"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15"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15"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15"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15"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15"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15"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15"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15"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15"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15"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15"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15"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15"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15"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15"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15"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15"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15"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15"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15"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15"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15"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15"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15"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15" hidden="1" customHeight="1">
      <c r="A1149" s="1079">
        <f t="shared" si="48"/>
        <v>0</v>
      </c>
      <c r="B1149" s="1219" t="s">
        <v>4763</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15"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15"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15"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15"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15"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15"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15"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15"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15"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15"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15"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15"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15"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15"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15"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15"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15"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15"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15"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15"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15"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15"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15"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15"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15"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15"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15"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15"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15"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15"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15"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15"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15"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15"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15"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15"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15"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15"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15"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15"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15"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15"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15"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15"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15"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15" hidden="1" customHeight="1">
      <c r="A1195" s="1079">
        <f t="shared" si="50"/>
        <v>0</v>
      </c>
      <c r="B1195" s="1080"/>
      <c r="C1195" s="2782"/>
      <c r="D1195" s="1068"/>
      <c r="F1195" s="1069"/>
      <c r="H1195" s="1693"/>
      <c r="I1195" s="1185">
        <f t="shared" si="49"/>
        <v>0</v>
      </c>
      <c r="M1195" s="928"/>
    </row>
    <row r="1196" spans="1:13" s="1009" customFormat="1" ht="25.15"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15"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15"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15"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15"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15"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15"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15"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15"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15"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15"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15"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15"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15"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15"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15"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15"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15"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15"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15"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15"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15"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15"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15"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15"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15"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15"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15"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15"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15"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15"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15"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15"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15"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15"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15"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15"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15"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15"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15"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15"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15"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15"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15"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15"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15"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15"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15"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15"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15"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15"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15"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15"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15"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15"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15"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15"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15"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15"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15"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15"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15"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15"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15"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15"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15"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15"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15"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15"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15"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15"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15"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15"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15"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15"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15"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15"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15"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15"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15"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15"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15"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15"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15"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15"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15"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15"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15"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15"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15"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15"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15"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15"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15"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15"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15"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15"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15"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15"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15"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15"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15"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15"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15"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15"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15"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15"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15"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15"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15"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15"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15"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15"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15"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15"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15"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15"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15"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15"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15"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15"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15"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15"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15"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15"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15"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15"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15"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15"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15"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15"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15"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15"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15"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15"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15"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15"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15"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15"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15"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15"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15"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15"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15"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15"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15"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15"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15"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15"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15"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15"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15"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15"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15"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15"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15"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15"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15"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15"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15"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15"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15"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15"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15"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15"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15"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15"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15"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15"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15"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15"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15"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15"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15"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15"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15"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15"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15"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15"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15"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15"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15"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15"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15"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15"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15"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15"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15"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15"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15"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15"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15"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15"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15"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15"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15"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15"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15"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15"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15"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15"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15"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15"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15"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15"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15"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15"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15"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15"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15"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15"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15"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15"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15"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15"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15"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15"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15"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15"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15"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15"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15"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15"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15"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15"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15"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15"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15"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15" hidden="1" customHeight="1">
      <c r="A1442" s="1079">
        <f t="shared" si="60"/>
        <v>0</v>
      </c>
      <c r="B1442" s="1080"/>
      <c r="C1442" s="2782"/>
      <c r="D1442" s="1068"/>
      <c r="F1442" s="1069"/>
      <c r="H1442" s="1693"/>
      <c r="I1442" s="1185">
        <f t="shared" si="58"/>
        <v>0</v>
      </c>
      <c r="M1442" s="928"/>
    </row>
    <row r="1443" spans="1:13" s="1009" customFormat="1" ht="25.15"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15"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15"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15"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15"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15"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15"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15"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15"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15"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15"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15"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15"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15"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15"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15"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15"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15"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15"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15"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15"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15"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15"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15"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15"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15"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15"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15"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15"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15"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15"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15"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15"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15"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15"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15"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15"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15"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15"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15"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15"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15"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15"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15"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15"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15"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15"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15"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15"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15"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15"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15"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15"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15"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15"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15"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15"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15"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15"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15"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15"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15"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15"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15"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15"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15"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15"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15"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15"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15"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15"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15"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15"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15"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15"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15"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15"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15"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15"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15"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15"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15"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15"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15"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15"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15"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15"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15"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15"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15"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15"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15"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15"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15"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15"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15" hidden="1" customHeight="1">
      <c r="A1544" s="1079">
        <f t="shared" si="63"/>
        <v>0</v>
      </c>
      <c r="B1544" s="1219"/>
      <c r="C1544" s="2781"/>
      <c r="D1544" s="1010">
        <f>IF(H1544&gt;0,D1523+1,D1523)</f>
        <v>1</v>
      </c>
      <c r="E1544" s="1011"/>
      <c r="F1544" s="1012" t="s">
        <v>4716</v>
      </c>
      <c r="G1544" s="1010" t="s">
        <v>2379</v>
      </c>
      <c r="H1544" s="1680">
        <v>1</v>
      </c>
      <c r="I1544" s="1185">
        <f t="shared" si="64"/>
        <v>0</v>
      </c>
      <c r="J1544" s="1007"/>
      <c r="K1544" s="1007"/>
      <c r="L1544" s="1008"/>
      <c r="M1544" s="928">
        <v>320</v>
      </c>
    </row>
    <row r="1545" spans="1:16" s="1009" customFormat="1" ht="25.15"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15"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15"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15"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15"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15"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15"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15"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15"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15"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15"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15"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15"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15"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15"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15"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15"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15"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15"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15"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15"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15"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15"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15"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15"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15"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15"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15"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15"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15"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15"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15"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15"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15"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5"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15"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15"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15"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15"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15"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15"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15"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15"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15"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15"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15"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15"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15"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15"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15"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15"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15"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15"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15"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15"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15"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15"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15"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15" hidden="1" customHeight="1">
      <c r="A1607" s="1079">
        <f t="shared" si="65"/>
        <v>0</v>
      </c>
      <c r="B1607" s="1080" t="s">
        <v>4635</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15"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15"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15"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15"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15"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15"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15"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15"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15"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15"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15"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15"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15"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15"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15"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15"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15"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15"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15"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15"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15"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15"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15"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15"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15"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15"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15"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15"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15"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15" hidden="1" customHeight="1">
      <c r="A1638" s="1079">
        <f t="shared" si="67"/>
        <v>0</v>
      </c>
      <c r="B1638" s="1219" t="s">
        <v>4686</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15"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15"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15"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15"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15"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15"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15"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15"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15"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15"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15"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15"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15"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15"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15"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15"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15"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15"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15"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15"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15"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15"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15"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15"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15"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15"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15"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15"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15"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15"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15"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15"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15"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15"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15"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15"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15"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15"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15"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15"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15" hidden="1" customHeight="1">
      <c r="A1679" s="1079">
        <f t="shared" si="67"/>
        <v>0</v>
      </c>
      <c r="B1679" s="1080"/>
      <c r="C1679" s="2782"/>
      <c r="D1679" s="1068"/>
      <c r="F1679" s="1069"/>
      <c r="H1679" s="1693"/>
      <c r="I1679" s="1185">
        <f t="shared" si="68"/>
        <v>0</v>
      </c>
      <c r="M1679" s="928"/>
    </row>
    <row r="1680" spans="1:13" s="1009" customFormat="1" ht="25.15"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15"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15"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15"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15"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15"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15"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15"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15"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15"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15"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15"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15"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15"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15"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15"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15"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15"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15"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15"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15"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15"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15"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15"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15"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15"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15"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15"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15"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15"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15"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15"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15"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15"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15"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15"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15"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15"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15"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15"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15"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15"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15"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15"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15"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15"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15"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15"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15"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15"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15"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15"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15"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15"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15"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15"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15"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15"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15"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15"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15"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15"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15"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15"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15"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15"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15"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15"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15"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15"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15"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15"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15"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15"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15"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15"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15"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15"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15"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15"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15"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15"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15"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15"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15"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15"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15"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15"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15"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15"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15"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15"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15"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15"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15"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15"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15"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15"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15"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15"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15"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15"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15"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15"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15"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15"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15"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15"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15"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15"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15"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15"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15"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15"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15"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15"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15"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15"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15"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15"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15"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15"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15"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15"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15"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15"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15"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15"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15"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15"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15"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15"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15"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15"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15"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15"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15"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15"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15"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15"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15"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15"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15"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15"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15"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15"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15"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15"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15"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15"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15"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15"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15"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15"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15"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15"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15"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15"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15"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15"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15"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15"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15"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15"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15"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15"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15"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15"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15"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15"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15"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15"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15"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15"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15"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15"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15"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15"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15"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15"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15"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15"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15"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15"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15"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15"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15"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15"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15"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15"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15"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15"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15"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15"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15"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15"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15"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15"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15"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15"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15"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15"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15"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15"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15"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15"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15" hidden="1" customHeight="1">
      <c r="A1898" s="1079">
        <f t="shared" si="76"/>
        <v>0</v>
      </c>
      <c r="B1898" s="1080"/>
      <c r="C1898" s="2782"/>
      <c r="D1898" s="1068"/>
      <c r="F1898" s="1069"/>
      <c r="H1898" s="1693"/>
      <c r="I1898" s="1185">
        <f t="shared" si="75"/>
        <v>0</v>
      </c>
      <c r="M1898" s="928"/>
    </row>
    <row r="1899" spans="1:13" s="1009" customFormat="1" ht="25.15"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15"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15"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15"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15" hidden="1" customHeight="1">
      <c r="A1903" s="1079">
        <f t="shared" si="76"/>
        <v>0</v>
      </c>
      <c r="B1903" s="1220" t="s">
        <v>6328</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15"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15"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15"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15"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15"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15"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15"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15"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15"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15"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15"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15"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15"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15"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15"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15"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15"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15"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15"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15"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15"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15"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15"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15"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15"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15"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15"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15"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15"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15"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15"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15"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15"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15"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15"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15"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15"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15"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15"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15" hidden="1" customHeight="1">
      <c r="A1943" s="1079">
        <f t="shared" si="76"/>
        <v>0</v>
      </c>
      <c r="B1943" s="1219"/>
      <c r="C1943" s="2781"/>
      <c r="D1943" s="1010">
        <f>IF(H1943&gt;0,D1927+1,D1927)</f>
        <v>1</v>
      </c>
      <c r="E1943" s="1011"/>
      <c r="F1943" s="1056" t="s">
        <v>6329</v>
      </c>
      <c r="G1943" s="1010" t="s">
        <v>2379</v>
      </c>
      <c r="H1943" s="2620">
        <v>1</v>
      </c>
      <c r="I1943" s="1185">
        <f t="shared" ref="I1943:I1950" si="79">IF(M1943=$M$23,H1943+J1943-K1943,0)</f>
        <v>0</v>
      </c>
      <c r="J1943" s="1057"/>
      <c r="K1943" s="1057"/>
      <c r="L1943" s="1008"/>
      <c r="M1943" s="928">
        <v>560</v>
      </c>
    </row>
    <row r="1944" spans="1:13" s="1009" customFormat="1" ht="25.15"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15"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15"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15"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15"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15"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15"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15"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15"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15"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15"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15"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15"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15"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15"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15"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15" hidden="1" customHeight="1">
      <c r="A1960" s="1079">
        <f t="shared" si="80"/>
        <v>0</v>
      </c>
      <c r="B1960" s="1226" t="s">
        <v>6330</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15"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15"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15"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15"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15"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15"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15" hidden="1" customHeight="1">
      <c r="A1967" s="1079">
        <f t="shared" si="80"/>
        <v>0</v>
      </c>
      <c r="B1967" s="1219" t="s">
        <v>6330</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15"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15"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15"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15"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15"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15"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15"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15"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15"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15"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15"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15"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15"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15"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15"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15"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15"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15"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15"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15"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15"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15"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15"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15"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15"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15"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15"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15"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15"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15"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15"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15"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15"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15"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15"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15"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15"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15"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15"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15"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15"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15"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15"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15"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15"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15"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15"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15"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15"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15"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15"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15"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15"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15"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15"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15"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15"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15"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15"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15"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15"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15"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15"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15"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15"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15"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15"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15"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15"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15"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15"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15"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15"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15"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15"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15"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15"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15"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15"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15"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15"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15"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15"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15"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15"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15"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15"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15"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15"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15"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15"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15"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15"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15"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15"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15"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15"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15"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15" hidden="1" customHeight="1">
      <c r="A2077" s="1079">
        <f t="shared" si="85"/>
        <v>0</v>
      </c>
      <c r="B2077" s="1080" t="s">
        <v>6331</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15"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15"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15"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15"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15"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15"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15"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15"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15"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15"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15"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15"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15" hidden="1" customHeight="1">
      <c r="A2090" s="1079">
        <f t="shared" si="85"/>
        <v>0</v>
      </c>
      <c r="B2090" s="1219" t="s">
        <v>4679</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15" hidden="1" customHeight="1">
      <c r="A2091" s="1079">
        <f t="shared" si="85"/>
        <v>0</v>
      </c>
      <c r="B2091" s="1219" t="s">
        <v>4706</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15"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15"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15"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15"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15"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15"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15"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15"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15"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15"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15"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15" hidden="1" customHeight="1">
      <c r="A2103" s="1079">
        <f t="shared" si="85"/>
        <v>0</v>
      </c>
      <c r="B2103" s="1080" t="s">
        <v>6174</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15"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15"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15"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15"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15"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15"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15"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15"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15"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15"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15"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15"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15"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15"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15"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15"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15"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15"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15"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15"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15"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15"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15"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15"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15"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15"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15"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15"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15"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15"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15"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15"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15"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15"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15"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15"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15"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15"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15"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15"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15"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15"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15" hidden="1" customHeight="1">
      <c r="A2147" s="1079">
        <f t="shared" si="89"/>
        <v>0</v>
      </c>
      <c r="B2147" s="1080"/>
      <c r="C2147" s="2782"/>
      <c r="D2147" s="1068"/>
      <c r="F2147" s="1069"/>
      <c r="H2147" s="1693"/>
      <c r="I2147" s="1185">
        <f t="shared" si="88"/>
        <v>0</v>
      </c>
      <c r="M2147" s="928"/>
    </row>
    <row r="2148" spans="1:13" s="1009" customFormat="1" ht="25.15"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15"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15"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15"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15"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15"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15"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15"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15"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15"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15"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15"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15"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15"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15"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15"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15"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15"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15"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15"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15"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15"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15"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15"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15"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15"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15"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15"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15"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15"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15"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15"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15"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15"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15"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15"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15"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15"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15"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15"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15"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15"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15"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15"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15"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15"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15"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15"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15"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15"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15"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15"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15"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15"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15"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15"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15"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15"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15"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15"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15"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15"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15"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15"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15"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15"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15"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15"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15"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15"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15"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15"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15"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15"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15"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15"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15"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15"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15"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15"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15"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15"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15"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15"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15"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15"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15"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15"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15"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15"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15"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15"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15"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15"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15"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15"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15"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15"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15"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15"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15"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15"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15"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15"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15"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15"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15"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15"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15"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15"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15"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15"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15"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15"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15"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15"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15"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15"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15"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15"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15"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15"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15"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15"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15"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15"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15"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15"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15"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15"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15"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15"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15"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15"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15"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15"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15"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15"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15"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15"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15"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15"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15"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15"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15"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15"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15"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15"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15"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15"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15"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15"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15"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15"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15"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15"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15"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15"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15"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15"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15"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15"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15"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15"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15"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15"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15"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15"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15"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15"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15"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15"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15"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15"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15"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15"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15"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15"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15"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15"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15"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15"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15"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15"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15"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15"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15"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15"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15"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15"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15"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15"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15"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15"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15"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15"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15"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15"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15"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15"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15"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15"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15"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15"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15"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15"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15"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15"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15"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15"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15"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15"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15" hidden="1" customHeight="1">
      <c r="A2372" s="1079">
        <f t="shared" si="96"/>
        <v>0</v>
      </c>
      <c r="B2372" s="1080"/>
      <c r="C2372" s="2782"/>
      <c r="D2372" s="1068"/>
      <c r="F2372" s="1069"/>
      <c r="H2372" s="1693"/>
      <c r="I2372" s="1185">
        <f t="shared" si="97"/>
        <v>0</v>
      </c>
      <c r="M2372" s="928"/>
    </row>
    <row r="2373" spans="1:13" s="1009" customFormat="1" ht="25.15"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15"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15"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15"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15"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15"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15"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15"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15" hidden="1" customHeight="1">
      <c r="A2381" s="1079">
        <f t="shared" ref="A2381" si="101">IF(AND(M2381=$M$23,I2381&gt;0),1,0)</f>
        <v>0</v>
      </c>
      <c r="B2381" s="2766" t="s">
        <v>6186</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15" customHeight="1">
      <c r="A2382" s="1079">
        <f t="shared" si="96"/>
        <v>1</v>
      </c>
      <c r="B2382" s="2766" t="s">
        <v>6361</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15"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15"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15"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15"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15"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15"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15"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15"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15"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15"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15"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15"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15"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15"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15"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15"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15"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15"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15"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15"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15"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15"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15"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15"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15"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15"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15"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15"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15"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15"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15"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15"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15" customHeight="1">
      <c r="A2416" s="1079">
        <f t="shared" si="102"/>
        <v>1</v>
      </c>
      <c r="B2416" s="1214"/>
      <c r="C2416" s="2778"/>
      <c r="D2416" s="2875">
        <f>IF(H2416&gt;0,D2409+1,D2409)</f>
        <v>1</v>
      </c>
      <c r="E2416" s="2876"/>
      <c r="F2416" s="2877" t="s">
        <v>6362</v>
      </c>
      <c r="G2416" s="2875" t="s">
        <v>2379</v>
      </c>
      <c r="H2416" s="2878">
        <v>1</v>
      </c>
      <c r="I2416" s="2878">
        <f t="shared" si="97"/>
        <v>1</v>
      </c>
      <c r="J2416" s="2878"/>
      <c r="K2416" s="2878"/>
      <c r="L2416" s="2738"/>
      <c r="M2416" s="928">
        <v>1000</v>
      </c>
    </row>
    <row r="2417" spans="1:13" s="1009" customFormat="1" ht="25.15"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15"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15"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15"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15"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15"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15"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15"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15"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15"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15"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15"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15"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15"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15"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15"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15"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15" customHeight="1">
      <c r="A2434" s="1079">
        <f t="shared" si="102"/>
        <v>1</v>
      </c>
      <c r="B2434" s="1214" t="s">
        <v>6313</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15" customHeight="1">
      <c r="A2435" s="1079">
        <f t="shared" si="102"/>
        <v>1</v>
      </c>
      <c r="B2435" s="1214" t="s">
        <v>6365</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15"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15"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15"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15"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15"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15"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15"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15"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15"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15"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15"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15"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15"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15"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15"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15"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15"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15"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15"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15"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15"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15"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15"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15"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15"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15"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15"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15"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15"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15"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15"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15"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15"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15"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15"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15"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15"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15"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15" customHeight="1">
      <c r="A2474" s="1079">
        <f t="shared" si="114"/>
        <v>1</v>
      </c>
      <c r="B2474" s="1214"/>
      <c r="C2474" s="2778"/>
      <c r="D2474" s="2875">
        <f>IF(H2474&gt;0,D2450+1,D2450)</f>
        <v>4</v>
      </c>
      <c r="E2474" s="2876"/>
      <c r="F2474" s="2879" t="s">
        <v>6113</v>
      </c>
      <c r="G2474" s="2875" t="s">
        <v>2379</v>
      </c>
      <c r="H2474" s="2878">
        <v>1</v>
      </c>
      <c r="I2474" s="2878">
        <f t="shared" si="116"/>
        <v>1</v>
      </c>
      <c r="J2474" s="2878"/>
      <c r="K2474" s="2878"/>
      <c r="L2474" s="2738"/>
      <c r="M2474" s="928">
        <v>1000</v>
      </c>
    </row>
    <row r="2475" spans="1:13" s="1009" customFormat="1" ht="25.15"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15" customHeight="1">
      <c r="A2476" s="1079">
        <f t="shared" si="114"/>
        <v>1</v>
      </c>
      <c r="B2476" s="2773" t="s">
        <v>5549</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15"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15"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15"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15"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15"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15"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15"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15"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15"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15"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15"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15"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15"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15"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15"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15"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15"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15"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15"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15"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15"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15"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15"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15"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15"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15"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15"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15"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15"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15"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15"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15"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15"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15"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15"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15" customHeight="1">
      <c r="A2513" s="1079">
        <f t="shared" si="114"/>
        <v>1</v>
      </c>
      <c r="B2513" s="2767" t="s">
        <v>4825</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15"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15"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15"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15"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15"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15"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15" customHeight="1">
      <c r="A2520" s="1079">
        <f t="shared" si="125"/>
        <v>1</v>
      </c>
      <c r="B2520" s="2767" t="s">
        <v>6366</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15"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15"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15"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15" customHeight="1">
      <c r="A2524" s="1079">
        <f t="shared" si="126"/>
        <v>1</v>
      </c>
      <c r="B2524" s="2767" t="s">
        <v>6390</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15"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15"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15"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15"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15"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15"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15"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15"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15"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15"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15"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15"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15"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15"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15"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15"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15"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15"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15"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15"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15"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15"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15"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15"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15"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15" customHeight="1">
      <c r="A2550" s="1079">
        <f t="shared" si="131"/>
        <v>1</v>
      </c>
      <c r="B2550" s="1214" t="s">
        <v>6371</v>
      </c>
      <c r="C2550" s="2778"/>
      <c r="D2550" s="2875">
        <f>IF(H2550&gt;0,D2534+1,D2534)</f>
        <v>1</v>
      </c>
      <c r="E2550" s="2876"/>
      <c r="F2550" s="2879" t="s">
        <v>6367</v>
      </c>
      <c r="G2550" s="2875" t="s">
        <v>2379</v>
      </c>
      <c r="H2550" s="2878">
        <v>1</v>
      </c>
      <c r="I2550" s="2878">
        <f t="shared" ref="I2550" si="132">IF(M2550=$M$23,H2550+J2550-K2550,0)</f>
        <v>1</v>
      </c>
      <c r="J2550" s="2878"/>
      <c r="K2550" s="2878"/>
      <c r="L2550" s="2738"/>
      <c r="M2550" s="928">
        <v>1000</v>
      </c>
    </row>
    <row r="2551" spans="1:13" s="1009" customFormat="1" ht="25.15"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15"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15"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15" customHeight="1">
      <c r="A2554" s="1079">
        <f t="shared" si="134"/>
        <v>1</v>
      </c>
      <c r="B2554" s="1214" t="s">
        <v>6147</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15" customHeight="1">
      <c r="A2555" s="1079">
        <f t="shared" si="134"/>
        <v>1</v>
      </c>
      <c r="B2555" s="1214" t="s">
        <v>5402</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15"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15"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15"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15"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15"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15" customHeight="1">
      <c r="A2561" s="1079">
        <f t="shared" ref="A2561:A2577" si="137">IF(AND(M2561=$M$23,I2561&gt;0),1,0)</f>
        <v>1</v>
      </c>
      <c r="B2561" s="1214"/>
      <c r="C2561" s="2778"/>
      <c r="D2561" s="2875">
        <f>IF(H2561&gt;0,D2545+1,D2545)</f>
        <v>1</v>
      </c>
      <c r="E2561" s="2876"/>
      <c r="F2561" s="2879" t="s">
        <v>6148</v>
      </c>
      <c r="G2561" s="2875" t="s">
        <v>2379</v>
      </c>
      <c r="H2561" s="2878">
        <v>1</v>
      </c>
      <c r="I2561" s="2878">
        <f t="shared" ref="I2561" si="138">IF(M2561=$M$23,H2561+J2561-K2561,0)</f>
        <v>1</v>
      </c>
      <c r="J2561" s="2878"/>
      <c r="K2561" s="2878"/>
      <c r="L2561" s="2738"/>
      <c r="M2561" s="928">
        <v>1000</v>
      </c>
    </row>
    <row r="2562" spans="1:13" s="1009" customFormat="1" ht="25.15"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15" customHeight="1">
      <c r="A2563" s="1079">
        <f t="shared" si="137"/>
        <v>1</v>
      </c>
      <c r="B2563" s="1214" t="s">
        <v>5220</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15" customHeight="1">
      <c r="A2564" s="1079">
        <f t="shared" si="137"/>
        <v>1</v>
      </c>
      <c r="B2564" s="1214" t="s">
        <v>5281</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15" customHeight="1">
      <c r="A2565" s="1079">
        <f t="shared" si="137"/>
        <v>1</v>
      </c>
      <c r="B2565" s="1214" t="s">
        <v>5082</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15" customHeight="1">
      <c r="A2566" s="1079">
        <f t="shared" si="137"/>
        <v>1</v>
      </c>
      <c r="B2566" s="1214" t="s">
        <v>5084</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15"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15" customHeight="1">
      <c r="A2568" s="1079">
        <f t="shared" si="137"/>
        <v>1</v>
      </c>
      <c r="B2568" s="1214" t="s">
        <v>6149</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15"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15" customHeight="1">
      <c r="A2570" s="1079">
        <f t="shared" si="137"/>
        <v>1</v>
      </c>
      <c r="B2570" s="1214" t="s">
        <v>4976</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15" customHeight="1">
      <c r="A2571" s="1079">
        <f t="shared" ref="A2571:A2576" si="142">IF(AND(M2571=$M$23,I2571&gt;0),1,0)</f>
        <v>1</v>
      </c>
      <c r="B2571" s="1214" t="s">
        <v>6147</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15"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15" customHeight="1">
      <c r="A2573" s="1079">
        <f t="shared" si="142"/>
        <v>1</v>
      </c>
      <c r="B2573" s="1214" t="s">
        <v>5404</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15"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15"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15"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15" customHeight="1">
      <c r="A2577" s="1079">
        <f t="shared" si="137"/>
        <v>1</v>
      </c>
      <c r="B2577" s="1214" t="s">
        <v>5397</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15"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15"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15"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15" hidden="1" customHeight="1">
      <c r="A2581" s="1079">
        <f t="shared" si="131"/>
        <v>0</v>
      </c>
      <c r="B2581" s="1214" t="s">
        <v>6158</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15" customHeight="1">
      <c r="A2582" s="1079">
        <f t="shared" si="131"/>
        <v>1</v>
      </c>
      <c r="B2582" s="1214" t="s">
        <v>6159</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15"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15" customHeight="1">
      <c r="A2584" s="1079">
        <f t="shared" si="131"/>
        <v>1</v>
      </c>
      <c r="B2584" s="1214" t="s">
        <v>5648</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15"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15"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15"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15"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15"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15"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15" customHeight="1">
      <c r="A2591" s="1079">
        <f t="shared" si="131"/>
        <v>1</v>
      </c>
      <c r="B2591" s="1214" t="s">
        <v>6368</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15"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15"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15" customHeight="1">
      <c r="A2594" s="1079">
        <f t="shared" si="131"/>
        <v>1</v>
      </c>
      <c r="B2594" s="2767" t="s">
        <v>5723</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15" customHeight="1">
      <c r="A2595" s="1079">
        <f t="shared" si="131"/>
        <v>1</v>
      </c>
      <c r="B2595" s="2767" t="s">
        <v>5727</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15"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15"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15"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15"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15"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15" hidden="1" customHeight="1">
      <c r="A2601" s="1079">
        <f t="shared" si="131"/>
        <v>0</v>
      </c>
      <c r="B2601" s="2767" t="s">
        <v>6159</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15"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15"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15"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15" hidden="1" customHeight="1">
      <c r="A2605" s="1079">
        <f t="shared" si="131"/>
        <v>0</v>
      </c>
      <c r="B2605" s="1080" t="s">
        <v>1409</v>
      </c>
      <c r="C2605" s="2782"/>
      <c r="D2605" s="2698">
        <f>IF(H2605&gt;0,1,0)</f>
        <v>1</v>
      </c>
      <c r="E2605" s="2699" t="s">
        <v>5509</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15" hidden="1" customHeight="1">
      <c r="A2606" s="1079">
        <f t="shared" si="131"/>
        <v>0</v>
      </c>
      <c r="B2606" s="1080" t="s">
        <v>1648</v>
      </c>
      <c r="C2606" s="2782"/>
      <c r="D2606" s="2698">
        <f>IF(H2606&gt;0,D2605+1,D2605)</f>
        <v>2</v>
      </c>
      <c r="E2606" s="2699" t="s">
        <v>5513</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15" hidden="1" customHeight="1">
      <c r="A2607" s="1079">
        <f t="shared" si="131"/>
        <v>0</v>
      </c>
      <c r="B2607" s="1080" t="s">
        <v>6177</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15" hidden="1" customHeight="1">
      <c r="A2608" s="1079">
        <f t="shared" si="131"/>
        <v>0</v>
      </c>
      <c r="B2608" s="1080" t="s">
        <v>1369</v>
      </c>
      <c r="C2608" s="2782"/>
      <c r="D2608" s="2698">
        <f>IF(H2608&gt;0,D2607+1,D2607)</f>
        <v>4</v>
      </c>
      <c r="E2608" s="2699" t="s">
        <v>5517</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15" hidden="1" customHeight="1">
      <c r="A2609" s="1079">
        <f t="shared" si="131"/>
        <v>0</v>
      </c>
      <c r="B2609" s="1080" t="s">
        <v>6178</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15" hidden="1" customHeight="1">
      <c r="A2610" s="1079">
        <f t="shared" si="131"/>
        <v>0</v>
      </c>
      <c r="B2610" s="1080" t="s">
        <v>707</v>
      </c>
      <c r="C2610" s="2782"/>
      <c r="D2610" s="2698">
        <f>IF(H2610&gt;0,D2608+1,D2608)</f>
        <v>4</v>
      </c>
      <c r="E2610" s="2699">
        <v>0</v>
      </c>
      <c r="F2610" s="2700" t="s">
        <v>5597</v>
      </c>
      <c r="G2610" s="2699" t="s">
        <v>2547</v>
      </c>
      <c r="H2610" s="2701"/>
      <c r="I2610" s="2614">
        <f t="shared" si="147"/>
        <v>0</v>
      </c>
      <c r="J2610" s="1062"/>
      <c r="K2610" s="1062"/>
      <c r="L2610" s="1062"/>
      <c r="M2610" s="928">
        <v>1250</v>
      </c>
    </row>
    <row r="2611" spans="1:13" s="1009" customFormat="1" ht="25.15" hidden="1" customHeight="1">
      <c r="A2611" s="1079">
        <f t="shared" si="131"/>
        <v>0</v>
      </c>
      <c r="B2611" s="1080" t="s">
        <v>707</v>
      </c>
      <c r="C2611" s="2782"/>
      <c r="D2611" s="2698">
        <f t="shared" ref="D2611:D2617" si="148">IF(H2611&gt;0,D2609+1,D2609)</f>
        <v>5</v>
      </c>
      <c r="E2611" s="2699">
        <v>0</v>
      </c>
      <c r="F2611" s="2700" t="s">
        <v>5597</v>
      </c>
      <c r="G2611" s="2699" t="s">
        <v>2547</v>
      </c>
      <c r="H2611" s="2701">
        <f>+H2605*1*0</f>
        <v>0</v>
      </c>
      <c r="I2611" s="2614">
        <f t="shared" si="147"/>
        <v>0</v>
      </c>
      <c r="J2611" s="1062"/>
      <c r="K2611" s="1062"/>
      <c r="L2611" s="1062"/>
      <c r="M2611" s="928">
        <v>1250</v>
      </c>
    </row>
    <row r="2612" spans="1:13" s="1009" customFormat="1" ht="25.15"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15" hidden="1" customHeight="1">
      <c r="A2613" s="1079">
        <f t="shared" si="131"/>
        <v>0</v>
      </c>
      <c r="B2613" s="1080" t="s">
        <v>932</v>
      </c>
      <c r="C2613" s="2782"/>
      <c r="D2613" s="2698">
        <f t="shared" si="148"/>
        <v>5</v>
      </c>
      <c r="E2613" s="2699">
        <v>0</v>
      </c>
      <c r="F2613" s="2700" t="s">
        <v>5594</v>
      </c>
      <c r="G2613" s="2699" t="s">
        <v>2547</v>
      </c>
      <c r="H2613" s="2701"/>
      <c r="I2613" s="2614">
        <f t="shared" si="147"/>
        <v>0</v>
      </c>
      <c r="J2613" s="1062"/>
      <c r="K2613" s="1062"/>
      <c r="L2613" s="1062"/>
      <c r="M2613" s="928">
        <v>1250</v>
      </c>
    </row>
    <row r="2614" spans="1:13" s="1009" customFormat="1" ht="25.15" hidden="1" customHeight="1">
      <c r="A2614" s="1079">
        <f t="shared" si="131"/>
        <v>0</v>
      </c>
      <c r="B2614" s="1080" t="s">
        <v>6179</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15"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15"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15"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15"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15"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15" hidden="1" customHeight="1">
      <c r="A2620" s="1079">
        <f t="shared" si="131"/>
        <v>0</v>
      </c>
      <c r="B2620" s="1080"/>
      <c r="C2620" s="2782"/>
      <c r="D2620" s="2703">
        <f>IF(H2620&gt;0,1,0)</f>
        <v>0</v>
      </c>
      <c r="E2620" s="2699"/>
      <c r="F2620" s="2705" t="s">
        <v>6026</v>
      </c>
      <c r="G2620" s="2706" t="s">
        <v>2271</v>
      </c>
      <c r="H2620" s="2707"/>
      <c r="I2620" s="2614">
        <f t="shared" si="147"/>
        <v>0</v>
      </c>
      <c r="J2620" s="1062"/>
      <c r="K2620" s="1062"/>
      <c r="L2620" s="1062"/>
      <c r="M2620" s="928">
        <v>1250</v>
      </c>
    </row>
    <row r="2621" spans="1:13" s="1009" customFormat="1" ht="25.15" hidden="1" customHeight="1">
      <c r="A2621" s="1079">
        <f t="shared" si="131"/>
        <v>0</v>
      </c>
      <c r="B2621" s="1080" t="s">
        <v>5193</v>
      </c>
      <c r="C2621" s="2782"/>
      <c r="D2621" s="2708"/>
      <c r="E2621" s="2699"/>
      <c r="F2621" s="2709" t="s">
        <v>5194</v>
      </c>
      <c r="G2621" s="2699" t="s">
        <v>2823</v>
      </c>
      <c r="H2621" s="2710">
        <f>H2620</f>
        <v>0</v>
      </c>
      <c r="I2621" s="2614">
        <f t="shared" si="147"/>
        <v>0</v>
      </c>
      <c r="J2621" s="1062"/>
      <c r="K2621" s="1062"/>
      <c r="L2621" s="1062"/>
      <c r="M2621" s="928">
        <v>1250</v>
      </c>
    </row>
    <row r="2622" spans="1:13" s="1009" customFormat="1" ht="25.15"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15"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15" hidden="1" customHeight="1">
      <c r="A2624" s="1079">
        <f t="shared" si="131"/>
        <v>0</v>
      </c>
      <c r="B2624" s="1080"/>
      <c r="C2624" s="2782"/>
      <c r="D2624" s="2703">
        <f>IF(H2624&gt;0,1,0)</f>
        <v>0</v>
      </c>
      <c r="E2624" s="2699"/>
      <c r="F2624" s="2705" t="s">
        <v>6121</v>
      </c>
      <c r="G2624" s="2706" t="s">
        <v>2271</v>
      </c>
      <c r="H2624" s="2707"/>
      <c r="I2624" s="2614">
        <f t="shared" si="147"/>
        <v>0</v>
      </c>
      <c r="J2624" s="1062"/>
      <c r="K2624" s="1062"/>
      <c r="L2624" s="1062"/>
      <c r="M2624" s="928">
        <v>1250</v>
      </c>
    </row>
    <row r="2625" spans="1:13" s="1009" customFormat="1" ht="25.15"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15"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15"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15"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15" hidden="1" customHeight="1">
      <c r="A2629" s="1079">
        <f t="shared" ref="A2629:A2692" si="149">IF(AND(M2629=$M$23,I2629&gt;0),1,0)</f>
        <v>0</v>
      </c>
      <c r="B2629" s="1080" t="s">
        <v>748</v>
      </c>
      <c r="C2629" s="2782"/>
      <c r="D2629" s="2708"/>
      <c r="E2629" s="2699">
        <v>0</v>
      </c>
      <c r="F2629" s="2709" t="s">
        <v>5207</v>
      </c>
      <c r="G2629" s="2699" t="s">
        <v>2243</v>
      </c>
      <c r="H2629" s="2710">
        <f>H2628*504</f>
        <v>0</v>
      </c>
      <c r="I2629" s="2614">
        <f t="shared" si="147"/>
        <v>0</v>
      </c>
      <c r="J2629" s="1062"/>
      <c r="K2629" s="1062"/>
      <c r="L2629" s="1062"/>
      <c r="M2629" s="928">
        <v>1250</v>
      </c>
    </row>
    <row r="2630" spans="1:13" s="1009" customFormat="1" ht="25.15"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15"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15" hidden="1" customHeight="1">
      <c r="A2632" s="1079">
        <f t="shared" si="149"/>
        <v>0</v>
      </c>
      <c r="B2632" s="1080" t="s">
        <v>6006</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15" hidden="1" customHeight="1">
      <c r="A2633" s="1079">
        <f t="shared" si="149"/>
        <v>0</v>
      </c>
      <c r="B2633" s="1080" t="s">
        <v>4755</v>
      </c>
      <c r="C2633" s="2782"/>
      <c r="D2633" s="2708"/>
      <c r="E2633" s="2699"/>
      <c r="F2633" s="2709" t="s">
        <v>4569</v>
      </c>
      <c r="G2633" s="2699" t="s">
        <v>2433</v>
      </c>
      <c r="H2633" s="2710">
        <f>H2628</f>
        <v>0</v>
      </c>
      <c r="I2633" s="2614">
        <f t="shared" si="147"/>
        <v>0</v>
      </c>
      <c r="J2633" s="1062"/>
      <c r="K2633" s="1062"/>
      <c r="L2633" s="1062"/>
      <c r="M2633" s="928">
        <v>1250</v>
      </c>
    </row>
    <row r="2634" spans="1:13" s="1009" customFormat="1" ht="25.15" hidden="1" customHeight="1">
      <c r="A2634" s="1079">
        <f t="shared" si="149"/>
        <v>0</v>
      </c>
      <c r="B2634" s="1080" t="s">
        <v>5238</v>
      </c>
      <c r="C2634" s="2782"/>
      <c r="D2634" s="2708"/>
      <c r="E2634" s="2699"/>
      <c r="F2634" s="2709" t="s">
        <v>5240</v>
      </c>
      <c r="G2634" s="2699" t="s">
        <v>853</v>
      </c>
      <c r="H2634" s="2710">
        <f>H2628*1.93</f>
        <v>0</v>
      </c>
      <c r="I2634" s="2614">
        <f t="shared" si="147"/>
        <v>0</v>
      </c>
      <c r="J2634" s="1062"/>
      <c r="K2634" s="1062"/>
      <c r="L2634" s="1062"/>
      <c r="M2634" s="928">
        <v>1250</v>
      </c>
    </row>
    <row r="2635" spans="1:13" s="1009" customFormat="1" ht="25.15" hidden="1" customHeight="1">
      <c r="A2635" s="1079">
        <f t="shared" si="149"/>
        <v>0</v>
      </c>
      <c r="B2635" s="1080" t="s">
        <v>1830</v>
      </c>
      <c r="C2635" s="2782"/>
      <c r="D2635" s="2708"/>
      <c r="E2635" s="2699"/>
      <c r="F2635" s="2709" t="s">
        <v>5390</v>
      </c>
      <c r="G2635" s="2699" t="s">
        <v>853</v>
      </c>
      <c r="H2635" s="2710">
        <f>H2628*1.704</f>
        <v>0</v>
      </c>
      <c r="I2635" s="2614">
        <f t="shared" si="147"/>
        <v>0</v>
      </c>
      <c r="J2635" s="1062"/>
      <c r="K2635" s="1062"/>
      <c r="L2635" s="1062"/>
      <c r="M2635" s="928">
        <v>1250</v>
      </c>
    </row>
    <row r="2636" spans="1:13" s="1009" customFormat="1" ht="25.15"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15" hidden="1" customHeight="1">
      <c r="A2637" s="1079">
        <f t="shared" si="149"/>
        <v>0</v>
      </c>
      <c r="B2637" s="1080" t="s">
        <v>633</v>
      </c>
      <c r="C2637" s="2782"/>
      <c r="D2637" s="2708"/>
      <c r="E2637" s="2699" t="s">
        <v>4965</v>
      </c>
      <c r="F2637" s="2709" t="s">
        <v>2599</v>
      </c>
      <c r="G2637" s="2699" t="s">
        <v>2547</v>
      </c>
      <c r="H2637" s="2710">
        <f>H2636</f>
        <v>0</v>
      </c>
      <c r="I2637" s="2614">
        <f t="shared" si="147"/>
        <v>0</v>
      </c>
      <c r="J2637" s="1062"/>
      <c r="K2637" s="1062"/>
      <c r="L2637" s="1062"/>
      <c r="M2637" s="928">
        <v>1250</v>
      </c>
    </row>
    <row r="2638" spans="1:13" s="1009" customFormat="1" ht="25.15" hidden="1" customHeight="1">
      <c r="A2638" s="1079">
        <f t="shared" si="149"/>
        <v>0</v>
      </c>
      <c r="B2638" s="1080" t="s">
        <v>564</v>
      </c>
      <c r="C2638" s="2782"/>
      <c r="D2638" s="2708"/>
      <c r="E2638" s="2699"/>
      <c r="F2638" s="2709" t="s">
        <v>4990</v>
      </c>
      <c r="G2638" s="2699" t="s">
        <v>2433</v>
      </c>
      <c r="H2638" s="2710">
        <f>H2637</f>
        <v>0</v>
      </c>
      <c r="I2638" s="2614">
        <f t="shared" si="147"/>
        <v>0</v>
      </c>
      <c r="J2638" s="1062"/>
      <c r="K2638" s="1062"/>
      <c r="L2638" s="1062"/>
      <c r="M2638" s="928">
        <v>1250</v>
      </c>
    </row>
    <row r="2639" spans="1:13" s="1009" customFormat="1" ht="25.15" hidden="1" customHeight="1">
      <c r="A2639" s="1079">
        <f t="shared" si="149"/>
        <v>0</v>
      </c>
      <c r="B2639" s="1080" t="s">
        <v>636</v>
      </c>
      <c r="C2639" s="2782"/>
      <c r="D2639" s="2708"/>
      <c r="E2639" s="2699" t="s">
        <v>1742</v>
      </c>
      <c r="F2639" s="2709" t="s">
        <v>5241</v>
      </c>
      <c r="G2639" s="2699" t="s">
        <v>853</v>
      </c>
      <c r="H2639" s="2710">
        <f>1.48*H2637</f>
        <v>0</v>
      </c>
      <c r="I2639" s="2614">
        <f t="shared" si="147"/>
        <v>0</v>
      </c>
      <c r="J2639" s="1062"/>
      <c r="K2639" s="1062"/>
      <c r="L2639" s="1062"/>
      <c r="M2639" s="928">
        <v>1250</v>
      </c>
    </row>
    <row r="2640" spans="1:13" s="1009" customFormat="1" ht="25.15" hidden="1" customHeight="1">
      <c r="A2640" s="1079">
        <f t="shared" si="149"/>
        <v>0</v>
      </c>
      <c r="B2640" s="1080" t="s">
        <v>21</v>
      </c>
      <c r="C2640" s="2782"/>
      <c r="D2640" s="2708"/>
      <c r="E2640" s="2699" t="s">
        <v>5242</v>
      </c>
      <c r="F2640" s="2709" t="s">
        <v>5243</v>
      </c>
      <c r="G2640" s="2699" t="s">
        <v>853</v>
      </c>
      <c r="H2640" s="2710">
        <f>1.39*H2636</f>
        <v>0</v>
      </c>
      <c r="I2640" s="2614">
        <f t="shared" si="147"/>
        <v>0</v>
      </c>
      <c r="J2640" s="1062"/>
      <c r="K2640" s="1062"/>
      <c r="L2640" s="1062"/>
      <c r="M2640" s="928">
        <v>1250</v>
      </c>
    </row>
    <row r="2641" spans="1:13" s="1009" customFormat="1" ht="25.15" hidden="1" customHeight="1">
      <c r="A2641" s="1079">
        <f t="shared" si="149"/>
        <v>0</v>
      </c>
      <c r="B2641" s="1080" t="s">
        <v>6318</v>
      </c>
      <c r="C2641" s="2782"/>
      <c r="D2641" s="2713">
        <f>IF(H2641&gt;0,D2636+1,D2636)</f>
        <v>1</v>
      </c>
      <c r="E2641" s="2714"/>
      <c r="F2641" s="2715" t="s">
        <v>6141</v>
      </c>
      <c r="G2641" s="2716" t="s">
        <v>2379</v>
      </c>
      <c r="H2641" s="2717">
        <f>+H2605*1</f>
        <v>1</v>
      </c>
      <c r="I2641" s="2614">
        <f t="shared" si="147"/>
        <v>1</v>
      </c>
      <c r="J2641" s="1062"/>
      <c r="K2641" s="1062"/>
      <c r="L2641" s="1062"/>
      <c r="M2641" s="928">
        <v>1250</v>
      </c>
    </row>
    <row r="2642" spans="1:13" s="1009" customFormat="1" ht="25.15" hidden="1" customHeight="1">
      <c r="A2642" s="1079">
        <f t="shared" si="149"/>
        <v>0</v>
      </c>
      <c r="B2642" s="1080"/>
      <c r="C2642" s="2782"/>
      <c r="D2642" s="2703"/>
      <c r="E2642" s="2718"/>
      <c r="F2642" s="2719" t="s">
        <v>6037</v>
      </c>
      <c r="G2642" s="2698"/>
      <c r="H2642" s="2701"/>
      <c r="I2642" s="2614">
        <f t="shared" si="147"/>
        <v>0</v>
      </c>
      <c r="J2642" s="1062"/>
      <c r="K2642" s="1062"/>
      <c r="L2642" s="1062"/>
      <c r="M2642" s="928">
        <v>1250</v>
      </c>
    </row>
    <row r="2643" spans="1:13" s="1009" customFormat="1" ht="25.15"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15"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15"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15"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15"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15" hidden="1" customHeight="1">
      <c r="A2648" s="1079">
        <f t="shared" si="149"/>
        <v>0</v>
      </c>
      <c r="B2648" s="1080" t="s">
        <v>2237</v>
      </c>
      <c r="C2648" s="2782"/>
      <c r="D2648" s="2703"/>
      <c r="E2648" s="2699" t="s">
        <v>5361</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15" hidden="1" customHeight="1">
      <c r="A2649" s="1079">
        <f t="shared" si="149"/>
        <v>0</v>
      </c>
      <c r="B2649" s="1080" t="s">
        <v>6319</v>
      </c>
      <c r="C2649" s="2782"/>
      <c r="D2649" s="2713">
        <f>IF(H2649&gt;0,D2641+1,D2641)</f>
        <v>2</v>
      </c>
      <c r="E2649" s="2714"/>
      <c r="F2649" s="2715" t="s">
        <v>6180</v>
      </c>
      <c r="G2649" s="2716" t="s">
        <v>2379</v>
      </c>
      <c r="H2649" s="2717">
        <v>2</v>
      </c>
      <c r="I2649" s="2614">
        <f t="shared" si="147"/>
        <v>2</v>
      </c>
      <c r="J2649" s="1062"/>
      <c r="K2649" s="1062"/>
      <c r="L2649" s="1062"/>
      <c r="M2649" s="928">
        <v>1250</v>
      </c>
    </row>
    <row r="2650" spans="1:13" s="1009" customFormat="1" ht="25.15" hidden="1" customHeight="1">
      <c r="A2650" s="1079">
        <f t="shared" si="149"/>
        <v>0</v>
      </c>
      <c r="B2650" s="1080"/>
      <c r="C2650" s="2782"/>
      <c r="D2650" s="2703"/>
      <c r="E2650" s="2718"/>
      <c r="F2650" s="2719" t="s">
        <v>6037</v>
      </c>
      <c r="G2650" s="2698"/>
      <c r="H2650" s="2701"/>
      <c r="I2650" s="2614">
        <f t="shared" si="147"/>
        <v>0</v>
      </c>
      <c r="J2650" s="1062"/>
      <c r="K2650" s="1062"/>
      <c r="L2650" s="1062"/>
      <c r="M2650" s="928">
        <v>1250</v>
      </c>
    </row>
    <row r="2651" spans="1:13" s="1009" customFormat="1" ht="25.15" hidden="1" customHeight="1">
      <c r="A2651" s="1079">
        <f t="shared" si="149"/>
        <v>0</v>
      </c>
      <c r="B2651" s="1080" t="s">
        <v>6313</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15" hidden="1" customHeight="1">
      <c r="A2652" s="1079">
        <f t="shared" si="149"/>
        <v>0</v>
      </c>
      <c r="B2652" s="1080" t="s">
        <v>6312</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15"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15"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15"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15" hidden="1" customHeight="1">
      <c r="A2656" s="1079">
        <f t="shared" si="149"/>
        <v>0</v>
      </c>
      <c r="B2656" s="1080" t="s">
        <v>515</v>
      </c>
      <c r="C2656" s="2782"/>
      <c r="D2656" s="2703"/>
      <c r="E2656" s="2699" t="s">
        <v>5347</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15" hidden="1" customHeight="1">
      <c r="A2657" s="1079">
        <f t="shared" si="149"/>
        <v>0</v>
      </c>
      <c r="B2657" s="1080" t="s">
        <v>6320</v>
      </c>
      <c r="C2657" s="2782"/>
      <c r="D2657" s="2713">
        <f>IF(H2657&gt;0,D2649+1,D2649)</f>
        <v>3</v>
      </c>
      <c r="E2657" s="2714"/>
      <c r="F2657" s="2715" t="s">
        <v>6181</v>
      </c>
      <c r="G2657" s="2716" t="s">
        <v>2379</v>
      </c>
      <c r="H2657" s="2717">
        <f>H2605*1</f>
        <v>1</v>
      </c>
      <c r="I2657" s="2614">
        <f t="shared" si="147"/>
        <v>1</v>
      </c>
      <c r="J2657" s="1062"/>
      <c r="K2657" s="1062"/>
      <c r="L2657" s="1062"/>
      <c r="M2657" s="928">
        <v>1250</v>
      </c>
    </row>
    <row r="2658" spans="1:13" s="1009" customFormat="1" ht="25.15" hidden="1" customHeight="1">
      <c r="A2658" s="1079">
        <f t="shared" si="149"/>
        <v>0</v>
      </c>
      <c r="B2658" s="1080"/>
      <c r="C2658" s="2782"/>
      <c r="D2658" s="2703"/>
      <c r="E2658" s="2718"/>
      <c r="F2658" s="2719" t="s">
        <v>6037</v>
      </c>
      <c r="G2658" s="2698"/>
      <c r="H2658" s="2701"/>
      <c r="I2658" s="2614">
        <f t="shared" si="147"/>
        <v>0</v>
      </c>
      <c r="J2658" s="1062"/>
      <c r="K2658" s="1062"/>
      <c r="L2658" s="1062"/>
      <c r="M2658" s="928">
        <v>1250</v>
      </c>
    </row>
    <row r="2659" spans="1:13" s="1009" customFormat="1" ht="25.15" hidden="1" customHeight="1">
      <c r="A2659" s="1079">
        <f t="shared" si="149"/>
        <v>0</v>
      </c>
      <c r="B2659" s="1080" t="s">
        <v>6311</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15" hidden="1" customHeight="1">
      <c r="A2660" s="1079">
        <f t="shared" si="149"/>
        <v>0</v>
      </c>
      <c r="B2660" s="1080" t="s">
        <v>6312</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15"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15"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15"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15" hidden="1" customHeight="1">
      <c r="A2664" s="1079">
        <f t="shared" si="149"/>
        <v>0</v>
      </c>
      <c r="B2664" s="1080" t="s">
        <v>984</v>
      </c>
      <c r="C2664" s="2782"/>
      <c r="D2664" s="2703"/>
      <c r="E2664" s="2699">
        <v>0</v>
      </c>
      <c r="F2664" s="2700" t="s">
        <v>5188</v>
      </c>
      <c r="G2664" s="2699" t="s">
        <v>2379</v>
      </c>
      <c r="H2664" s="2701"/>
      <c r="I2664" s="2614">
        <f t="shared" si="147"/>
        <v>0</v>
      </c>
      <c r="J2664" s="1062"/>
      <c r="K2664" s="1062"/>
      <c r="L2664" s="1062"/>
      <c r="M2664" s="928">
        <v>1250</v>
      </c>
    </row>
    <row r="2665" spans="1:13" s="1009" customFormat="1" ht="25.15" hidden="1" customHeight="1">
      <c r="A2665" s="1079">
        <f t="shared" si="149"/>
        <v>0</v>
      </c>
      <c r="B2665" s="1080" t="s">
        <v>1436</v>
      </c>
      <c r="C2665" s="2782"/>
      <c r="D2665" s="2703"/>
      <c r="E2665" s="2699" t="s">
        <v>5338</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15"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15" hidden="1" customHeight="1">
      <c r="A2667" s="1079">
        <f t="shared" si="149"/>
        <v>0</v>
      </c>
      <c r="B2667" s="1080"/>
      <c r="C2667" s="2782"/>
      <c r="D2667" s="2703"/>
      <c r="E2667" s="2718"/>
      <c r="F2667" s="2719" t="s">
        <v>6037</v>
      </c>
      <c r="G2667" s="2698"/>
      <c r="H2667" s="2701"/>
      <c r="I2667" s="2614">
        <f t="shared" si="147"/>
        <v>0</v>
      </c>
      <c r="J2667" s="1062"/>
      <c r="K2667" s="1062"/>
      <c r="L2667" s="1062"/>
      <c r="M2667" s="928">
        <v>1250</v>
      </c>
    </row>
    <row r="2668" spans="1:13" s="1009" customFormat="1" ht="25.15"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15" hidden="1" customHeight="1">
      <c r="A2669" s="1079">
        <f t="shared" si="149"/>
        <v>0</v>
      </c>
      <c r="B2669" s="1080" t="s">
        <v>1504</v>
      </c>
      <c r="C2669" s="2782"/>
      <c r="D2669" s="2703"/>
      <c r="E2669" s="2699">
        <v>0</v>
      </c>
      <c r="F2669" s="2700" t="s">
        <v>5081</v>
      </c>
      <c r="G2669" s="2699" t="s">
        <v>2433</v>
      </c>
      <c r="H2669" s="2701">
        <f>($I$2+H2674)*H2666</f>
        <v>9</v>
      </c>
      <c r="I2669" s="2614">
        <f t="shared" si="147"/>
        <v>9</v>
      </c>
      <c r="J2669" s="1062"/>
      <c r="K2669" s="1062"/>
      <c r="L2669" s="1062"/>
      <c r="M2669" s="928">
        <v>1250</v>
      </c>
    </row>
    <row r="2670" spans="1:13" s="1009" customFormat="1" ht="25.15"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15"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15"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15" hidden="1" customHeight="1">
      <c r="A2673" s="1079">
        <f t="shared" si="149"/>
        <v>0</v>
      </c>
      <c r="B2673" s="1080" t="s">
        <v>523</v>
      </c>
      <c r="C2673" s="2782"/>
      <c r="D2673" s="2703"/>
      <c r="E2673" s="2699">
        <v>0</v>
      </c>
      <c r="F2673" s="2700" t="s">
        <v>5170</v>
      </c>
      <c r="G2673" s="2699" t="s">
        <v>2433</v>
      </c>
      <c r="H2673" s="2701">
        <f>+H2666*2*0</f>
        <v>0</v>
      </c>
      <c r="I2673" s="2614">
        <f t="shared" si="154"/>
        <v>0</v>
      </c>
      <c r="J2673" s="1062"/>
      <c r="K2673" s="1062"/>
      <c r="L2673" s="1062"/>
      <c r="M2673" s="928">
        <v>1250</v>
      </c>
    </row>
    <row r="2674" spans="1:13" s="1009" customFormat="1" ht="25.15" hidden="1" customHeight="1">
      <c r="A2674" s="1079">
        <f t="shared" si="149"/>
        <v>0</v>
      </c>
      <c r="B2674" s="1080" t="s">
        <v>1581</v>
      </c>
      <c r="C2674" s="2782"/>
      <c r="D2674" s="2703"/>
      <c r="E2674" s="2699">
        <v>0</v>
      </c>
      <c r="F2674" s="2700" t="s">
        <v>5628</v>
      </c>
      <c r="G2674" s="2699" t="s">
        <v>3430</v>
      </c>
      <c r="H2674" s="2701">
        <f>$L$3*H2666</f>
        <v>0</v>
      </c>
      <c r="I2674" s="2614">
        <f t="shared" si="154"/>
        <v>0</v>
      </c>
      <c r="J2674" s="1062"/>
      <c r="K2674" s="1062"/>
      <c r="L2674" s="1062"/>
      <c r="M2674" s="928">
        <v>1250</v>
      </c>
    </row>
    <row r="2675" spans="1:13" s="1009" customFormat="1" ht="25.15" hidden="1" customHeight="1">
      <c r="A2675" s="1079">
        <f t="shared" si="149"/>
        <v>0</v>
      </c>
      <c r="B2675" s="1080" t="s">
        <v>791</v>
      </c>
      <c r="C2675" s="2782"/>
      <c r="D2675" s="2698"/>
      <c r="E2675" s="2699" t="s">
        <v>5253</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15" hidden="1" customHeight="1">
      <c r="A2676" s="1079">
        <f t="shared" si="149"/>
        <v>0</v>
      </c>
      <c r="B2676" s="1080" t="s">
        <v>795</v>
      </c>
      <c r="C2676" s="2782"/>
      <c r="D2676" s="2698"/>
      <c r="E2676" s="2699" t="s">
        <v>5242</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15" hidden="1" customHeight="1">
      <c r="A2677" s="1079">
        <f t="shared" si="149"/>
        <v>0</v>
      </c>
      <c r="B2677" s="1080" t="s">
        <v>899</v>
      </c>
      <c r="C2677" s="2782"/>
      <c r="D2677" s="2698"/>
      <c r="E2677" s="2699" t="s">
        <v>5268</v>
      </c>
      <c r="F2677" s="2700" t="s">
        <v>5269</v>
      </c>
      <c r="G2677" s="2699" t="s">
        <v>2272</v>
      </c>
      <c r="H2677" s="2701">
        <f>H2669</f>
        <v>9</v>
      </c>
      <c r="I2677" s="2614">
        <f t="shared" si="154"/>
        <v>9</v>
      </c>
      <c r="J2677" s="1062"/>
      <c r="K2677" s="1062"/>
      <c r="L2677" s="1062"/>
      <c r="M2677" s="928">
        <v>1250</v>
      </c>
    </row>
    <row r="2678" spans="1:13" s="1009" customFormat="1" ht="25.15" hidden="1" customHeight="1">
      <c r="A2678" s="1079">
        <f t="shared" si="149"/>
        <v>0</v>
      </c>
      <c r="B2678" s="1080" t="s">
        <v>6182</v>
      </c>
      <c r="C2678" s="2782"/>
      <c r="D2678" s="2703"/>
      <c r="E2678" s="2699" t="s">
        <v>5262</v>
      </c>
      <c r="F2678" s="2700" t="s">
        <v>3136</v>
      </c>
      <c r="G2678" s="2699" t="s">
        <v>2243</v>
      </c>
      <c r="H2678" s="2701">
        <f>H2668</f>
        <v>11.87</v>
      </c>
      <c r="I2678" s="2614">
        <f t="shared" si="154"/>
        <v>11.87</v>
      </c>
      <c r="J2678" s="1062"/>
      <c r="K2678" s="1062"/>
      <c r="L2678" s="1062"/>
      <c r="M2678" s="928">
        <v>1250</v>
      </c>
    </row>
    <row r="2679" spans="1:13" s="1009" customFormat="1" ht="25.15" hidden="1" customHeight="1">
      <c r="A2679" s="1079">
        <f t="shared" si="149"/>
        <v>0</v>
      </c>
      <c r="B2679" s="1080"/>
      <c r="C2679" s="2782"/>
      <c r="D2679" s="2713">
        <f>IF(H2679&gt;0,D2666+1,D2666)</f>
        <v>5</v>
      </c>
      <c r="E2679" s="2714"/>
      <c r="F2679" s="2715" t="s">
        <v>6113</v>
      </c>
      <c r="G2679" s="2716" t="s">
        <v>2379</v>
      </c>
      <c r="H2679" s="2717">
        <f>H2605</f>
        <v>1</v>
      </c>
      <c r="I2679" s="2614">
        <f t="shared" si="154"/>
        <v>1</v>
      </c>
      <c r="J2679" s="1062"/>
      <c r="K2679" s="1062"/>
      <c r="L2679" s="1062"/>
      <c r="M2679" s="928">
        <v>1250</v>
      </c>
    </row>
    <row r="2680" spans="1:13" s="1009" customFormat="1" ht="25.15" hidden="1" customHeight="1">
      <c r="A2680" s="1079">
        <f t="shared" si="149"/>
        <v>0</v>
      </c>
      <c r="B2680" s="1080"/>
      <c r="C2680" s="2782"/>
      <c r="D2680" s="2703"/>
      <c r="E2680" s="2718"/>
      <c r="F2680" s="2719" t="s">
        <v>6037</v>
      </c>
      <c r="G2680" s="2698"/>
      <c r="H2680" s="2701"/>
      <c r="I2680" s="2614">
        <f t="shared" si="154"/>
        <v>0</v>
      </c>
      <c r="J2680" s="1062"/>
      <c r="K2680" s="1062"/>
      <c r="L2680" s="1062"/>
      <c r="M2680" s="928">
        <v>1250</v>
      </c>
    </row>
    <row r="2681" spans="1:13" s="1009" customFormat="1" ht="25.15" hidden="1" customHeight="1">
      <c r="A2681" s="1079">
        <f t="shared" si="149"/>
        <v>0</v>
      </c>
      <c r="B2681" s="1080" t="s">
        <v>6183</v>
      </c>
      <c r="C2681" s="2782"/>
      <c r="D2681" s="2698"/>
      <c r="E2681" s="2699" t="s">
        <v>5548</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15"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15"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15"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15" hidden="1" customHeight="1">
      <c r="A2685" s="1079">
        <f t="shared" si="149"/>
        <v>0</v>
      </c>
      <c r="B2685" s="1080"/>
      <c r="C2685" s="2782"/>
      <c r="D2685" s="2703"/>
      <c r="E2685" s="2718"/>
      <c r="F2685" s="2719" t="s">
        <v>6037</v>
      </c>
      <c r="G2685" s="2698"/>
      <c r="H2685" s="2701"/>
      <c r="I2685" s="2614">
        <f t="shared" si="154"/>
        <v>0</v>
      </c>
      <c r="J2685" s="1062"/>
      <c r="K2685" s="1062"/>
      <c r="L2685" s="1062"/>
      <c r="M2685" s="928">
        <v>1250</v>
      </c>
    </row>
    <row r="2686" spans="1:13" s="1009" customFormat="1" ht="25.15" hidden="1" customHeight="1">
      <c r="A2686" s="1079">
        <f t="shared" si="149"/>
        <v>0</v>
      </c>
      <c r="B2686" s="1080" t="s">
        <v>749</v>
      </c>
      <c r="C2686" s="2782"/>
      <c r="D2686" s="2698"/>
      <c r="E2686" s="2699">
        <v>0</v>
      </c>
      <c r="F2686" s="2721" t="s">
        <v>6279</v>
      </c>
      <c r="G2686" s="2699" t="s">
        <v>853</v>
      </c>
      <c r="H2686" s="2701">
        <f>H2684*0.315</f>
        <v>0</v>
      </c>
      <c r="I2686" s="2614">
        <f t="shared" si="154"/>
        <v>0</v>
      </c>
      <c r="J2686" s="1062"/>
      <c r="K2686" s="1062"/>
      <c r="L2686" s="1062"/>
      <c r="M2686" s="928">
        <v>1250</v>
      </c>
    </row>
    <row r="2687" spans="1:13" s="1009" customFormat="1" ht="25.15" hidden="1" customHeight="1">
      <c r="A2687" s="1079">
        <f t="shared" si="149"/>
        <v>0</v>
      </c>
      <c r="B2687" s="1080" t="s">
        <v>518</v>
      </c>
      <c r="C2687" s="2782"/>
      <c r="D2687" s="2698"/>
      <c r="E2687" s="2699">
        <v>0</v>
      </c>
      <c r="F2687" s="2721" t="s">
        <v>6280</v>
      </c>
      <c r="G2687" s="2699" t="s">
        <v>853</v>
      </c>
      <c r="H2687" s="2701">
        <f>0.092*H2684</f>
        <v>0</v>
      </c>
      <c r="I2687" s="2614">
        <f t="shared" si="154"/>
        <v>0</v>
      </c>
      <c r="J2687" s="1062"/>
      <c r="K2687" s="1062"/>
      <c r="L2687" s="1062"/>
      <c r="M2687" s="928">
        <v>1250</v>
      </c>
    </row>
    <row r="2688" spans="1:13" s="1009" customFormat="1" ht="25.15" hidden="1" customHeight="1">
      <c r="A2688" s="1079">
        <f t="shared" si="149"/>
        <v>0</v>
      </c>
      <c r="B2688" s="1080" t="s">
        <v>1671</v>
      </c>
      <c r="C2688" s="2782"/>
      <c r="D2688" s="2698"/>
      <c r="E2688" s="2699">
        <v>0</v>
      </c>
      <c r="F2688" s="2721" t="s">
        <v>6281</v>
      </c>
      <c r="G2688" s="2699" t="s">
        <v>2998</v>
      </c>
      <c r="H2688" s="2701">
        <f>3.3*H2684</f>
        <v>0</v>
      </c>
      <c r="I2688" s="2614">
        <f t="shared" si="154"/>
        <v>0</v>
      </c>
      <c r="J2688" s="1062"/>
      <c r="K2688" s="1062"/>
      <c r="L2688" s="1062"/>
      <c r="M2688" s="928">
        <v>1250</v>
      </c>
    </row>
    <row r="2689" spans="1:13" s="1009" customFormat="1" ht="25.15" hidden="1" customHeight="1">
      <c r="A2689" s="1079">
        <f t="shared" si="149"/>
        <v>0</v>
      </c>
      <c r="B2689" s="1080" t="s">
        <v>1672</v>
      </c>
      <c r="C2689" s="2782"/>
      <c r="D2689" s="2698"/>
      <c r="E2689" s="2699" t="s">
        <v>5208</v>
      </c>
      <c r="F2689" s="2721" t="s">
        <v>6282</v>
      </c>
      <c r="G2689" s="2699" t="s">
        <v>1955</v>
      </c>
      <c r="H2689" s="2701">
        <f>0.4*H2684</f>
        <v>0</v>
      </c>
      <c r="I2689" s="2614">
        <f t="shared" si="154"/>
        <v>0</v>
      </c>
      <c r="J2689" s="1062"/>
      <c r="K2689" s="1062"/>
      <c r="L2689" s="1062"/>
      <c r="M2689" s="928">
        <v>1250</v>
      </c>
    </row>
    <row r="2690" spans="1:13" s="1009" customFormat="1" ht="25.15"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15" hidden="1" customHeight="1">
      <c r="A2691" s="1079">
        <f t="shared" si="149"/>
        <v>0</v>
      </c>
      <c r="B2691" s="1080" t="s">
        <v>1674</v>
      </c>
      <c r="C2691" s="2782"/>
      <c r="D2691" s="2698"/>
      <c r="E2691" s="2699" t="s">
        <v>5250</v>
      </c>
      <c r="F2691" s="2721" t="s">
        <v>6283</v>
      </c>
      <c r="G2691" s="2699" t="s">
        <v>853</v>
      </c>
      <c r="H2691" s="2701">
        <f>H2686+H2687</f>
        <v>0</v>
      </c>
      <c r="I2691" s="2614">
        <f t="shared" si="154"/>
        <v>0</v>
      </c>
      <c r="J2691" s="1062"/>
      <c r="K2691" s="1062"/>
      <c r="L2691" s="1062"/>
      <c r="M2691" s="928">
        <v>1250</v>
      </c>
    </row>
    <row r="2692" spans="1:13" s="1009" customFormat="1" ht="25.15" hidden="1" customHeight="1">
      <c r="A2692" s="1079">
        <f t="shared" si="149"/>
        <v>0</v>
      </c>
      <c r="B2692" s="1080" t="s">
        <v>144</v>
      </c>
      <c r="C2692" s="2782"/>
      <c r="D2692" s="2698"/>
      <c r="E2692" s="2699" t="s">
        <v>5244</v>
      </c>
      <c r="F2692" s="2721" t="s">
        <v>6284</v>
      </c>
      <c r="G2692" s="2699" t="s">
        <v>853</v>
      </c>
      <c r="H2692" s="2701">
        <f>H2684*0.48</f>
        <v>0</v>
      </c>
      <c r="I2692" s="2614">
        <f t="shared" si="154"/>
        <v>0</v>
      </c>
      <c r="J2692" s="1062"/>
      <c r="K2692" s="1062"/>
      <c r="L2692" s="1062"/>
      <c r="M2692" s="928">
        <v>1250</v>
      </c>
    </row>
    <row r="2693" spans="1:13" s="1009" customFormat="1" ht="25.15" hidden="1" customHeight="1">
      <c r="A2693" s="1079">
        <f t="shared" ref="A2693:A2756" si="155">IF(AND(M2693=$M$23,I2693&gt;0),1,0)</f>
        <v>0</v>
      </c>
      <c r="B2693" s="1080" t="s">
        <v>527</v>
      </c>
      <c r="C2693" s="2782"/>
      <c r="D2693" s="2698"/>
      <c r="E2693" s="2699" t="s">
        <v>5249</v>
      </c>
      <c r="F2693" s="2721" t="s">
        <v>6285</v>
      </c>
      <c r="G2693" s="2699" t="s">
        <v>853</v>
      </c>
      <c r="H2693" s="2701">
        <f>H2684*0.073</f>
        <v>0</v>
      </c>
      <c r="I2693" s="2614">
        <f t="shared" si="154"/>
        <v>0</v>
      </c>
      <c r="J2693" s="1062"/>
      <c r="K2693" s="1062"/>
      <c r="L2693" s="1062"/>
      <c r="M2693" s="928">
        <v>1250</v>
      </c>
    </row>
    <row r="2694" spans="1:13" s="1009" customFormat="1" ht="25.15"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15" hidden="1" customHeight="1">
      <c r="A2695" s="1079">
        <f t="shared" si="155"/>
        <v>0</v>
      </c>
      <c r="B2695" s="1080"/>
      <c r="C2695" s="2782"/>
      <c r="D2695" s="2703"/>
      <c r="E2695" s="2718"/>
      <c r="F2695" s="2719" t="s">
        <v>6037</v>
      </c>
      <c r="G2695" s="2698"/>
      <c r="H2695" s="2701"/>
      <c r="I2695" s="2614">
        <f t="shared" si="154"/>
        <v>0</v>
      </c>
      <c r="J2695" s="1062"/>
      <c r="K2695" s="1062"/>
      <c r="L2695" s="1062"/>
      <c r="M2695" s="928">
        <v>1250</v>
      </c>
    </row>
    <row r="2696" spans="1:13" s="1009" customFormat="1" ht="25.15" hidden="1" customHeight="1">
      <c r="A2696" s="1079">
        <f t="shared" si="155"/>
        <v>0</v>
      </c>
      <c r="B2696" s="1080" t="s">
        <v>620</v>
      </c>
      <c r="C2696" s="2782"/>
      <c r="D2696" s="2698"/>
      <c r="E2696" s="2699" t="s">
        <v>5223</v>
      </c>
      <c r="F2696" s="2700" t="s">
        <v>5224</v>
      </c>
      <c r="G2696" s="2699" t="s">
        <v>2526</v>
      </c>
      <c r="H2696" s="2701">
        <f>H2694*5</f>
        <v>0</v>
      </c>
      <c r="I2696" s="2614">
        <f t="shared" si="154"/>
        <v>0</v>
      </c>
      <c r="J2696" s="1062"/>
      <c r="K2696" s="1062"/>
      <c r="L2696" s="1062"/>
      <c r="M2696" s="928">
        <v>1250</v>
      </c>
    </row>
    <row r="2697" spans="1:13" s="1009" customFormat="1" ht="25.15"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15"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15"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15"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15" hidden="1" customHeight="1">
      <c r="A2701" s="1079">
        <f t="shared" si="155"/>
        <v>0</v>
      </c>
      <c r="B2701" s="1080" t="s">
        <v>1406</v>
      </c>
      <c r="C2701" s="2782"/>
      <c r="D2701" s="2703"/>
      <c r="E2701" s="2699" t="s">
        <v>5258</v>
      </c>
      <c r="F2701" s="2700" t="s">
        <v>5259</v>
      </c>
      <c r="G2701" s="2699" t="s">
        <v>2433</v>
      </c>
      <c r="H2701" s="2701">
        <f>H2699+H2700</f>
        <v>0</v>
      </c>
      <c r="I2701" s="2614">
        <f t="shared" si="154"/>
        <v>0</v>
      </c>
      <c r="J2701" s="1062"/>
      <c r="K2701" s="1062"/>
      <c r="L2701" s="1062"/>
      <c r="M2701" s="928">
        <v>1250</v>
      </c>
    </row>
    <row r="2702" spans="1:13" s="1009" customFormat="1" ht="25.15" hidden="1" customHeight="1">
      <c r="A2702" s="1079">
        <f t="shared" si="155"/>
        <v>0</v>
      </c>
      <c r="B2702" s="1080" t="s">
        <v>288</v>
      </c>
      <c r="C2702" s="2782"/>
      <c r="D2702" s="2698"/>
      <c r="E2702" s="2699">
        <v>0</v>
      </c>
      <c r="F2702" s="2700" t="s">
        <v>5627</v>
      </c>
      <c r="G2702" s="2699" t="s">
        <v>2547</v>
      </c>
      <c r="H2702" s="2701">
        <f>H2694</f>
        <v>0</v>
      </c>
      <c r="I2702" s="2614">
        <f t="shared" si="154"/>
        <v>0</v>
      </c>
      <c r="J2702" s="1062"/>
      <c r="K2702" s="1062"/>
      <c r="L2702" s="1062"/>
      <c r="M2702" s="928">
        <v>1250</v>
      </c>
    </row>
    <row r="2703" spans="1:13" s="1009" customFormat="1" ht="25.15"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15" hidden="1" customHeight="1">
      <c r="A2704" s="1079">
        <f t="shared" si="155"/>
        <v>0</v>
      </c>
      <c r="B2704" s="1080"/>
      <c r="C2704" s="2782"/>
      <c r="D2704" s="2703"/>
      <c r="E2704" s="2718"/>
      <c r="F2704" s="2722" t="s">
        <v>6037</v>
      </c>
      <c r="G2704" s="2703"/>
      <c r="H2704" s="2704"/>
      <c r="I2704" s="2614">
        <f t="shared" si="154"/>
        <v>0</v>
      </c>
      <c r="J2704" s="1062"/>
      <c r="K2704" s="1062"/>
      <c r="L2704" s="1062"/>
      <c r="M2704" s="928">
        <v>1250</v>
      </c>
    </row>
    <row r="2705" spans="1:13" s="1009" customFormat="1" ht="25.15" hidden="1" customHeight="1">
      <c r="A2705" s="1079">
        <f t="shared" si="155"/>
        <v>0</v>
      </c>
      <c r="B2705" s="1080" t="s">
        <v>468</v>
      </c>
      <c r="C2705" s="2782"/>
      <c r="D2705" s="2698"/>
      <c r="E2705" s="2699">
        <v>0</v>
      </c>
      <c r="F2705" s="2700" t="s">
        <v>6286</v>
      </c>
      <c r="G2705" s="2699" t="s">
        <v>2526</v>
      </c>
      <c r="H2705" s="2701">
        <f>H2684+H2703*8</f>
        <v>0</v>
      </c>
      <c r="I2705" s="2614">
        <f t="shared" si="154"/>
        <v>0</v>
      </c>
      <c r="J2705" s="1062"/>
      <c r="K2705" s="1062"/>
      <c r="L2705" s="1062"/>
      <c r="M2705" s="928">
        <v>1250</v>
      </c>
    </row>
    <row r="2706" spans="1:13" s="1009" customFormat="1" ht="25.15" hidden="1" customHeight="1">
      <c r="A2706" s="1079">
        <f t="shared" si="155"/>
        <v>0</v>
      </c>
      <c r="B2706" s="1080" t="s">
        <v>270</v>
      </c>
      <c r="C2706" s="2782"/>
      <c r="D2706" s="2698"/>
      <c r="E2706" s="2699">
        <v>0</v>
      </c>
      <c r="F2706" s="2700" t="s">
        <v>6287</v>
      </c>
      <c r="G2706" s="2699" t="s">
        <v>2526</v>
      </c>
      <c r="H2706" s="2701">
        <f>H2705</f>
        <v>0</v>
      </c>
      <c r="I2706" s="2614">
        <f t="shared" si="154"/>
        <v>0</v>
      </c>
      <c r="J2706" s="1062"/>
      <c r="K2706" s="1062"/>
      <c r="L2706" s="1062"/>
      <c r="M2706" s="928">
        <v>1250</v>
      </c>
    </row>
    <row r="2707" spans="1:13" s="1009" customFormat="1" ht="25.15" hidden="1" customHeight="1">
      <c r="A2707" s="1079">
        <f t="shared" si="155"/>
        <v>0</v>
      </c>
      <c r="B2707" s="1080" t="s">
        <v>270</v>
      </c>
      <c r="C2707" s="2782"/>
      <c r="D2707" s="2698"/>
      <c r="E2707" s="2699">
        <v>0</v>
      </c>
      <c r="F2707" s="2700" t="s">
        <v>6288</v>
      </c>
      <c r="G2707" s="2699" t="s">
        <v>2526</v>
      </c>
      <c r="H2707" s="2701">
        <f>H2703*0.5*3</f>
        <v>0</v>
      </c>
      <c r="I2707" s="2614">
        <f t="shared" si="154"/>
        <v>0</v>
      </c>
      <c r="J2707" s="1062"/>
      <c r="K2707" s="1062"/>
      <c r="L2707" s="1062"/>
      <c r="M2707" s="928">
        <v>1250</v>
      </c>
    </row>
    <row r="2708" spans="1:13" s="1009" customFormat="1" ht="25.15"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15" hidden="1" customHeight="1">
      <c r="A2709" s="1079">
        <f t="shared" si="155"/>
        <v>0</v>
      </c>
      <c r="B2709" s="1080" t="s">
        <v>468</v>
      </c>
      <c r="C2709" s="2782"/>
      <c r="D2709" s="2698"/>
      <c r="E2709" s="2699">
        <v>0</v>
      </c>
      <c r="F2709" s="2700" t="s">
        <v>6289</v>
      </c>
      <c r="G2709" s="2699" t="s">
        <v>2526</v>
      </c>
      <c r="H2709" s="2701">
        <f>(1.2+2.4)*H2703</f>
        <v>0</v>
      </c>
      <c r="I2709" s="2614">
        <f t="shared" si="154"/>
        <v>0</v>
      </c>
      <c r="J2709" s="1062"/>
      <c r="K2709" s="1062"/>
      <c r="L2709" s="1062"/>
      <c r="M2709" s="928">
        <v>1250</v>
      </c>
    </row>
    <row r="2710" spans="1:13" s="1009" customFormat="1" ht="25.15" hidden="1" customHeight="1">
      <c r="A2710" s="1079">
        <f t="shared" si="155"/>
        <v>0</v>
      </c>
      <c r="B2710" s="1080" t="s">
        <v>270</v>
      </c>
      <c r="C2710" s="2782"/>
      <c r="D2710" s="2698"/>
      <c r="E2710" s="2699">
        <v>0</v>
      </c>
      <c r="F2710" s="2700" t="s">
        <v>6290</v>
      </c>
      <c r="G2710" s="2699" t="s">
        <v>2526</v>
      </c>
      <c r="H2710" s="2701">
        <f>H2703*1.2</f>
        <v>0</v>
      </c>
      <c r="I2710" s="2614">
        <f t="shared" si="154"/>
        <v>0</v>
      </c>
      <c r="J2710" s="1062"/>
      <c r="K2710" s="1062"/>
      <c r="L2710" s="1062"/>
      <c r="M2710" s="928">
        <v>1250</v>
      </c>
    </row>
    <row r="2711" spans="1:13" s="1009" customFormat="1" ht="25.15"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15" hidden="1" customHeight="1">
      <c r="A2712" s="1079">
        <f t="shared" si="155"/>
        <v>0</v>
      </c>
      <c r="B2712" s="1080" t="s">
        <v>1670</v>
      </c>
      <c r="C2712" s="2782"/>
      <c r="D2712" s="2698"/>
      <c r="E2712" s="2699" t="s">
        <v>5376</v>
      </c>
      <c r="F2712" s="2700" t="s">
        <v>3163</v>
      </c>
      <c r="G2712" s="2699" t="s">
        <v>2547</v>
      </c>
      <c r="H2712" s="2701">
        <f>H2708+H2711</f>
        <v>0</v>
      </c>
      <c r="I2712" s="2614">
        <f t="shared" si="154"/>
        <v>0</v>
      </c>
      <c r="J2712" s="1062"/>
      <c r="K2712" s="1062"/>
      <c r="L2712" s="1062"/>
      <c r="M2712" s="928">
        <v>1250</v>
      </c>
    </row>
    <row r="2713" spans="1:13" s="1009" customFormat="1" ht="25.15"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15"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15" hidden="1" customHeight="1">
      <c r="A2715" s="1079">
        <f t="shared" si="155"/>
        <v>0</v>
      </c>
      <c r="B2715" s="1080" t="s">
        <v>1521</v>
      </c>
      <c r="C2715" s="2782"/>
      <c r="D2715" s="2698"/>
      <c r="E2715" s="2699" t="s">
        <v>5487</v>
      </c>
      <c r="F2715" s="2700" t="s">
        <v>3277</v>
      </c>
      <c r="G2715" s="2699" t="s">
        <v>1818</v>
      </c>
      <c r="H2715" s="2701">
        <f>H2707</f>
        <v>0</v>
      </c>
      <c r="I2715" s="2614">
        <f t="shared" si="154"/>
        <v>0</v>
      </c>
      <c r="J2715" s="1062"/>
      <c r="K2715" s="1062"/>
      <c r="L2715" s="1062"/>
      <c r="M2715" s="928">
        <v>1250</v>
      </c>
    </row>
    <row r="2716" spans="1:13" s="1009" customFormat="1" ht="25.15"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15" hidden="1" customHeight="1">
      <c r="A2717" s="1079">
        <f t="shared" si="155"/>
        <v>0</v>
      </c>
      <c r="B2717" s="1080"/>
      <c r="C2717" s="2782"/>
      <c r="D2717" s="2713">
        <f>IF(H2717&gt;0,D2703+1,D2703)</f>
        <v>6</v>
      </c>
      <c r="E2717" s="2714"/>
      <c r="F2717" s="2715" t="s">
        <v>6167</v>
      </c>
      <c r="G2717" s="2716" t="s">
        <v>2379</v>
      </c>
      <c r="H2717" s="2717">
        <f>H2605</f>
        <v>1</v>
      </c>
      <c r="I2717" s="2614">
        <f t="shared" si="154"/>
        <v>1</v>
      </c>
      <c r="J2717" s="1062"/>
      <c r="K2717" s="1062"/>
      <c r="L2717" s="1062"/>
      <c r="M2717" s="928">
        <v>1250</v>
      </c>
    </row>
    <row r="2718" spans="1:13" s="1009" customFormat="1" ht="25.15" hidden="1" customHeight="1">
      <c r="A2718" s="1079">
        <f t="shared" si="155"/>
        <v>0</v>
      </c>
      <c r="B2718" s="1080"/>
      <c r="C2718" s="2782"/>
      <c r="D2718" s="2703"/>
      <c r="E2718" s="2718"/>
      <c r="F2718" s="2719" t="s">
        <v>6037</v>
      </c>
      <c r="G2718" s="2703"/>
      <c r="H2718" s="2704"/>
      <c r="I2718" s="2614">
        <f t="shared" si="154"/>
        <v>0</v>
      </c>
      <c r="J2718" s="1062"/>
      <c r="K2718" s="1062"/>
      <c r="L2718" s="1062"/>
      <c r="M2718" s="928">
        <v>1250</v>
      </c>
    </row>
    <row r="2719" spans="1:13" s="1009" customFormat="1" ht="25.15"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15" hidden="1" customHeight="1">
      <c r="A2720" s="1079">
        <f t="shared" si="155"/>
        <v>0</v>
      </c>
      <c r="B2720" s="1080" t="s">
        <v>5614</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15" hidden="1" customHeight="1">
      <c r="A2721" s="1079">
        <f t="shared" si="155"/>
        <v>0</v>
      </c>
      <c r="B2721" s="1080" t="s">
        <v>5620</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15" hidden="1" customHeight="1">
      <c r="A2722" s="1079">
        <f t="shared" si="155"/>
        <v>0</v>
      </c>
      <c r="B2722" s="1080" t="s">
        <v>5622</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15" hidden="1" customHeight="1">
      <c r="A2723" s="1079">
        <f t="shared" si="155"/>
        <v>0</v>
      </c>
      <c r="B2723" s="1080" t="s">
        <v>5612</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15"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15"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15"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15"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15" hidden="1" customHeight="1">
      <c r="A2728" s="1079">
        <f t="shared" si="155"/>
        <v>0</v>
      </c>
      <c r="B2728" s="1080" t="s">
        <v>6184</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15" hidden="1" customHeight="1">
      <c r="A2729" s="1079">
        <f t="shared" si="155"/>
        <v>0</v>
      </c>
      <c r="B2729" s="1080" t="s">
        <v>1561</v>
      </c>
      <c r="C2729" s="2782"/>
      <c r="D2729" s="2698"/>
      <c r="E2729" s="2699" t="s">
        <v>5477</v>
      </c>
      <c r="F2729" s="2700" t="str">
        <f t="shared" si="156"/>
        <v>Lắp sứ đứng 24KV</v>
      </c>
      <c r="G2729" s="2699" t="s">
        <v>2433</v>
      </c>
      <c r="H2729" s="2701">
        <f>H2727</f>
        <v>9</v>
      </c>
      <c r="I2729" s="2614">
        <f t="shared" si="154"/>
        <v>9</v>
      </c>
      <c r="J2729" s="1062"/>
      <c r="K2729" s="1062"/>
      <c r="L2729" s="1062"/>
      <c r="M2729" s="928">
        <v>1250</v>
      </c>
    </row>
    <row r="2730" spans="1:13" s="1009" customFormat="1" ht="25.15" hidden="1" customHeight="1">
      <c r="A2730" s="1079">
        <f t="shared" si="155"/>
        <v>0</v>
      </c>
      <c r="B2730" s="1080" t="s">
        <v>1521</v>
      </c>
      <c r="C2730" s="2782"/>
      <c r="D2730" s="2698"/>
      <c r="E2730" s="2699" t="s">
        <v>5487</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15"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15" hidden="1" customHeight="1">
      <c r="A2732" s="1079">
        <f t="shared" si="155"/>
        <v>0</v>
      </c>
      <c r="B2732" s="1080"/>
      <c r="C2732" s="2782"/>
      <c r="D2732" s="2703"/>
      <c r="E2732" s="2718"/>
      <c r="F2732" s="2719" t="s">
        <v>6037</v>
      </c>
      <c r="G2732" s="2703"/>
      <c r="H2732" s="2701"/>
      <c r="I2732" s="2614">
        <f t="shared" si="154"/>
        <v>0</v>
      </c>
      <c r="J2732" s="1062"/>
      <c r="K2732" s="1062"/>
      <c r="L2732" s="1062"/>
      <c r="M2732" s="928">
        <v>1250</v>
      </c>
    </row>
    <row r="2733" spans="1:13" s="1009" customFormat="1" ht="25.15" hidden="1" customHeight="1">
      <c r="A2733" s="1079">
        <f t="shared" si="155"/>
        <v>0</v>
      </c>
      <c r="B2733" s="1080" t="s">
        <v>4679</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15" hidden="1" customHeight="1">
      <c r="A2734" s="1079">
        <f t="shared" si="155"/>
        <v>0</v>
      </c>
      <c r="B2734" s="1080" t="s">
        <v>2151</v>
      </c>
      <c r="C2734" s="2782"/>
      <c r="D2734" s="2698"/>
      <c r="E2734" s="2699" t="s">
        <v>5645</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15"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15"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15"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15" hidden="1" customHeight="1">
      <c r="A2738" s="1079">
        <f t="shared" si="155"/>
        <v>0</v>
      </c>
      <c r="B2738" s="1080" t="s">
        <v>6</v>
      </c>
      <c r="C2738" s="2782"/>
      <c r="D2738" s="2698"/>
      <c r="E2738" s="2699"/>
      <c r="F2738" s="2700" t="str">
        <f>VLOOKUP(B2738,DonGia,3,0)</f>
        <v>Keo silicon bít miệng ống</v>
      </c>
      <c r="G2738" s="2699" t="s">
        <v>5720</v>
      </c>
      <c r="H2738" s="2701">
        <f>+H2731*3</f>
        <v>3</v>
      </c>
      <c r="I2738" s="2614">
        <f t="shared" si="157"/>
        <v>3</v>
      </c>
      <c r="J2738" s="1062"/>
      <c r="K2738" s="1062"/>
      <c r="L2738" s="1062"/>
      <c r="M2738" s="928">
        <v>1250</v>
      </c>
    </row>
    <row r="2739" spans="1:13" s="1009" customFormat="1" ht="25.15"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15"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15" hidden="1" customHeight="1">
      <c r="A2741" s="1079">
        <f t="shared" si="155"/>
        <v>0</v>
      </c>
      <c r="B2741" s="1080" t="s">
        <v>246</v>
      </c>
      <c r="C2741" s="2782"/>
      <c r="D2741" s="2698"/>
      <c r="E2741" s="2699" t="s">
        <v>5489</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15" hidden="1" customHeight="1">
      <c r="A2742" s="1079">
        <f t="shared" si="155"/>
        <v>0</v>
      </c>
      <c r="B2742" s="1080"/>
      <c r="C2742" s="2782"/>
      <c r="D2742" s="2713">
        <f>IF(H2742&gt;0,D2731+1,D2731)</f>
        <v>7</v>
      </c>
      <c r="E2742" s="2714"/>
      <c r="F2742" s="2715" t="s">
        <v>6126</v>
      </c>
      <c r="G2742" s="2716" t="s">
        <v>2379</v>
      </c>
      <c r="H2742" s="2717"/>
      <c r="I2742" s="2614">
        <f t="shared" si="157"/>
        <v>0</v>
      </c>
      <c r="J2742" s="1062"/>
      <c r="K2742" s="1062"/>
      <c r="L2742" s="1062"/>
      <c r="M2742" s="928">
        <v>1250</v>
      </c>
    </row>
    <row r="2743" spans="1:13" s="1009" customFormat="1" ht="25.15" hidden="1" customHeight="1">
      <c r="A2743" s="1079">
        <f t="shared" si="155"/>
        <v>0</v>
      </c>
      <c r="B2743" s="1080"/>
      <c r="C2743" s="2782"/>
      <c r="D2743" s="2703"/>
      <c r="E2743" s="2718"/>
      <c r="F2743" s="2719" t="s">
        <v>6037</v>
      </c>
      <c r="G2743" s="2698"/>
      <c r="H2743" s="2701"/>
      <c r="I2743" s="2614">
        <f t="shared" si="157"/>
        <v>0</v>
      </c>
      <c r="J2743" s="1062"/>
      <c r="K2743" s="1062"/>
      <c r="L2743" s="1062"/>
      <c r="M2743" s="928">
        <v>1250</v>
      </c>
    </row>
    <row r="2744" spans="1:13" s="1009" customFormat="1" ht="25.15" hidden="1" customHeight="1">
      <c r="A2744" s="1079">
        <f t="shared" si="155"/>
        <v>0</v>
      </c>
      <c r="B2744" s="1080" t="s">
        <v>650</v>
      </c>
      <c r="C2744" s="2782"/>
      <c r="D2744" s="2698"/>
      <c r="E2744" s="2699">
        <v>0</v>
      </c>
      <c r="F2744" s="2700" t="s">
        <v>5207</v>
      </c>
      <c r="G2744" s="2699" t="s">
        <v>2243</v>
      </c>
      <c r="H2744" s="2701">
        <f>+H2747*296</f>
        <v>0</v>
      </c>
      <c r="I2744" s="2614">
        <f t="shared" si="157"/>
        <v>0</v>
      </c>
      <c r="J2744" s="1062"/>
      <c r="K2744" s="1062"/>
      <c r="L2744" s="1062"/>
      <c r="M2744" s="928">
        <v>1250</v>
      </c>
    </row>
    <row r="2745" spans="1:13" s="1009" customFormat="1" ht="25.15"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15"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15" hidden="1" customHeight="1">
      <c r="A2747" s="1079">
        <f t="shared" si="155"/>
        <v>0</v>
      </c>
      <c r="B2747" s="1080" t="s">
        <v>651</v>
      </c>
      <c r="C2747" s="2782"/>
      <c r="D2747" s="2698"/>
      <c r="E2747" s="2699" t="s">
        <v>5388</v>
      </c>
      <c r="F2747" s="2700" t="s">
        <v>5391</v>
      </c>
      <c r="G2747" s="2699" t="s">
        <v>853</v>
      </c>
      <c r="H2747" s="2701">
        <f>H2742*(0.4*3*1-2*3.14*0.15^2*0.4)</f>
        <v>0</v>
      </c>
      <c r="I2747" s="2614">
        <f t="shared" si="157"/>
        <v>0</v>
      </c>
      <c r="J2747" s="1062"/>
      <c r="K2747" s="1062"/>
      <c r="L2747" s="1062"/>
      <c r="M2747" s="928">
        <v>1250</v>
      </c>
    </row>
    <row r="2748" spans="1:13" s="1009" customFormat="1" ht="25.15" hidden="1" customHeight="1">
      <c r="A2748" s="1079">
        <f t="shared" si="155"/>
        <v>0</v>
      </c>
      <c r="B2748" s="1080"/>
      <c r="C2748" s="2782"/>
      <c r="D2748" s="2713">
        <f>IF(H2748&gt;0,D2742+1,D2742)</f>
        <v>8</v>
      </c>
      <c r="E2748" s="2724"/>
      <c r="F2748" s="2715" t="s">
        <v>6185</v>
      </c>
      <c r="G2748" s="2716" t="s">
        <v>2379</v>
      </c>
      <c r="H2748" s="2717">
        <f>H2605</f>
        <v>1</v>
      </c>
      <c r="I2748" s="2614">
        <f t="shared" si="157"/>
        <v>1</v>
      </c>
      <c r="J2748" s="1062"/>
      <c r="K2748" s="1062"/>
      <c r="L2748" s="1062"/>
      <c r="M2748" s="928">
        <v>1250</v>
      </c>
    </row>
    <row r="2749" spans="1:13" s="1009" customFormat="1" ht="25.15" hidden="1" customHeight="1">
      <c r="A2749" s="1079">
        <f t="shared" si="155"/>
        <v>0</v>
      </c>
      <c r="B2749" s="1080"/>
      <c r="C2749" s="2782"/>
      <c r="D2749" s="2703"/>
      <c r="E2749" s="2718"/>
      <c r="F2749" s="2719" t="s">
        <v>6037</v>
      </c>
      <c r="G2749" s="2698"/>
      <c r="H2749" s="2701"/>
      <c r="I2749" s="2614">
        <f t="shared" si="157"/>
        <v>0</v>
      </c>
      <c r="J2749" s="1062"/>
      <c r="K2749" s="1062"/>
      <c r="L2749" s="1062"/>
      <c r="M2749" s="928">
        <v>1250</v>
      </c>
    </row>
    <row r="2750" spans="1:13" s="1009" customFormat="1" ht="25.15" hidden="1" customHeight="1">
      <c r="A2750" s="1079">
        <f t="shared" si="155"/>
        <v>0</v>
      </c>
      <c r="B2750" s="1080"/>
      <c r="C2750" s="2782"/>
      <c r="D2750" s="2703"/>
      <c r="E2750" s="2718"/>
      <c r="F2750" s="2719" t="s">
        <v>6037</v>
      </c>
      <c r="G2750" s="2698"/>
      <c r="H2750" s="2701"/>
      <c r="I2750" s="2614">
        <f t="shared" si="157"/>
        <v>0</v>
      </c>
      <c r="J2750" s="1062"/>
      <c r="K2750" s="1062"/>
      <c r="L2750" s="1062"/>
      <c r="M2750" s="928">
        <v>1250</v>
      </c>
    </row>
    <row r="2751" spans="1:13" s="1009" customFormat="1" ht="25.15"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15" hidden="1" customHeight="1">
      <c r="A2752" s="1079">
        <f t="shared" si="155"/>
        <v>0</v>
      </c>
      <c r="B2752" s="1080" t="s">
        <v>6147</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15" hidden="1" customHeight="1">
      <c r="A2753" s="1079">
        <f t="shared" si="155"/>
        <v>0</v>
      </c>
      <c r="B2753" s="1080" t="s">
        <v>5402</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15" hidden="1" customHeight="1">
      <c r="A2754" s="1079">
        <f t="shared" si="155"/>
        <v>0</v>
      </c>
      <c r="B2754" s="1080" t="s">
        <v>583</v>
      </c>
      <c r="C2754" s="2782"/>
      <c r="D2754" s="2698"/>
      <c r="E2754" s="2699" t="s">
        <v>5396</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15" hidden="1" customHeight="1">
      <c r="A2755" s="1079">
        <f t="shared" si="155"/>
        <v>0</v>
      </c>
      <c r="B2755" s="1080" t="s">
        <v>651</v>
      </c>
      <c r="C2755" s="2782"/>
      <c r="D2755" s="2698"/>
      <c r="E2755" s="2699" t="s">
        <v>5388</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15" hidden="1" customHeight="1">
      <c r="A2756" s="1079">
        <f t="shared" si="155"/>
        <v>0</v>
      </c>
      <c r="B2756" s="1080" t="s">
        <v>1950</v>
      </c>
      <c r="C2756" s="2782"/>
      <c r="D2756" s="2698"/>
      <c r="E2756" s="2699" t="s">
        <v>5388</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82"/>
      <c r="D2757" s="2713">
        <f>IF(H2757&gt;0,D2748+1,D2748)</f>
        <v>9</v>
      </c>
      <c r="E2757" s="2724"/>
      <c r="F2757" s="2715" t="s">
        <v>6148</v>
      </c>
      <c r="G2757" s="2716" t="s">
        <v>2379</v>
      </c>
      <c r="H2757" s="2717">
        <f>H2748</f>
        <v>1</v>
      </c>
      <c r="I2757" s="2614">
        <f t="shared" si="157"/>
        <v>1</v>
      </c>
      <c r="J2757" s="1062"/>
      <c r="K2757" s="1062"/>
      <c r="L2757" s="1062"/>
      <c r="M2757" s="928">
        <v>1250</v>
      </c>
    </row>
    <row r="2758" spans="1:13" s="1009" customFormat="1" ht="25.15" hidden="1" customHeight="1">
      <c r="A2758" s="1079">
        <f t="shared" si="159"/>
        <v>0</v>
      </c>
      <c r="B2758" s="1080"/>
      <c r="C2758" s="2782"/>
      <c r="D2758" s="2703"/>
      <c r="E2758" s="2718"/>
      <c r="F2758" s="2719" t="s">
        <v>6037</v>
      </c>
      <c r="G2758" s="2698"/>
      <c r="H2758" s="2701"/>
      <c r="I2758" s="2614">
        <f t="shared" si="157"/>
        <v>0</v>
      </c>
      <c r="J2758" s="1062"/>
      <c r="K2758" s="1062"/>
      <c r="L2758" s="1062"/>
      <c r="M2758" s="928">
        <v>1250</v>
      </c>
    </row>
    <row r="2759" spans="1:13" s="1009" customFormat="1" ht="25.15" hidden="1" customHeight="1">
      <c r="A2759" s="1079">
        <f t="shared" si="159"/>
        <v>0</v>
      </c>
      <c r="B2759" s="1080"/>
      <c r="C2759" s="2782"/>
      <c r="D2759" s="2703"/>
      <c r="E2759" s="2718"/>
      <c r="F2759" s="2719" t="s">
        <v>6037</v>
      </c>
      <c r="G2759" s="2698"/>
      <c r="H2759" s="2701"/>
      <c r="I2759" s="2614">
        <f t="shared" si="157"/>
        <v>0</v>
      </c>
      <c r="J2759" s="1062"/>
      <c r="K2759" s="1062"/>
      <c r="L2759" s="1062"/>
      <c r="M2759" s="928">
        <v>1250</v>
      </c>
    </row>
    <row r="2760" spans="1:13" s="1009" customFormat="1" ht="25.15" hidden="1" customHeight="1">
      <c r="A2760" s="1079">
        <f t="shared" si="159"/>
        <v>0</v>
      </c>
      <c r="B2760" s="1080" t="s">
        <v>5220</v>
      </c>
      <c r="C2760" s="2782"/>
      <c r="D2760" s="2698"/>
      <c r="E2760" s="2699" t="s">
        <v>5221</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15" hidden="1" customHeight="1">
      <c r="A2761" s="1079">
        <f t="shared" si="159"/>
        <v>0</v>
      </c>
      <c r="B2761" s="1080" t="s">
        <v>5281</v>
      </c>
      <c r="C2761" s="2782"/>
      <c r="D2761" s="2698"/>
      <c r="E2761" s="2699" t="s">
        <v>5282</v>
      </c>
      <c r="F2761" s="2700" t="str">
        <f t="shared" si="160"/>
        <v>Mặt bích nối cột bêt tông loại 200x200x5, 04 lỗ D16</v>
      </c>
      <c r="G2761" s="2699" t="s">
        <v>5284</v>
      </c>
      <c r="H2761" s="2701">
        <f>H2760/2</f>
        <v>9</v>
      </c>
      <c r="I2761" s="2614">
        <f t="shared" si="157"/>
        <v>9</v>
      </c>
      <c r="J2761" s="1062"/>
      <c r="K2761" s="1062"/>
      <c r="L2761" s="1062"/>
      <c r="M2761" s="928">
        <v>1250</v>
      </c>
    </row>
    <row r="2762" spans="1:13" s="1009" customFormat="1" ht="25.15" hidden="1" customHeight="1">
      <c r="A2762" s="1079">
        <f t="shared" si="159"/>
        <v>0</v>
      </c>
      <c r="B2762" s="1080" t="s">
        <v>5082</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15" hidden="1" customHeight="1">
      <c r="A2763" s="1079">
        <f t="shared" si="159"/>
        <v>0</v>
      </c>
      <c r="B2763" s="1080" t="s">
        <v>5084</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15"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15" hidden="1" customHeight="1">
      <c r="A2765" s="1079">
        <f t="shared" si="159"/>
        <v>0</v>
      </c>
      <c r="B2765" s="1080" t="s">
        <v>6149</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15"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15" hidden="1" customHeight="1">
      <c r="A2767" s="1079">
        <f t="shared" si="159"/>
        <v>0</v>
      </c>
      <c r="B2767" s="1080" t="s">
        <v>4976</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15" hidden="1" customHeight="1">
      <c r="A2768" s="1079">
        <f t="shared" si="159"/>
        <v>0</v>
      </c>
      <c r="B2768" s="1080" t="s">
        <v>6147</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15"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15" hidden="1" customHeight="1">
      <c r="A2770" s="1079">
        <f t="shared" si="159"/>
        <v>0</v>
      </c>
      <c r="B2770" s="1080" t="s">
        <v>5404</v>
      </c>
      <c r="C2770" s="2782"/>
      <c r="D2770" s="2698"/>
      <c r="E2770" s="2699" t="s">
        <v>5405</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15" hidden="1" customHeight="1">
      <c r="A2771" s="1079">
        <f t="shared" si="159"/>
        <v>0</v>
      </c>
      <c r="B2771" s="1080" t="s">
        <v>9</v>
      </c>
      <c r="C2771" s="2782"/>
      <c r="D2771" s="2698"/>
      <c r="E2771" s="2699" t="s">
        <v>5395</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15" hidden="1" customHeight="1">
      <c r="A2772" s="1079">
        <f t="shared" si="159"/>
        <v>0</v>
      </c>
      <c r="B2772" s="1080" t="s">
        <v>651</v>
      </c>
      <c r="C2772" s="2782"/>
      <c r="D2772" s="2698"/>
      <c r="E2772" s="2699" t="s">
        <v>5388</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15" hidden="1" customHeight="1">
      <c r="A2773" s="1079">
        <f t="shared" si="159"/>
        <v>0</v>
      </c>
      <c r="B2773" s="1080" t="s">
        <v>5397</v>
      </c>
      <c r="C2773" s="2782"/>
      <c r="D2773" s="2698"/>
      <c r="E2773" s="2699" t="s">
        <v>5398</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15" hidden="1" customHeight="1">
      <c r="A2774" s="1079">
        <f t="shared" si="159"/>
        <v>0</v>
      </c>
      <c r="B2774" s="1080"/>
      <c r="C2774" s="2782"/>
      <c r="D2774" s="2713">
        <f>IF(H2774&gt;0,D2757+1,D2757)</f>
        <v>10</v>
      </c>
      <c r="E2774" s="2724"/>
      <c r="F2774" s="2715" t="s">
        <v>6157</v>
      </c>
      <c r="G2774" s="2716" t="s">
        <v>2379</v>
      </c>
      <c r="H2774" s="2717">
        <v>1</v>
      </c>
      <c r="I2774" s="2614">
        <f t="shared" si="157"/>
        <v>1</v>
      </c>
      <c r="J2774" s="1062"/>
      <c r="K2774" s="1062"/>
      <c r="L2774" s="1062"/>
      <c r="M2774" s="928">
        <v>1250</v>
      </c>
    </row>
    <row r="2775" spans="1:13" s="1009" customFormat="1" ht="25.15" hidden="1" customHeight="1">
      <c r="A2775" s="1079">
        <f t="shared" si="159"/>
        <v>0</v>
      </c>
      <c r="B2775" s="1080"/>
      <c r="C2775" s="2782"/>
      <c r="D2775" s="2703"/>
      <c r="E2775" s="2718"/>
      <c r="F2775" s="2722" t="s">
        <v>6037</v>
      </c>
      <c r="G2775" s="2703"/>
      <c r="H2775" s="2704"/>
      <c r="I2775" s="2614">
        <f t="shared" si="157"/>
        <v>0</v>
      </c>
      <c r="J2775" s="1062"/>
      <c r="K2775" s="1062"/>
      <c r="L2775" s="1062"/>
      <c r="M2775" s="928">
        <v>1250</v>
      </c>
    </row>
    <row r="2776" spans="1:13" s="1009" customFormat="1" ht="25.15"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15" hidden="1" customHeight="1">
      <c r="A2777" s="1079">
        <f t="shared" si="159"/>
        <v>0</v>
      </c>
      <c r="B2777" s="1080" t="s">
        <v>6158</v>
      </c>
      <c r="C2777" s="2782"/>
      <c r="D2777" s="2698"/>
      <c r="E2777" s="2699">
        <v>0</v>
      </c>
      <c r="F2777" s="2721" t="s">
        <v>4971</v>
      </c>
      <c r="G2777" s="2725" t="s">
        <v>2433</v>
      </c>
      <c r="H2777" s="2701"/>
      <c r="I2777" s="2614">
        <f t="shared" si="157"/>
        <v>0</v>
      </c>
      <c r="J2777" s="1062"/>
      <c r="K2777" s="1062"/>
      <c r="L2777" s="1062"/>
      <c r="M2777" s="928">
        <v>1250</v>
      </c>
    </row>
    <row r="2778" spans="1:13" s="1009" customFormat="1" ht="25.15" hidden="1" customHeight="1">
      <c r="A2778" s="1079">
        <f t="shared" si="159"/>
        <v>0</v>
      </c>
      <c r="B2778" s="1080" t="s">
        <v>6159</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15"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15" hidden="1" customHeight="1">
      <c r="A2780" s="1079">
        <f t="shared" si="159"/>
        <v>0</v>
      </c>
      <c r="B2780" s="1080" t="s">
        <v>5648</v>
      </c>
      <c r="C2780" s="2782"/>
      <c r="D2780" s="2698"/>
      <c r="E2780" s="2699" t="s">
        <v>5638</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15"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15"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15"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15"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15"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15"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15"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15"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15"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15"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15"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15" hidden="1" customHeight="1">
      <c r="A2792" s="1079">
        <f t="shared" si="159"/>
        <v>0</v>
      </c>
      <c r="B2792" s="1080" t="s">
        <v>1910</v>
      </c>
      <c r="C2792" s="2782"/>
      <c r="D2792" s="2698"/>
      <c r="E2792" s="2699" t="s">
        <v>5570</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15" hidden="1" customHeight="1">
      <c r="A2793" s="1079">
        <f t="shared" si="159"/>
        <v>0</v>
      </c>
      <c r="B2793" s="1080" t="s">
        <v>6</v>
      </c>
      <c r="C2793" s="2782"/>
      <c r="D2793" s="2698"/>
      <c r="E2793" s="2699">
        <v>0</v>
      </c>
      <c r="F2793" s="2700" t="str">
        <f t="shared" si="161"/>
        <v>Keo silicon bít miệng ống</v>
      </c>
      <c r="G2793" s="2725" t="s">
        <v>5720</v>
      </c>
      <c r="H2793" s="2701">
        <f>H2774*2</f>
        <v>2</v>
      </c>
      <c r="I2793" s="2614">
        <f t="shared" si="157"/>
        <v>2</v>
      </c>
      <c r="J2793" s="1062"/>
      <c r="K2793" s="1062"/>
      <c r="L2793" s="1062"/>
      <c r="M2793" s="928">
        <v>1250</v>
      </c>
    </row>
    <row r="2794" spans="1:13" s="1009" customFormat="1" ht="25.15"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15" hidden="1" customHeight="1">
      <c r="A2795" s="1079">
        <f t="shared" si="159"/>
        <v>0</v>
      </c>
      <c r="B2795" s="1080" t="s">
        <v>1031</v>
      </c>
      <c r="C2795" s="2782"/>
      <c r="D2795" s="2698"/>
      <c r="E2795" s="2699">
        <v>0</v>
      </c>
      <c r="F2795" s="2721" t="s">
        <v>6293</v>
      </c>
      <c r="G2795" s="2725" t="s">
        <v>2243</v>
      </c>
      <c r="H2795" s="2726"/>
      <c r="I2795" s="2614">
        <f t="shared" si="157"/>
        <v>0</v>
      </c>
      <c r="J2795" s="1062"/>
      <c r="K2795" s="1062"/>
      <c r="L2795" s="1062"/>
      <c r="M2795" s="928">
        <v>1250</v>
      </c>
    </row>
    <row r="2796" spans="1:13" s="1009" customFormat="1" ht="25.15" hidden="1" customHeight="1">
      <c r="A2796" s="1079">
        <f t="shared" si="159"/>
        <v>0</v>
      </c>
      <c r="B2796" s="1080" t="s">
        <v>6159</v>
      </c>
      <c r="C2796" s="2782"/>
      <c r="D2796" s="2698"/>
      <c r="E2796" s="2699">
        <v>0</v>
      </c>
      <c r="F2796" s="2721" t="s">
        <v>2616</v>
      </c>
      <c r="G2796" s="2725" t="s">
        <v>2433</v>
      </c>
      <c r="H2796" s="2726"/>
      <c r="I2796" s="2614">
        <f t="shared" si="157"/>
        <v>0</v>
      </c>
      <c r="J2796" s="1062"/>
      <c r="K2796" s="1062"/>
      <c r="L2796" s="1062"/>
      <c r="M2796" s="928">
        <v>1250</v>
      </c>
    </row>
    <row r="2797" spans="1:13" s="1009" customFormat="1" ht="25.15" hidden="1" customHeight="1">
      <c r="A2797" s="1079">
        <f t="shared" si="159"/>
        <v>0</v>
      </c>
      <c r="B2797" s="1080"/>
      <c r="C2797" s="2782"/>
      <c r="D2797" s="1068"/>
      <c r="F2797" s="1069"/>
      <c r="H2797" s="1693"/>
      <c r="I2797" s="1826"/>
      <c r="M2797" s="928"/>
    </row>
    <row r="2798" spans="1:13" s="1009" customFormat="1" ht="25.15"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15"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15"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15"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15"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15"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15"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15"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15"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15"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15"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15"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15"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15"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15"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15"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15"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15"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15"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15"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15"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15"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15"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15"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15"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15"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15"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15"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15"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15"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15"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15"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15"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15"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15"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15"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15"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15"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15"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15"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15"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15"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15"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15"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15"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15"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15"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15"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15"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15"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15"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15"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15"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15"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15"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15"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15"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15"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15"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15"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15"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15"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15"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15"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15"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15"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15"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15"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15"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15"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15"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15"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15"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15"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15"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15"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15"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15"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15"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15"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15"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15"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15"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15"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15"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15"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15"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15"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15"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15"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15"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15"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15"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15"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15"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15"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15"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15"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15"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15"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15"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15"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15"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15"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15"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15"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15"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15"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15"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15"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15"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15"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15"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15"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15"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15"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15"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15"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15"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15"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15"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15"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15"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15"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15"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15"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15"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15"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15"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15"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15"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15"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15"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15"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15"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15"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15"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15"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15"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15"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15"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15"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15"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15"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15"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15"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15"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15"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15"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15"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15"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15"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15"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15"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15"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15"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15"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15"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15"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15"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15"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15"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15"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15"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15"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15"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15"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15"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15"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15"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15"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15"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15"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15"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15"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15"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15"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15" hidden="1" customHeight="1">
      <c r="A2985" s="1079">
        <f t="shared" si="169"/>
        <v>0</v>
      </c>
      <c r="B2985" s="1080"/>
      <c r="C2985" s="2782"/>
      <c r="D2985" s="2734"/>
      <c r="E2985" s="2734"/>
      <c r="F2985" s="2735" t="s">
        <v>3656</v>
      </c>
      <c r="G2985" s="2734"/>
      <c r="H2985" s="2761"/>
      <c r="I2985" s="2737"/>
      <c r="J2985" s="2736"/>
      <c r="K2985" s="2736"/>
      <c r="L2985" s="2738"/>
      <c r="M2985" s="928" t="s">
        <v>6337</v>
      </c>
    </row>
    <row r="2986" spans="1:13" s="1009" customFormat="1" ht="25.15" hidden="1" customHeight="1">
      <c r="A2986" s="1079">
        <f t="shared" si="169"/>
        <v>0</v>
      </c>
      <c r="B2986" s="2727" t="s">
        <v>1836</v>
      </c>
      <c r="C2986" s="2782">
        <v>1</v>
      </c>
      <c r="D2986" s="2739"/>
      <c r="E2986" s="2740" t="s">
        <v>5507</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6337</v>
      </c>
    </row>
    <row r="2987" spans="1:13" s="1009" customFormat="1" ht="25.15" hidden="1" customHeight="1">
      <c r="A2987" s="1079">
        <f t="shared" si="169"/>
        <v>0</v>
      </c>
      <c r="B2987" s="2728" t="s">
        <v>1648</v>
      </c>
      <c r="C2987" s="2782">
        <v>3</v>
      </c>
      <c r="D2987" s="2739"/>
      <c r="E2987" s="2740" t="s">
        <v>5513</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6337</v>
      </c>
    </row>
    <row r="2988" spans="1:13" s="1009" customFormat="1" ht="25.15"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6337</v>
      </c>
    </row>
    <row r="2989" spans="1:13" s="1009" customFormat="1" ht="25.15" hidden="1" customHeight="1">
      <c r="A2989" s="1079">
        <f t="shared" si="169"/>
        <v>0</v>
      </c>
      <c r="B2989" s="2729" t="s">
        <v>1369</v>
      </c>
      <c r="C2989" s="2782">
        <v>3</v>
      </c>
      <c r="D2989" s="2739"/>
      <c r="E2989" s="2740" t="s">
        <v>5517</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6337</v>
      </c>
    </row>
    <row r="2990" spans="1:13" s="1009" customFormat="1" ht="25.15" hidden="1" customHeight="1">
      <c r="A2990" s="1079">
        <f t="shared" si="169"/>
        <v>0</v>
      </c>
      <c r="B2990" s="2730" t="s">
        <v>1455</v>
      </c>
      <c r="C2990" s="2782">
        <v>1</v>
      </c>
      <c r="D2990" s="2739"/>
      <c r="E2990" s="2740" t="s">
        <v>5603</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6337</v>
      </c>
    </row>
    <row r="2991" spans="1:13" s="1009" customFormat="1" ht="25.15" hidden="1" customHeight="1">
      <c r="A2991" s="1079">
        <f t="shared" si="169"/>
        <v>0</v>
      </c>
      <c r="B2991" s="2730" t="s">
        <v>949</v>
      </c>
      <c r="C2991" s="2782">
        <v>0</v>
      </c>
      <c r="D2991" s="2739"/>
      <c r="E2991" s="2740" t="s">
        <v>5600</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6337</v>
      </c>
    </row>
    <row r="2992" spans="1:13" s="1009" customFormat="1" ht="25.15" hidden="1" customHeight="1">
      <c r="A2992" s="1079">
        <f t="shared" si="169"/>
        <v>0</v>
      </c>
      <c r="B2992" s="2730" t="s">
        <v>6338</v>
      </c>
      <c r="C2992" s="2782">
        <v>1</v>
      </c>
      <c r="D2992" s="2739"/>
      <c r="E2992" s="2740" t="s">
        <v>5536</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6337</v>
      </c>
    </row>
    <row r="2993" spans="1:13" s="1009" customFormat="1" ht="25.15"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6337</v>
      </c>
    </row>
    <row r="2994" spans="1:13" s="1009" customFormat="1" ht="25.15"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6337</v>
      </c>
    </row>
    <row r="2995" spans="1:13" s="1009" customFormat="1" ht="25.15"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6337</v>
      </c>
    </row>
    <row r="2996" spans="1:13" s="1009" customFormat="1" ht="25.15" hidden="1" customHeight="1">
      <c r="A2996" s="1079">
        <f t="shared" si="169"/>
        <v>0</v>
      </c>
      <c r="B2996" s="1080"/>
      <c r="C2996" s="2782"/>
      <c r="D2996" s="2735"/>
      <c r="E2996" s="2735"/>
      <c r="F2996" s="2735" t="s">
        <v>3657</v>
      </c>
      <c r="G2996" s="2735"/>
      <c r="H2996" s="2743"/>
      <c r="I2996" s="2737">
        <v>1</v>
      </c>
      <c r="J2996" s="2736"/>
      <c r="K2996" s="2736"/>
      <c r="L2996" s="2738"/>
      <c r="M2996" s="928" t="s">
        <v>6337</v>
      </c>
    </row>
    <row r="2997" spans="1:13" s="1009" customFormat="1" ht="25.15"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6337</v>
      </c>
    </row>
    <row r="2998" spans="1:13" s="1009" customFormat="1" ht="25.15"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6337</v>
      </c>
    </row>
    <row r="2999" spans="1:13" s="1009" customFormat="1" ht="25.15"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6337</v>
      </c>
    </row>
    <row r="3000" spans="1:13" s="1009" customFormat="1" ht="25.15"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6337</v>
      </c>
    </row>
    <row r="3001" spans="1:13" s="1009" customFormat="1" ht="25.15"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6337</v>
      </c>
    </row>
    <row r="3002" spans="1:13" s="1009" customFormat="1" ht="25.15"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6337</v>
      </c>
    </row>
    <row r="3003" spans="1:13" s="1009" customFormat="1" ht="25.15"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6337</v>
      </c>
    </row>
    <row r="3004" spans="1:13" s="1009" customFormat="1" ht="25.15"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6337</v>
      </c>
    </row>
    <row r="3005" spans="1:13" s="1009" customFormat="1" ht="25.15"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6337</v>
      </c>
    </row>
    <row r="3006" spans="1:13" s="1009" customFormat="1" ht="25.15"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6337</v>
      </c>
    </row>
    <row r="3007" spans="1:13" s="1060" customFormat="1" ht="25.15" hidden="1" customHeight="1">
      <c r="A3007" s="2642">
        <f t="shared" si="169"/>
        <v>0</v>
      </c>
      <c r="B3007" s="2643" t="s">
        <v>6355</v>
      </c>
      <c r="C3007" s="2817"/>
      <c r="D3007" s="2762"/>
      <c r="E3007" s="2763"/>
      <c r="F3007" s="2753" t="s">
        <v>3698</v>
      </c>
      <c r="G3007" s="2747" t="s">
        <v>2379</v>
      </c>
      <c r="H3007" s="2748">
        <v>1</v>
      </c>
      <c r="I3007" s="2749">
        <f>H3007</f>
        <v>1</v>
      </c>
      <c r="J3007" s="2760"/>
      <c r="K3007" s="2760"/>
      <c r="L3007" s="2758"/>
      <c r="M3007" s="1026" t="s">
        <v>6337</v>
      </c>
    </row>
    <row r="3008" spans="1:13" s="1009" customFormat="1" ht="25.15" hidden="1" customHeight="1">
      <c r="A3008" s="1079">
        <f t="shared" si="169"/>
        <v>0</v>
      </c>
      <c r="B3008" s="1080" t="s">
        <v>4748</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6337</v>
      </c>
    </row>
    <row r="3009" spans="1:13" s="1009" customFormat="1" ht="25.15" hidden="1" customHeight="1">
      <c r="A3009" s="1079">
        <f t="shared" si="169"/>
        <v>0</v>
      </c>
      <c r="B3009" s="1080" t="s">
        <v>4749</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6337</v>
      </c>
    </row>
    <row r="3010" spans="1:13" s="1009" customFormat="1" ht="25.15" hidden="1" customHeight="1">
      <c r="A3010" s="1079">
        <f t="shared" si="169"/>
        <v>0</v>
      </c>
      <c r="B3010" s="1080" t="s">
        <v>4750</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6337</v>
      </c>
    </row>
    <row r="3011" spans="1:13" s="1009" customFormat="1" ht="25.15" hidden="1" customHeight="1">
      <c r="A3011" s="1079">
        <f t="shared" si="169"/>
        <v>0</v>
      </c>
      <c r="B3011" s="1080" t="s">
        <v>4751</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6337</v>
      </c>
    </row>
    <row r="3012" spans="1:13" s="1009" customFormat="1" ht="25.15" hidden="1" customHeight="1">
      <c r="A3012" s="1079">
        <f t="shared" si="169"/>
        <v>0</v>
      </c>
      <c r="B3012" s="1080" t="s">
        <v>4752</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6337</v>
      </c>
    </row>
    <row r="3013" spans="1:13" s="1009" customFormat="1" ht="25.15" hidden="1" customHeight="1">
      <c r="A3013" s="1079">
        <f t="shared" ref="A3013:A3076" si="181">IF(AND(M3013=$M$23,I3013&gt;0),1,0)</f>
        <v>0</v>
      </c>
      <c r="B3013" s="1080" t="s">
        <v>4753</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6337</v>
      </c>
    </row>
    <row r="3014" spans="1:13" s="1009" customFormat="1" ht="25.15" hidden="1" customHeight="1">
      <c r="A3014" s="1079">
        <f t="shared" si="181"/>
        <v>0</v>
      </c>
      <c r="B3014" s="1080" t="s">
        <v>4754</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6337</v>
      </c>
    </row>
    <row r="3015" spans="1:13" s="1009" customFormat="1" ht="25.15"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6337</v>
      </c>
    </row>
    <row r="3016" spans="1:13" s="1009" customFormat="1" ht="25.15"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6337</v>
      </c>
    </row>
    <row r="3017" spans="1:13" s="1009" customFormat="1" ht="25.15" hidden="1" customHeight="1">
      <c r="A3017" s="1079">
        <f t="shared" si="181"/>
        <v>0</v>
      </c>
      <c r="B3017" s="1080" t="s">
        <v>4756</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6337</v>
      </c>
    </row>
    <row r="3018" spans="1:13" s="1009" customFormat="1" ht="25.15" hidden="1" customHeight="1">
      <c r="A3018" s="1079">
        <f t="shared" si="181"/>
        <v>0</v>
      </c>
      <c r="B3018" s="1080" t="s">
        <v>4755</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6337</v>
      </c>
    </row>
    <row r="3019" spans="1:13" s="1009" customFormat="1" ht="25.15" hidden="1" customHeight="1">
      <c r="A3019" s="1079">
        <f t="shared" si="181"/>
        <v>0</v>
      </c>
      <c r="B3019" s="1080" t="s">
        <v>4757</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6337</v>
      </c>
    </row>
    <row r="3020" spans="1:13" s="1009" customFormat="1" ht="25.15"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6337</v>
      </c>
    </row>
    <row r="3021" spans="1:13" s="1009" customFormat="1" ht="25.15" hidden="1" customHeight="1">
      <c r="A3021" s="1079">
        <f t="shared" si="181"/>
        <v>0</v>
      </c>
      <c r="B3021" s="1080" t="s">
        <v>6318</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6337</v>
      </c>
    </row>
    <row r="3022" spans="1:13" s="1009" customFormat="1" ht="25.15"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6337</v>
      </c>
    </row>
    <row r="3023" spans="1:13" s="1009" customFormat="1" ht="25.15"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6337</v>
      </c>
    </row>
    <row r="3024" spans="1:13" s="1009" customFormat="1" ht="25.15"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6337</v>
      </c>
    </row>
    <row r="3025" spans="1:13" s="1009" customFormat="1" ht="25.15"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6337</v>
      </c>
    </row>
    <row r="3026" spans="1:13" s="1009" customFormat="1" ht="25.15"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6337</v>
      </c>
    </row>
    <row r="3027" spans="1:13" s="1009" customFormat="1" ht="25.15"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6337</v>
      </c>
    </row>
    <row r="3028" spans="1:13" s="1009" customFormat="1" ht="25.15" hidden="1" customHeight="1">
      <c r="A3028" s="1079">
        <f t="shared" si="181"/>
        <v>0</v>
      </c>
      <c r="B3028" s="1080" t="s">
        <v>6320</v>
      </c>
      <c r="C3028" s="2782"/>
      <c r="D3028" s="2744">
        <f>IF(H3028&gt;0,D3020+1,D3020)</f>
        <v>1</v>
      </c>
      <c r="E3028" s="2745"/>
      <c r="F3028" s="2746" t="s">
        <v>6181</v>
      </c>
      <c r="G3028" s="2747" t="s">
        <v>2379</v>
      </c>
      <c r="H3028" s="2748">
        <v>1</v>
      </c>
      <c r="I3028" s="2749">
        <f t="shared" ref="I3028" si="183">H3028</f>
        <v>1</v>
      </c>
      <c r="J3028" s="2759"/>
      <c r="K3028" s="2759"/>
      <c r="L3028" s="2738"/>
      <c r="M3028" s="928" t="s">
        <v>6337</v>
      </c>
    </row>
    <row r="3029" spans="1:13" s="1009" customFormat="1" ht="25.15" hidden="1" customHeight="1">
      <c r="A3029" s="1079">
        <f t="shared" si="181"/>
        <v>0</v>
      </c>
      <c r="B3029" s="1080" t="s">
        <v>6311</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6337</v>
      </c>
    </row>
    <row r="3030" spans="1:13" s="1009" customFormat="1" ht="25.15" hidden="1" customHeight="1">
      <c r="A3030" s="1079">
        <f t="shared" si="181"/>
        <v>0</v>
      </c>
      <c r="B3030" s="1080" t="s">
        <v>6312</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6337</v>
      </c>
    </row>
    <row r="3031" spans="1:13" s="1009" customFormat="1" ht="25.15"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6337</v>
      </c>
    </row>
    <row r="3032" spans="1:13" s="1009" customFormat="1" ht="25.15"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6337</v>
      </c>
    </row>
    <row r="3033" spans="1:13" s="1009" customFormat="1" ht="25.15"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6337</v>
      </c>
    </row>
    <row r="3034" spans="1:13" s="1009" customFormat="1" ht="25.15"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6337</v>
      </c>
    </row>
    <row r="3035" spans="1:13" s="1009" customFormat="1" ht="25.15" hidden="1" customHeight="1">
      <c r="A3035" s="1079">
        <f t="shared" si="181"/>
        <v>0</v>
      </c>
      <c r="B3035" s="1080" t="s">
        <v>1436</v>
      </c>
      <c r="C3035" s="2782">
        <v>1</v>
      </c>
      <c r="D3035" s="2754"/>
      <c r="E3035" s="2755" t="s">
        <v>5338</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6337</v>
      </c>
    </row>
    <row r="3036" spans="1:13" s="1009" customFormat="1" ht="25.15" hidden="1" customHeight="1">
      <c r="A3036" s="1079">
        <f t="shared" si="181"/>
        <v>0</v>
      </c>
      <c r="B3036" s="1080" t="s">
        <v>6339</v>
      </c>
      <c r="C3036" s="2782"/>
      <c r="D3036" s="2744"/>
      <c r="E3036" s="2745"/>
      <c r="F3036" s="2746" t="str">
        <f t="shared" si="184"/>
        <v>Tiếp địa trạm biến áp</v>
      </c>
      <c r="G3036" s="2747" t="str">
        <f t="shared" si="185"/>
        <v>Bộ</v>
      </c>
      <c r="H3036" s="2748">
        <v>1</v>
      </c>
      <c r="I3036" s="2749">
        <v>1</v>
      </c>
      <c r="J3036" s="2759"/>
      <c r="K3036" s="2759"/>
      <c r="L3036" s="2738"/>
      <c r="M3036" s="928" t="s">
        <v>6337</v>
      </c>
    </row>
    <row r="3037" spans="1:13" s="1009" customFormat="1" ht="25.15"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6337</v>
      </c>
    </row>
    <row r="3038" spans="1:13" s="1009" customFormat="1" ht="25.15"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6337</v>
      </c>
    </row>
    <row r="3039" spans="1:13" s="1009" customFormat="1" ht="25.15"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6337</v>
      </c>
    </row>
    <row r="3040" spans="1:13" s="1009" customFormat="1" ht="25.15"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6337</v>
      </c>
    </row>
    <row r="3041" spans="1:13" s="1009" customFormat="1" ht="25.15"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6337</v>
      </c>
    </row>
    <row r="3042" spans="1:13" s="1009" customFormat="1" ht="25.15"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6337</v>
      </c>
    </row>
    <row r="3043" spans="1:13" s="1009" customFormat="1" ht="25.15"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6337</v>
      </c>
    </row>
    <row r="3044" spans="1:13" s="1009" customFormat="1" ht="25.15"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6337</v>
      </c>
    </row>
    <row r="3045" spans="1:13" s="1009" customFormat="1" ht="25.15" hidden="1" customHeight="1">
      <c r="A3045" s="1079">
        <f t="shared" si="181"/>
        <v>0</v>
      </c>
      <c r="B3045" s="1080" t="s">
        <v>791</v>
      </c>
      <c r="C3045" s="2782"/>
      <c r="D3045" s="2757"/>
      <c r="E3045" s="2755" t="s">
        <v>5253</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6337</v>
      </c>
    </row>
    <row r="3046" spans="1:13" s="1009" customFormat="1" ht="25.15" hidden="1" customHeight="1">
      <c r="A3046" s="1079">
        <f t="shared" si="181"/>
        <v>0</v>
      </c>
      <c r="B3046" s="1080" t="s">
        <v>795</v>
      </c>
      <c r="C3046" s="2782"/>
      <c r="D3046" s="2757"/>
      <c r="E3046" s="2755" t="s">
        <v>5242</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6337</v>
      </c>
    </row>
    <row r="3047" spans="1:13" s="1009" customFormat="1" ht="25.15" hidden="1" customHeight="1">
      <c r="A3047" s="1079">
        <f t="shared" si="181"/>
        <v>0</v>
      </c>
      <c r="B3047" s="1080" t="s">
        <v>899</v>
      </c>
      <c r="C3047" s="2820">
        <f>C3038</f>
        <v>10</v>
      </c>
      <c r="D3047" s="2757"/>
      <c r="E3047" s="2755" t="s">
        <v>5268</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6337</v>
      </c>
    </row>
    <row r="3048" spans="1:13" s="1009" customFormat="1" ht="25.15" hidden="1" customHeight="1">
      <c r="A3048" s="1079">
        <f t="shared" si="181"/>
        <v>0</v>
      </c>
      <c r="B3048" s="1080" t="s">
        <v>6182</v>
      </c>
      <c r="C3048" s="2819">
        <v>54</v>
      </c>
      <c r="D3048" s="2754"/>
      <c r="E3048" s="2755" t="s">
        <v>5262</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6337</v>
      </c>
    </row>
    <row r="3049" spans="1:13" s="1009" customFormat="1" ht="25.15" hidden="1" customHeight="1">
      <c r="A3049" s="1079">
        <f t="shared" si="181"/>
        <v>0</v>
      </c>
      <c r="B3049" s="1080" t="s">
        <v>6341</v>
      </c>
      <c r="C3049" s="2782"/>
      <c r="D3049" s="2744"/>
      <c r="E3049" s="2745"/>
      <c r="F3049" s="2746" t="str">
        <f t="shared" si="184"/>
        <v>Móng bê tông M200 nền tủ bù</v>
      </c>
      <c r="G3049" s="2747" t="str">
        <f t="shared" si="185"/>
        <v>Móng</v>
      </c>
      <c r="H3049" s="2748">
        <v>1</v>
      </c>
      <c r="I3049" s="2749">
        <v>1</v>
      </c>
      <c r="J3049" s="2759"/>
      <c r="K3049" s="2759"/>
      <c r="L3049" s="2738"/>
      <c r="M3049" s="928" t="s">
        <v>6337</v>
      </c>
    </row>
    <row r="3050" spans="1:13" s="1009" customFormat="1" ht="25.15"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6337</v>
      </c>
    </row>
    <row r="3051" spans="1:13" s="1009" customFormat="1" ht="25.15"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6337</v>
      </c>
    </row>
    <row r="3052" spans="1:13" s="1009" customFormat="1" ht="25.15"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6337</v>
      </c>
    </row>
    <row r="3053" spans="1:13" s="1009" customFormat="1" ht="25.15"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6337</v>
      </c>
    </row>
    <row r="3054" spans="1:13" s="1009" customFormat="1" ht="25.15"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6337</v>
      </c>
    </row>
    <row r="3055" spans="1:13" s="1009" customFormat="1" ht="25.15" hidden="1" customHeight="1">
      <c r="A3055" s="1079">
        <f t="shared" si="181"/>
        <v>0</v>
      </c>
      <c r="B3055" s="1080" t="s">
        <v>6343</v>
      </c>
      <c r="C3055" s="2782"/>
      <c r="D3055" s="2744"/>
      <c r="E3055" s="2745"/>
      <c r="F3055" s="2746" t="str">
        <f t="shared" si="184"/>
        <v>Tủ MCCB trạm 3 pha</v>
      </c>
      <c r="G3055" s="2747" t="str">
        <f t="shared" si="185"/>
        <v>bộ</v>
      </c>
      <c r="H3055" s="2748">
        <v>1</v>
      </c>
      <c r="I3055" s="2749">
        <v>1</v>
      </c>
      <c r="J3055" s="2759"/>
      <c r="K3055" s="2759"/>
      <c r="L3055" s="2738"/>
      <c r="M3055" s="928" t="s">
        <v>6337</v>
      </c>
    </row>
    <row r="3056" spans="1:13" s="1009" customFormat="1" ht="25.15"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6337</v>
      </c>
    </row>
    <row r="3057" spans="1:13" s="1009" customFormat="1" ht="25.15" hidden="1" customHeight="1">
      <c r="A3057" s="1079">
        <f t="shared" si="181"/>
        <v>0</v>
      </c>
      <c r="B3057" s="2733" t="s">
        <v>4762</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6337</v>
      </c>
    </row>
    <row r="3058" spans="1:13" s="1009" customFormat="1" ht="25.15"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6337</v>
      </c>
    </row>
    <row r="3059" spans="1:13" s="1009" customFormat="1" ht="25.15"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6337</v>
      </c>
    </row>
    <row r="3060" spans="1:13" s="1009" customFormat="1" ht="25.15" hidden="1" customHeight="1">
      <c r="A3060" s="1079">
        <f t="shared" si="181"/>
        <v>0</v>
      </c>
      <c r="B3060" s="1080" t="s">
        <v>6345</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6337</v>
      </c>
    </row>
    <row r="3061" spans="1:13" s="1009" customFormat="1" ht="25.15"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6337</v>
      </c>
    </row>
    <row r="3062" spans="1:13" s="1009" customFormat="1" ht="25.15" hidden="1" customHeight="1">
      <c r="A3062" s="1079">
        <f t="shared" si="181"/>
        <v>0</v>
      </c>
      <c r="B3062" s="1080" t="s">
        <v>6346</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6337</v>
      </c>
    </row>
    <row r="3063" spans="1:13" s="1009" customFormat="1" ht="25.15" hidden="1" customHeight="1">
      <c r="A3063" s="1079">
        <f t="shared" si="181"/>
        <v>0</v>
      </c>
      <c r="B3063" s="1080" t="s">
        <v>6347</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6337</v>
      </c>
    </row>
    <row r="3064" spans="1:13" s="1009" customFormat="1" ht="25.15"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6337</v>
      </c>
    </row>
    <row r="3065" spans="1:13" s="1009" customFormat="1" ht="25.15"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6337</v>
      </c>
    </row>
    <row r="3066" spans="1:13" s="1009" customFormat="1" ht="25.15"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6337</v>
      </c>
    </row>
    <row r="3067" spans="1:13" s="1009" customFormat="1" ht="25.15"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6337</v>
      </c>
    </row>
    <row r="3068" spans="1:13" s="1009" customFormat="1" ht="25.15"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6337</v>
      </c>
    </row>
    <row r="3069" spans="1:13" s="1009" customFormat="1" ht="25.15"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6337</v>
      </c>
    </row>
    <row r="3070" spans="1:13" s="1009" customFormat="1" ht="25.15" hidden="1" customHeight="1">
      <c r="A3070" s="1079">
        <f t="shared" si="181"/>
        <v>0</v>
      </c>
      <c r="B3070" s="1080" t="s">
        <v>5062</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6337</v>
      </c>
    </row>
    <row r="3071" spans="1:13" s="1009" customFormat="1" ht="25.15"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6337</v>
      </c>
    </row>
    <row r="3072" spans="1:13" s="1009" customFormat="1" ht="25.15"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6337</v>
      </c>
    </row>
    <row r="3073" spans="1:13" s="1009" customFormat="1" ht="25.15" hidden="1" customHeight="1">
      <c r="A3073" s="1079">
        <f t="shared" si="181"/>
        <v>0</v>
      </c>
      <c r="B3073" s="1080" t="s">
        <v>6349</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6337</v>
      </c>
    </row>
    <row r="3074" spans="1:13" s="1009" customFormat="1" ht="25.15"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6337</v>
      </c>
    </row>
    <row r="3075" spans="1:13" s="1009" customFormat="1" ht="25.15"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6337</v>
      </c>
    </row>
    <row r="3076" spans="1:13" s="1009" customFormat="1" ht="25.15"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6337</v>
      </c>
    </row>
    <row r="3077" spans="1:13" s="1009" customFormat="1" ht="25.15"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6337</v>
      </c>
    </row>
    <row r="3078" spans="1:13" s="1009" customFormat="1" ht="25.15"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6337</v>
      </c>
    </row>
    <row r="3079" spans="1:13" s="1009" customFormat="1" ht="25.15"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6337</v>
      </c>
    </row>
    <row r="3080" spans="1:13" s="1009" customFormat="1" ht="25.15"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6337</v>
      </c>
    </row>
    <row r="3081" spans="1:13" s="1009" customFormat="1" ht="25.15"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6337</v>
      </c>
    </row>
    <row r="3082" spans="1:13" s="1009" customFormat="1" ht="25.15" hidden="1" customHeight="1">
      <c r="A3082" s="1079">
        <f t="shared" si="198"/>
        <v>0</v>
      </c>
      <c r="B3082" s="1080" t="s">
        <v>6350</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6337</v>
      </c>
    </row>
    <row r="3083" spans="1:13" s="1009" customFormat="1" ht="25.15"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6337</v>
      </c>
    </row>
    <row r="3084" spans="1:13" s="1009" customFormat="1" ht="25.15" hidden="1" customHeight="1">
      <c r="A3084" s="1079">
        <f t="shared" si="198"/>
        <v>0</v>
      </c>
      <c r="B3084" s="1080" t="s">
        <v>6351</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6337</v>
      </c>
    </row>
    <row r="3085" spans="1:13" s="1009" customFormat="1" ht="25.15"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6337</v>
      </c>
    </row>
    <row r="3086" spans="1:13" s="1009" customFormat="1" ht="25.15"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6337</v>
      </c>
    </row>
    <row r="3087" spans="1:13" s="1009" customFormat="1" ht="25.15" hidden="1" customHeight="1">
      <c r="A3087" s="1079">
        <f t="shared" si="198"/>
        <v>0</v>
      </c>
      <c r="B3087" s="1080" t="s">
        <v>6351</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6337</v>
      </c>
    </row>
    <row r="3088" spans="1:13" s="1009" customFormat="1" ht="25.15"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6337</v>
      </c>
    </row>
    <row r="3089" spans="1:13" s="1009" customFormat="1" ht="25.15"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6337</v>
      </c>
    </row>
    <row r="3090" spans="1:13" s="1009" customFormat="1" ht="25.15"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6337</v>
      </c>
    </row>
    <row r="3091" spans="1:13" s="1009" customFormat="1" ht="25.15" hidden="1" customHeight="1">
      <c r="A3091" s="1079">
        <f t="shared" si="198"/>
        <v>0</v>
      </c>
      <c r="B3091" s="1080" t="s">
        <v>4686</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6337</v>
      </c>
    </row>
    <row r="3092" spans="1:13" s="1009" customFormat="1" ht="25.15"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6337</v>
      </c>
    </row>
    <row r="3093" spans="1:13" s="1009" customFormat="1" ht="25.15" hidden="1" customHeight="1">
      <c r="A3093" s="1079">
        <f t="shared" si="198"/>
        <v>0</v>
      </c>
      <c r="B3093" s="1080" t="s">
        <v>6352</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6337</v>
      </c>
    </row>
    <row r="3094" spans="1:13" s="1009" customFormat="1" ht="25.15"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6337</v>
      </c>
    </row>
    <row r="3095" spans="1:13" s="1009" customFormat="1" ht="25.15" hidden="1" customHeight="1">
      <c r="A3095" s="1079">
        <f t="shared" si="198"/>
        <v>0</v>
      </c>
      <c r="B3095" s="1080" t="s">
        <v>6353</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6337</v>
      </c>
    </row>
    <row r="3096" spans="1:13" s="1009" customFormat="1" ht="25.15"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6337</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2" priority="17"/>
  </conditionalFormatting>
  <conditionalFormatting sqref="B1320:C1320">
    <cfRule type="duplicateValues" dxfId="171" priority="16"/>
  </conditionalFormatting>
  <conditionalFormatting sqref="B1321:C1321">
    <cfRule type="duplicateValues" dxfId="170" priority="15"/>
  </conditionalFormatting>
  <conditionalFormatting sqref="B1321:C1321">
    <cfRule type="duplicateValues" dxfId="169" priority="14"/>
  </conditionalFormatting>
  <conditionalFormatting sqref="B1367:C1367">
    <cfRule type="duplicateValues" dxfId="168" priority="13"/>
  </conditionalFormatting>
  <conditionalFormatting sqref="B1367:C1367">
    <cfRule type="duplicateValues" dxfId="167" priority="12"/>
  </conditionalFormatting>
  <conditionalFormatting sqref="B1401:C1401">
    <cfRule type="duplicateValues" dxfId="166" priority="11"/>
  </conditionalFormatting>
  <conditionalFormatting sqref="B1401:C1401">
    <cfRule type="duplicateValues" dxfId="165" priority="10"/>
  </conditionalFormatting>
  <conditionalFormatting sqref="B1364:C1364">
    <cfRule type="duplicateValues" dxfId="164" priority="9"/>
  </conditionalFormatting>
  <conditionalFormatting sqref="B1364:C1364">
    <cfRule type="duplicateValues" dxfId="163" priority="8"/>
  </conditionalFormatting>
  <conditionalFormatting sqref="B1365:C1365">
    <cfRule type="duplicateValues" dxfId="162" priority="7"/>
  </conditionalFormatting>
  <conditionalFormatting sqref="B1365:C1365">
    <cfRule type="duplicateValues" dxfId="161" priority="6"/>
  </conditionalFormatting>
  <conditionalFormatting sqref="B1363:C1363">
    <cfRule type="duplicateValues" dxfId="160" priority="5"/>
  </conditionalFormatting>
  <conditionalFormatting sqref="B1363:C1363">
    <cfRule type="duplicateValues" dxfId="159" priority="4"/>
  </conditionalFormatting>
  <conditionalFormatting sqref="B3057">
    <cfRule type="duplicateValues" dxfId="158" priority="3"/>
  </conditionalFormatting>
  <printOptions horizontalCentered="1"/>
  <pageMargins left="0.23622047244094499" right="0.23622047244094499" top="0.5699999999999999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88671875" defaultRowHeight="12.75" outlineLevelRow="1" outlineLevelCol="1"/>
  <cols>
    <col min="1" max="1" width="8.21875" style="1441" customWidth="1"/>
    <col min="2" max="2" width="9.44140625" style="1440" customWidth="1"/>
    <col min="3" max="3" width="4.5546875" style="1658" customWidth="1"/>
    <col min="4" max="4" width="8.33203125" style="1397" customWidth="1"/>
    <col min="5" max="5" width="9.77734375" style="58" customWidth="1"/>
    <col min="6" max="6" width="48.33203125" style="949" customWidth="1"/>
    <col min="7" max="7" width="11.21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88671875" style="53" customWidth="1"/>
    <col min="20" max="20" width="11.44140625" style="1818" customWidth="1"/>
    <col min="21" max="16384" width="8.8867187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8" t="s">
        <v>4729</v>
      </c>
      <c r="F6" s="3208"/>
      <c r="G6" s="3208"/>
      <c r="H6" s="3208"/>
      <c r="I6" s="3208"/>
      <c r="J6" s="3208"/>
      <c r="K6" s="3208"/>
      <c r="L6" s="3208"/>
      <c r="M6" s="3208"/>
      <c r="N6" s="3208"/>
      <c r="O6" s="3208"/>
      <c r="P6" s="3208"/>
      <c r="Q6" s="3208"/>
      <c r="R6" s="3208"/>
      <c r="S6" s="3208"/>
    </row>
    <row r="7" spans="1:20" ht="21.75" customHeight="1">
      <c r="D7" s="1399"/>
      <c r="E7" s="3209" t="str">
        <f>CT_tram!D20</f>
        <v>Công trình: Xây dựng mới TBA 3 pha 1000 kVA - 22/0,4kV Công ty Cổ phần ADE Garnet</v>
      </c>
      <c r="F7" s="3209"/>
      <c r="G7" s="3209"/>
      <c r="H7" s="3209"/>
      <c r="I7" s="3209"/>
      <c r="J7" s="3209"/>
      <c r="K7" s="3209"/>
      <c r="L7" s="3209"/>
      <c r="M7" s="3209"/>
      <c r="N7" s="3209"/>
      <c r="O7" s="3209"/>
      <c r="P7" s="3209"/>
      <c r="Q7" s="3209"/>
      <c r="R7" s="3209"/>
      <c r="S7" s="3209"/>
    </row>
    <row r="8" spans="1:20" ht="18.75" customHeight="1">
      <c r="D8" s="1398"/>
      <c r="E8" s="3210" t="str">
        <f>CT_tram!D21</f>
        <v>Địa điểm: Xã Xuân Thành - Huyện Xuân Lộc - Tỉnh Đồng Nai</v>
      </c>
      <c r="F8" s="3210"/>
      <c r="G8" s="3210"/>
      <c r="H8" s="3210"/>
      <c r="I8" s="3210"/>
      <c r="J8" s="3210"/>
      <c r="K8" s="3210"/>
      <c r="L8" s="3210"/>
      <c r="M8" s="3210"/>
      <c r="N8" s="3210"/>
      <c r="O8" s="3210"/>
      <c r="P8" s="3210"/>
      <c r="Q8" s="3210"/>
      <c r="R8" s="3210"/>
      <c r="S8" s="3210"/>
    </row>
    <row r="9" spans="1:20" ht="21" customHeight="1">
      <c r="B9" s="1442" t="s">
        <v>2278</v>
      </c>
      <c r="C9" s="967" t="s">
        <v>510</v>
      </c>
      <c r="D9" s="1400" t="s">
        <v>4221</v>
      </c>
      <c r="E9" s="3206" t="s">
        <v>1704</v>
      </c>
      <c r="F9" s="3206" t="s">
        <v>2275</v>
      </c>
      <c r="G9" s="3206" t="s">
        <v>2585</v>
      </c>
      <c r="H9" s="1736" t="s">
        <v>4220</v>
      </c>
      <c r="I9" s="1639"/>
      <c r="J9" s="1639"/>
      <c r="K9" s="1639"/>
      <c r="L9" s="1639"/>
      <c r="M9" s="1639"/>
      <c r="N9" s="1639"/>
      <c r="O9" s="1639"/>
      <c r="P9" s="889"/>
      <c r="Q9" s="2625"/>
      <c r="R9" s="890"/>
      <c r="S9" s="3204" t="s">
        <v>2591</v>
      </c>
    </row>
    <row r="10" spans="1:20" ht="23.25" customHeight="1">
      <c r="B10" s="1443"/>
      <c r="C10" s="967" t="s">
        <v>510</v>
      </c>
      <c r="D10" s="1401" t="s">
        <v>4222</v>
      </c>
      <c r="E10" s="3207"/>
      <c r="F10" s="3207"/>
      <c r="G10" s="3207"/>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5"/>
      <c r="T10" s="1820" t="s">
        <v>4106</v>
      </c>
    </row>
    <row r="11" spans="1:20" ht="22.15"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15"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15"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15"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15"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15"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15"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15"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15"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15"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15"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15"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15"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15"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15"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15"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15"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15"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15"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15"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15"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15"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15"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15"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15"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15"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15"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15"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15"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15"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15"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15"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15"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15"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15"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15"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15"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15"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15"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15"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15"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15"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15"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15"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15"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15"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15"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15"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15"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15"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15"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15"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15"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15"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15"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15"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15"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15"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15"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15"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15"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15"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15"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15"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15"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15"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15"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15"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15"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15"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15"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15"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15"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15"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15"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15"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15"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15"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15"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15"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15"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15"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15"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15"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15"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15"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15"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15"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15"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15"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15"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15"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15"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15"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15"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15"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15"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15"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15"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15"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15"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15"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15"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15"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15"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15"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15"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15"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15"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15"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15"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15"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15"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15"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15"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15"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15"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15"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15"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15"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15"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15"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15"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15"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15"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15"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15"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15"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15"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15"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15"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15"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15"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15"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15"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15"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15"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15"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15"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15"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15"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15"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15"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15"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15"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15"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15"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15"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15"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15"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15"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15"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15"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15"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15"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15"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15"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15"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15"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15"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15"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15"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15"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15"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15"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15"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15"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15"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15"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15"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15"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15"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15"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15"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15"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15"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15"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15"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15"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15"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15"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15"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15"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15"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15"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15"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15"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15"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15"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15"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15"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15"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15"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15"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15"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15"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15"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15"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15"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15"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15"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15"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15"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15"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15"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15"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15"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15"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15"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15"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15"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15"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15"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15"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15"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15"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15"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15"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15"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15"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15"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15"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15"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15"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15"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15"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15"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15"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15"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15"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15"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15"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15"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15"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15" hidden="1"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15" hidden="1"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15"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15"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15"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15"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15"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15"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15"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15"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15"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15"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15"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15"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15"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15"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15"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15"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15"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15"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15"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15"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15"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15"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15"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15"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15"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15"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15"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15"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15"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15"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15"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15"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15"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15"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15"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15"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15"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15"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15"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15"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15"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15"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15"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15"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15"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15"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15"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15"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15"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15"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15"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15"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15"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15"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15"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15"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15"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15"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15"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15"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15"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15"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15"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15"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15"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15"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15"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15"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15"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15"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15"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15"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15"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15"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15"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15"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15"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15"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15"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15"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15"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15"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15"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15"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15"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15"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15"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15"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15"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15"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15"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15"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15"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15"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15"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15"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15"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15"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15"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15"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15"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15"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15"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15"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15"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15"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15"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15"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15"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15"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15" hidden="1"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15" hidden="1"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15" hidden="1"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15" hidden="1" customHeight="1">
      <c r="A360" s="1441">
        <f>COUNTIF($C$12:C360,"x")</f>
        <v>8</v>
      </c>
      <c r="B360" s="1446" t="s">
        <v>4841</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15"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15" hidden="1" customHeight="1">
      <c r="A362" s="1441">
        <f>COUNTIF($C$12:C362,"x")</f>
        <v>8</v>
      </c>
      <c r="B362" s="1446" t="s">
        <v>4560</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15" hidden="1" customHeight="1">
      <c r="A363" s="1441">
        <f>COUNTIF($C$12:C363,"x")</f>
        <v>8</v>
      </c>
      <c r="B363" s="1446" t="s">
        <v>4562</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15" hidden="1" customHeight="1">
      <c r="A364" s="1441">
        <f>COUNTIF($C$12:C364,"x")</f>
        <v>8</v>
      </c>
      <c r="B364" s="1446" t="s">
        <v>4564</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15" hidden="1" customHeight="1">
      <c r="A365" s="1441">
        <f>COUNTIF($C$12:C365,"x")</f>
        <v>8</v>
      </c>
      <c r="B365" s="1444" t="s">
        <v>4570</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15" hidden="1" customHeight="1">
      <c r="A366" s="1441">
        <f>COUNTIF($C$12:C366,"x")</f>
        <v>8</v>
      </c>
      <c r="B366" s="1446" t="s">
        <v>4742</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15" hidden="1" customHeight="1">
      <c r="A367" s="1441">
        <f>COUNTIF($C$12:C367,"x")</f>
        <v>9</v>
      </c>
      <c r="B367" s="1446" t="s">
        <v>6006</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15" hidden="1" customHeight="1">
      <c r="A368" s="1441">
        <f>COUNTIF($C$12:C368,"x")</f>
        <v>10</v>
      </c>
      <c r="B368" s="1446" t="s">
        <v>4755</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15" hidden="1"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15" hidden="1"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15"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15"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15"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15"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15" hidden="1"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15"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15"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15"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15"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15"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15"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15"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15"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15"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15"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15"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15"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15"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15"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15"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15"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15"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15"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15"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15"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15"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15"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15"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15"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15"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15"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15"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15"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15"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15"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15"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15"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15"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15"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15"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15"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15"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15"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15"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15"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15"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15"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15"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15"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15"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15"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15"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15"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15"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15"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15"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15"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15"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15"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15"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15"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15"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15"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15"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15"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15"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15"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15"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15"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15"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15"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15"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15"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15"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15"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15"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15"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15" hidden="1" customHeight="1">
      <c r="A448" s="1441">
        <f>COUNTIF($C$12:C448,"x")</f>
        <v>13</v>
      </c>
      <c r="B448" s="1445" t="s">
        <v>6403</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15"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15"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15"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15"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15"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15"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15"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15"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15"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15"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15"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15"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15"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15"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15"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15"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15"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15"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15"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15"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15"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15"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15"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15"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15"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15"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15"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15"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15"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15"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15"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15"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15"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15"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15"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15"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15"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15"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15"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15"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15"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15"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15"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15"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15"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15"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15"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15"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15"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15"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15"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15"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15"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15"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15"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15"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15"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15"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15"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15"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15"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15"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15"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15"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15"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15"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15"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15"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15"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15"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15"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15"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15"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15"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15"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15"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15"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15"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15"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15"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15"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15"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15"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15"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15"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15"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15"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15"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15"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15"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15"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15"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15"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15"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15"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15"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15"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15"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15"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15"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15"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15"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15"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15"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15"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15"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15"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15"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15"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15"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15"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15"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15"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15"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15"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15"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15"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15"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15"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15"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15"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15"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15"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15"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15"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15"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15"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15"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15"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15"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15"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15"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15"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15"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15"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15"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15"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15"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15"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15"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15"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15"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15"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15"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15"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15"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15"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15"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15"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15"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15"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15"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15"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15"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15"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15"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15"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15"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15"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15"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15"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15"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15"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15"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15"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15"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15"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15"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15"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15"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15"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15"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15"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15"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15"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15"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15"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15"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15"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15"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15"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15"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15"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15"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15"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15"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15"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15"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15"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15"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15"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15"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15" hidden="1"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15" hidden="1"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15" hidden="1"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15"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15"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15" hidden="1"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15" hidden="1"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15" hidden="1"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15"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15"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15"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15" hidden="1" customHeight="1">
      <c r="A652" s="1441">
        <f>COUNTIF($C$12:C652,"x")</f>
        <v>20</v>
      </c>
      <c r="B652" s="1445" t="s">
        <v>4735</v>
      </c>
      <c r="C652" s="60" t="str">
        <f t="shared" ref="C652:C662" si="116">IF(OR(P652&lt;&gt;0,H652&lt;&gt;0),"x"," ")</f>
        <v xml:space="preserve"> </v>
      </c>
      <c r="D652" s="1417"/>
      <c r="E652" s="974"/>
      <c r="F652" s="1269" t="s">
        <v>4733</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15"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15"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15" hidden="1" customHeight="1">
      <c r="A655" s="1441">
        <f>COUNTIF($C$12:C655,"x")</f>
        <v>20</v>
      </c>
      <c r="B655" s="1448" t="s">
        <v>4734</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15"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15"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15"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15"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15"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15"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15"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15" customHeight="1">
      <c r="A663" s="1441">
        <f>COUNTIF($C$12:C663,"x")</f>
        <v>21</v>
      </c>
      <c r="B663" s="1445" t="s">
        <v>6417</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15" hidden="1"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15" hidden="1"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15" hidden="1" customHeight="1">
      <c r="A666" s="1441">
        <f>COUNTIF($C$12:C666,"x")</f>
        <v>24</v>
      </c>
      <c r="B666" s="1448" t="s">
        <v>6418</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15" hidden="1"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15"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15"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15"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15" hidden="1"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15" hidden="1"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15"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15"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15"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15"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15"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15"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15"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15"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15"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15"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15"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15"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15"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15"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15"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15"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15"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15"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15"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15"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15"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15"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15"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15"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15"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15"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15"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15"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15"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15"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15"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15"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15"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15"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15"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15"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15"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15"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15"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15"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15"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15"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15"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15"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15"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15"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15"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15"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15"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15"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15"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15"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15"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15"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15"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15"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15"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15"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15"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15"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15"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15"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15"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15"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15"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15"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15"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15"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15"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15"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15"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15"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15"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15"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15"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15"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15"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15"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15"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15"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15"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15"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15"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15"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15"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15"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15"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15"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15"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15"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15"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15"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15"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15"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15"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15"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15"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15"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15"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15"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15" hidden="1"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15"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15" hidden="1"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15"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15"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15"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15"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15"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15"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15"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15"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15"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15"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15"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15"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15"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15"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15"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15"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15"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15"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15"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15"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15"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15"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15"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15" hidden="1" customHeight="1">
      <c r="A799" s="1441">
        <f>COUNTIF($C$12:C799,"x")</f>
        <v>31</v>
      </c>
      <c r="B799" s="1448" t="s">
        <v>4614</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15" hidden="1" customHeight="1">
      <c r="A800" s="1441">
        <f>COUNTIF($C$12:C800,"x")</f>
        <v>31</v>
      </c>
      <c r="B800" s="1448" t="s">
        <v>4610</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15"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15"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15"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15"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15"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15"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15"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15"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15"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15"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15"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15"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15"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15"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15"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15"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15"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15"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15"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15"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15"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15"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15"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15"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15"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15"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15"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15" hidden="1" customHeight="1">
      <c r="A828" s="1441">
        <f>COUNTIF($C$12:C828,"x")</f>
        <v>31</v>
      </c>
      <c r="B828" s="1448" t="s">
        <v>4737</v>
      </c>
      <c r="C828" s="964" t="str">
        <f t="shared" si="153"/>
        <v xml:space="preserve"> </v>
      </c>
      <c r="D828" s="1407">
        <f>9.02*2.2*2</f>
        <v>39.688000000000002</v>
      </c>
      <c r="E828" s="973"/>
      <c r="F828" s="985" t="str">
        <f>VLOOKUP($B828,DG!A:D,DG!$C$2,)</f>
        <v>Sắt góc L75 x75 x8-2.200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15"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15"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15"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15"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15"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15"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15"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15"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15"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15"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15"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15"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15"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15"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15"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15"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15"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15"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15"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15"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15"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15"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15"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15"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15"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15"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15"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15"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15"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15"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15"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15"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15"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15"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15"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15" hidden="1" customHeight="1">
      <c r="A864" s="1441">
        <f>COUNTIF($C$12:C864,"x")</f>
        <v>33</v>
      </c>
      <c r="B864" s="1444" t="s">
        <v>4738</v>
      </c>
      <c r="C864" s="1659" t="str">
        <f t="shared" si="166"/>
        <v>x</v>
      </c>
      <c r="D864" s="1408">
        <v>2</v>
      </c>
      <c r="E864" s="973"/>
      <c r="F864" s="985" t="str">
        <f>VLOOKUP($B864,DG!A:D,DG!$C$2,)</f>
        <v>Sắt góc L75 x75 x8 x</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15" hidden="1" customHeight="1">
      <c r="A865" s="1441">
        <f>COUNTIF($C$12:C865,"x")</f>
        <v>34</v>
      </c>
      <c r="B865" s="1444" t="s">
        <v>4846</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15"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15" hidden="1"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15" hidden="1"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15" hidden="1"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15"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15"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15"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15"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15"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15" hidden="1" customHeight="1">
      <c r="A875" s="1441">
        <f>COUNTIF($C$12:C875,"x")</f>
        <v>39</v>
      </c>
      <c r="B875" s="1444" t="s">
        <v>4738</v>
      </c>
      <c r="C875" s="964" t="str">
        <f t="shared" ref="C875:C949" si="171">IF(OR(P875&lt;&gt;0,H875&lt;&gt;0),"x"," ")</f>
        <v>x</v>
      </c>
      <c r="D875" s="1407">
        <v>2</v>
      </c>
      <c r="E875" s="973"/>
      <c r="F875" s="985" t="str">
        <f>VLOOKUP($B875,DG!A:D,DG!$C$2,)</f>
        <v>Sắt góc L75 x75 x8 x</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15" hidden="1" customHeight="1">
      <c r="A876" s="1441">
        <f>COUNTIF($C$12:C876,"x")</f>
        <v>40</v>
      </c>
      <c r="B876" s="1444" t="s">
        <v>4846</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15" hidden="1"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15" hidden="1"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15" hidden="1"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15" hidden="1"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15" hidden="1"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15"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15"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15"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15"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15"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15" hidden="1" customHeight="1">
      <c r="A887" s="1441">
        <f>COUNTIF($C$12:C887,"x")</f>
        <v>45</v>
      </c>
      <c r="B887" s="1445" t="s">
        <v>4730</v>
      </c>
      <c r="C887" s="964" t="str">
        <f t="shared" si="171"/>
        <v xml:space="preserve"> </v>
      </c>
      <c r="D887" s="1405"/>
      <c r="E887" s="974"/>
      <c r="F887" s="1269" t="s">
        <v>4732</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15" hidden="1" customHeight="1">
      <c r="A888" s="1441">
        <f>COUNTIF($C$12:C888,"x")</f>
        <v>45</v>
      </c>
      <c r="B888" s="1448" t="s">
        <v>4738</v>
      </c>
      <c r="C888" s="964" t="str">
        <f t="shared" si="171"/>
        <v xml:space="preserve"> </v>
      </c>
      <c r="D888" s="1407">
        <v>1</v>
      </c>
      <c r="E888" s="973"/>
      <c r="F888" s="985" t="str">
        <f>VLOOKUP($B888,DG!A:D,DG!$C$2,)</f>
        <v>Sắt góc L75 x75 x8 x</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15" hidden="1" customHeight="1">
      <c r="A889" s="1441">
        <f>COUNTIF($C$12:C889,"x")</f>
        <v>45</v>
      </c>
      <c r="B889" s="1448" t="s">
        <v>4739</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15"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15"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15"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15"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15"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15"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15"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15"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15" hidden="1" customHeight="1">
      <c r="A898" s="1441">
        <f>COUNTIF($C$12:C898,"x")</f>
        <v>45</v>
      </c>
      <c r="B898" s="1445" t="s">
        <v>4731</v>
      </c>
      <c r="C898" s="964" t="str">
        <f t="shared" ref="C898:C908" si="183">IF(OR(P898&lt;&gt;0,H898&lt;&gt;0),"x"," ")</f>
        <v xml:space="preserve"> </v>
      </c>
      <c r="D898" s="1405"/>
      <c r="E898" s="974"/>
      <c r="F898" s="1269" t="s">
        <v>4736</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15" hidden="1" customHeight="1">
      <c r="A899" s="1441">
        <f>COUNTIF($C$12:C899,"x")</f>
        <v>45</v>
      </c>
      <c r="B899" s="1448" t="s">
        <v>4738</v>
      </c>
      <c r="C899" s="964" t="str">
        <f t="shared" si="183"/>
        <v xml:space="preserve"> </v>
      </c>
      <c r="D899" s="1407">
        <v>2</v>
      </c>
      <c r="E899" s="973"/>
      <c r="F899" s="985" t="str">
        <f>VLOOKUP($B899,DG!A:D,DG!$C$2,)</f>
        <v>Sắt góc L75 x75 x8 x</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15" hidden="1" customHeight="1">
      <c r="A900" s="1441">
        <f>COUNTIF($C$12:C900,"x")</f>
        <v>45</v>
      </c>
      <c r="B900" s="1448" t="s">
        <v>4739</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15"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15"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15"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15"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15"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15"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15"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15"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15"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15"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15"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15"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15"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15"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15"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15"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15"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15"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15" hidden="1" customHeight="1">
      <c r="A919" s="1441">
        <f>COUNTIF($C$12:C919,"x")</f>
        <v>45</v>
      </c>
      <c r="B919" s="1448" t="s">
        <v>6332</v>
      </c>
      <c r="C919" s="964" t="str">
        <f t="shared" si="171"/>
        <v xml:space="preserve"> </v>
      </c>
      <c r="D919" s="1407">
        <v>2</v>
      </c>
      <c r="E919" s="973"/>
      <c r="F919" s="985" t="str">
        <f>VLOOKUP($B919,DG!A:D,DG!$C$2,)</f>
        <v>Sắt góc L75 x75 x8 x</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15" hidden="1" customHeight="1">
      <c r="A920" s="1441">
        <f>COUNTIF($C$12:C920,"x")</f>
        <v>45</v>
      </c>
      <c r="B920" s="1448" t="s">
        <v>4739</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15"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15"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15"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15"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15"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15"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15"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15"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15"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15"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15"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15"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15"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15"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15"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15"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15"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15"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15"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15"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15"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15"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15"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15"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15"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15"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15"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15"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15"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15"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15"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15"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15" hidden="1" customHeight="1">
      <c r="A953" s="1441">
        <f>COUNTIF($C$12:C953,"x")</f>
        <v>47</v>
      </c>
      <c r="B953" s="1448" t="s">
        <v>4740</v>
      </c>
      <c r="C953" s="964" t="str">
        <f t="shared" si="194"/>
        <v>x</v>
      </c>
      <c r="D953" s="1407">
        <v>1</v>
      </c>
      <c r="E953" s="973"/>
      <c r="F953" s="985" t="str">
        <f>VLOOKUP($B953,DG!A:D,DG!$C$2,)</f>
        <v>Sắt góc L75 x75 x8-2100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15" hidden="1" customHeight="1">
      <c r="A954" s="1441">
        <f>COUNTIF($C$12:C954,"x")</f>
        <v>48</v>
      </c>
      <c r="B954" s="1448" t="s">
        <v>4741</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15"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15" hidden="1"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15" hidden="1"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15"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15"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15"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15"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15"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15" hidden="1" customHeight="1">
      <c r="A963" s="1441">
        <f>COUNTIF($C$12:C963,"x")</f>
        <v>52</v>
      </c>
      <c r="B963" s="1448" t="s">
        <v>4740</v>
      </c>
      <c r="C963" s="964" t="str">
        <f t="shared" si="194"/>
        <v>x</v>
      </c>
      <c r="D963" s="1407">
        <v>2</v>
      </c>
      <c r="E963" s="973"/>
      <c r="F963" s="985" t="str">
        <f>VLOOKUP($B963,DG!A:D,DG!$C$2,)</f>
        <v>Sắt góc L75 x75 x8-2100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15" hidden="1" customHeight="1">
      <c r="A964" s="1441">
        <f>COUNTIF($C$12:C964,"x")</f>
        <v>53</v>
      </c>
      <c r="B964" s="1448" t="s">
        <v>4741</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15"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15" hidden="1"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15" hidden="1"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15" hidden="1"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15"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15"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15"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15"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15"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15" hidden="1" customHeight="1">
      <c r="A974" s="1441">
        <f>COUNTIF($C$12:C974,"x")</f>
        <v>56</v>
      </c>
      <c r="B974" s="1444" t="s">
        <v>4737</v>
      </c>
      <c r="C974" s="1659" t="str">
        <f t="shared" si="194"/>
        <v xml:space="preserve"> </v>
      </c>
      <c r="D974" s="1407">
        <v>1</v>
      </c>
      <c r="E974" s="973"/>
      <c r="F974" s="985" t="str">
        <f>VLOOKUP($B974,DG!A:D,DG!$C$2,)</f>
        <v>Sắt góc L75 x75 x8-2.200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15" hidden="1" customHeight="1">
      <c r="A975" s="1441">
        <f>COUNTIF($C$12:C975,"x")</f>
        <v>56</v>
      </c>
      <c r="B975" s="1444" t="s">
        <v>6007</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15"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15"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15"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15"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15"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15"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15"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15" hidden="1" customHeight="1">
      <c r="A983" s="1441">
        <f>COUNTIF($C$12:C983,"x")</f>
        <v>56</v>
      </c>
      <c r="B983" s="1444" t="s">
        <v>4737</v>
      </c>
      <c r="C983" s="964" t="str">
        <f t="shared" si="194"/>
        <v xml:space="preserve"> </v>
      </c>
      <c r="D983" s="1407">
        <v>2</v>
      </c>
      <c r="E983" s="973"/>
      <c r="F983" s="985" t="str">
        <f>VLOOKUP($B983,DG!A:D,DG!$C$2,)</f>
        <v>Sắt góc L75 x75 x8-2.200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15" hidden="1" customHeight="1">
      <c r="A984" s="1441">
        <f>COUNTIF($C$12:C984,"x")</f>
        <v>56</v>
      </c>
      <c r="B984" s="1444" t="s">
        <v>6007</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15"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15"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15"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15"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15"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15"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15"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15"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15"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15"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15"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15"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15"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15"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15"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15"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15"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15"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15"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15"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15"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15"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15"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15"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15"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15"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15"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15"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15"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15"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15"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15"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15"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15"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15"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15"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15"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15"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15"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15"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15"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15"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15"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15"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15"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15"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15"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15"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15"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15"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15"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15"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15"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15"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15"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15"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15"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15"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15"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15"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15"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15"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15"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15"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15"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15"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15"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15"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15"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15"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15"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15"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15"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15"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15"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15"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15"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15"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15"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15"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15"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15"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15"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15"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15"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15"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15"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15"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15"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15"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15"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15"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15"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15"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15"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15"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15"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15"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15"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15"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15"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15"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15"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15"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15"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15"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15"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15"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15"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15"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15"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15"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15"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15"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15"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15"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15"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15"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15"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15"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15"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15"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15" customHeight="1">
      <c r="A1107" s="1441">
        <f>COUNTIF($C$12:C1107,"x")</f>
        <v>57</v>
      </c>
      <c r="B1107" s="1445" t="s">
        <v>4632</v>
      </c>
      <c r="C1107" s="1659" t="str">
        <f t="shared" si="213"/>
        <v>x</v>
      </c>
      <c r="D1107" s="1405"/>
      <c r="E1107" s="974"/>
      <c r="F1107" s="1269" t="s">
        <v>4650</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15" hidden="1" customHeight="1">
      <c r="A1108" s="1441">
        <f>COUNTIF($C$12:C1108,"x")</f>
        <v>58</v>
      </c>
      <c r="B1108" s="1444" t="s">
        <v>4620</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15" hidden="1"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15" hidden="1" customHeight="1">
      <c r="A1110" s="1441">
        <f>COUNTIF($C$12:C1110,"x")</f>
        <v>59</v>
      </c>
      <c r="B1110" s="1444" t="s">
        <v>4651</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15" hidden="1"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15" hidden="1"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15" hidden="1"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15"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15" hidden="1"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15"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15" hidden="1"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15" hidden="1"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15" hidden="1"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15" hidden="1"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15" hidden="1"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15"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15"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15"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15"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15"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15"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15"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15"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15"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15"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15"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15"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15"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15"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15"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15"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15"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15"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15"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15"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15"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15"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15"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15"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15"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15"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15"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15"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15"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15"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15"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15"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15"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15"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15"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15"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15"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15"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15"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15"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15"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15"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15"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15"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15"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15"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15"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15"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15"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15"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15"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15"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15"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15"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15"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15"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15"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15"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15"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15"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15"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15" hidden="1" customHeight="1">
      <c r="A1183" s="1441">
        <f>COUNTIF($C$12:C1183,"x")</f>
        <v>69</v>
      </c>
      <c r="B1183" s="1444" t="s">
        <v>4843</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15"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15"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15"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15"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15"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15"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15"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15"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15"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15"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15"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15"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15"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15" hidden="1" customHeight="1">
      <c r="A1197" s="1441">
        <f>COUNTIF($C$12:C1197,"x")</f>
        <v>69</v>
      </c>
      <c r="B1197" s="1444" t="s">
        <v>4843</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15"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15"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15"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15"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15"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15"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15"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15"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15"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15"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15"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15"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15"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15"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15"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15"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15"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15"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15"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15"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15"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15"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15"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15"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15"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15"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15"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15"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15"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15"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15"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15"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15"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15"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15"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15"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15"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15"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15"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15"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15"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15"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15"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15"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15"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15"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15"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15"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15"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15"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15"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15"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15"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15"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15"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15"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15"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15"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15"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15"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15"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15"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15"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15"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15"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15"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15"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15"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15"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15"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15"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15"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15"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15"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15"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15"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15"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15"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15"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15"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15"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15"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15"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15"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15"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15"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15"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15"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15"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15"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15"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15"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15"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15"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15"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15"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15"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15"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15"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15"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15"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15"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15"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15"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15"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15"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15"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15"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15"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15"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15"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15"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15"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15"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15"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15"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15"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15"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15"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15"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15"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15"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15"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15"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15"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15"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15"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15"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15"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15"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15"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15"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15"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15"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15"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15"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15"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15"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15"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15"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15"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15"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15"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15"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15"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15"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15"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15"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15"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15"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15"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15"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15"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15"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15"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15"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15"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15"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15"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15"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15"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15"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15"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15"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15"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15"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15"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15"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15"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15"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15"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15"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15"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15"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15"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15"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15"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15"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15"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15"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15"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15"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15"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15"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15"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15"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15"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15"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15"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15"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15"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15"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15"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15"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15"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15"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15"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15"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15"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15"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15"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15"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15"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15"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15"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15"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15"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15"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15"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15"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15"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15"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15"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15"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15"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15"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15"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15"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15"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15"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15"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15"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15"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15"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15"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15"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15"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15"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15"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15"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15"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15"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15"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15"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15"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15"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15"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15"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15"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15"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15"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15"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15"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15"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15"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15"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15"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15"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15"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15"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15"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15"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15"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15"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15"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15"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15"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15"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15"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15"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15"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15"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15"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15"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15"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15"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15"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15"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15"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15"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15"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15"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15"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15"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15"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15"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15"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15"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15"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15"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15"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15"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15"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15"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15"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15"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15"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15"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15"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15"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15"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15"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15"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15"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15"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15"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15"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15"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15"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15"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15"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15"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15"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15"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15"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15"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15"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15"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15"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15"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15"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15"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15"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15"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15"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15"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15"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15"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15"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15"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15"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15"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15"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15"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15"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15"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15"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15"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15"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15"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15"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15"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15"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15"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15"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15"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15"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15"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15"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15"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15"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15"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15"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15"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15"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15"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15"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15"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15"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15"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15"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15"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15"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15"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15"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15"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15"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15"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15"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15"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15"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15"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15"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15"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15"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15"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15"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15"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15"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15"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15"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15"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15"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15"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15"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15"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15"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15"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15"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15"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15"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15"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15"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15"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15"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15"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15"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15"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15"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15"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15"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15"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15"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15"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15"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15"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15"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15"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15"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15"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15"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15"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15"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15"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15"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15"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15"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15"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15"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15"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15"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15"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15"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15"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15"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15"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15"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15"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15"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15"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15"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15"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15"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15"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15"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15"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15"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15"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15"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15"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15"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15"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15"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15"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15"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15"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15"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15"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15"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15"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15"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15"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15"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15"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15"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15"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15"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15"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15"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15"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15"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15"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15"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15"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15"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15"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15"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15"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15"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15"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15"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15"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15"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15"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15"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15"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15"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15"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15"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15"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15"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15"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15"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15"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15"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15"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15"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15"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15"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15"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15"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15"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15"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15"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15"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15"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15"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15"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15"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15"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15"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15"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15"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15"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15"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15"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15"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15"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15"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15"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15"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15"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15"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15"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15"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15"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15"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15"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15"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15"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15"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15"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15"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15"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15"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15"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15"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15"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15"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15"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15"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15"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15"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15"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15"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15"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15"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15"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15"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15"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15"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15"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15"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15"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15"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15"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15"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15"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15"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15"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15"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15"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15"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15"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15"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15"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15"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15"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15"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15"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15"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15"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15"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15"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15"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15"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15"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15"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15"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15"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15"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15"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15"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15"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15"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15"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15"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15"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15"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15"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15"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15"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15"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15"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15"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15"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15"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15"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15" hidden="1"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15" hidden="1" customHeight="1">
      <c r="A1777" s="1441">
        <f>COUNTIF($C$12:C1777,"x")</f>
        <v>72</v>
      </c>
      <c r="B1777" s="1444" t="s">
        <v>6415</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15" hidden="1" customHeight="1">
      <c r="A1778" s="1441">
        <f>COUNTIF($C$12:C1778,"x")</f>
        <v>72</v>
      </c>
      <c r="B1778" s="1444" t="s">
        <v>6416</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15" hidden="1" customHeight="1">
      <c r="A1779" s="1441">
        <f>COUNTIF($C$12:C1779,"x")</f>
        <v>73</v>
      </c>
      <c r="B1779" s="1444" t="s">
        <v>6478</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15" hidden="1" customHeight="1">
      <c r="A1780" s="1441">
        <f>COUNTIF($C$12:C1780,"x")</f>
        <v>74</v>
      </c>
      <c r="B1780" s="1448" t="s">
        <v>4825</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15" hidden="1" customHeight="1">
      <c r="A1781" s="1441">
        <f>COUNTIF($C$12:C1781,"x")</f>
        <v>75</v>
      </c>
      <c r="B1781" s="1448" t="s">
        <v>6487</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15" hidden="1" customHeight="1">
      <c r="A1782" s="1441">
        <f>COUNTIF($C$12:C1782,"x")</f>
        <v>75</v>
      </c>
      <c r="B1782" s="1448" t="s">
        <v>6401</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15"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15"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15"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15"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15"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15"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15"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15"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15"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15"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15" customHeight="1">
      <c r="A1793" s="1441">
        <f>COUNTIF($C$12:C1793,"x")</f>
        <v>76</v>
      </c>
      <c r="B1793" s="1451" t="s">
        <v>2493</v>
      </c>
      <c r="C1793" s="1659" t="str">
        <f t="shared" si="311"/>
        <v>x</v>
      </c>
      <c r="D1793" s="1421">
        <f>K1793</f>
        <v>4</v>
      </c>
      <c r="E1793" s="973"/>
      <c r="F1793" s="2963" t="s">
        <v>6453</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15" hidden="1"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15" hidden="1"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15"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15"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15" hidden="1" customHeight="1">
      <c r="A1798" s="1441">
        <f>COUNTIF($C$12:C1798,"x")</f>
        <v>78</v>
      </c>
      <c r="B1798" s="1448" t="s">
        <v>4884</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15"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15"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15"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15"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15"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15"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15"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15"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15" hidden="1"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15" hidden="1"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15"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15"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15" hidden="1"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15" hidden="1" customHeight="1">
      <c r="A1812" s="1441">
        <f>COUNTIF($C$12:C1812,"x")</f>
        <v>84</v>
      </c>
      <c r="B1812" s="1637" t="s">
        <v>4991</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15"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15"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15"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15"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15"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15"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15" hidden="1"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15" hidden="1"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15"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15"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15"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15"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15"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15"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15"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15"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15"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15"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15"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15"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15"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15"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15"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15"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15"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15" customHeight="1">
      <c r="A1838" s="1441">
        <f>COUNTIF($C$12:C1838,"x")</f>
        <v>88</v>
      </c>
      <c r="B1838" s="1451" t="s">
        <v>2509</v>
      </c>
      <c r="C1838" s="1659" t="str">
        <f t="shared" si="322"/>
        <v>x</v>
      </c>
      <c r="D1838" s="1421">
        <f>H1838</f>
        <v>22</v>
      </c>
      <c r="E1838" s="973"/>
      <c r="F1838" s="2963" t="s">
        <v>6409</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15" hidden="1"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15" hidden="1"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15"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15" hidden="1" customHeight="1">
      <c r="A1842" s="1441">
        <f>COUNTIF($C$12:C1842,"x")</f>
        <v>90</v>
      </c>
      <c r="B1842" s="1444" t="s">
        <v>4638</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15" hidden="1" customHeight="1">
      <c r="A1843" s="1441">
        <f>COUNTIF($C$12:C1843,"x")</f>
        <v>91</v>
      </c>
      <c r="B1843" s="1448" t="s">
        <v>5135</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15"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15" hidden="1" customHeight="1">
      <c r="A1845" s="1441">
        <f>COUNTIF($C$12:C1845,"x")</f>
        <v>91</v>
      </c>
      <c r="B1845" s="1451" t="s">
        <v>6407</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15"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15"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15"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15" hidden="1" customHeight="1">
      <c r="A1849" s="1441">
        <f>COUNTIF($C$12:C1849,"x")</f>
        <v>91</v>
      </c>
      <c r="B1849" s="1444" t="s">
        <v>4638</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15" hidden="1" customHeight="1">
      <c r="A1850" s="1441">
        <f>COUNTIF($C$12:C1850,"x")</f>
        <v>91</v>
      </c>
      <c r="B1850" s="1448" t="s">
        <v>5135</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15"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15"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15"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15"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15"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15"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15"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15"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15"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15"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15"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15"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15" hidden="1" customHeight="1">
      <c r="A1863" s="1441">
        <f>COUNTIF($C$12:C1863,"x")</f>
        <v>93</v>
      </c>
      <c r="B1863" s="947" t="s">
        <v>7322</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15" hidden="1" customHeight="1">
      <c r="A1864" s="1441">
        <f>COUNTIF($C$12:C1864,"x")</f>
        <v>94</v>
      </c>
      <c r="B1864" s="947" t="s">
        <v>6441</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15" hidden="1"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15" hidden="1"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15" hidden="1"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15" hidden="1"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15" hidden="1"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15" hidden="1"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15" hidden="1" customHeight="1">
      <c r="A1871" s="1441">
        <f>COUNTIF($C$12:C1871,"x")</f>
        <v>101</v>
      </c>
      <c r="B1871" s="947" t="s">
        <v>4602</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15" hidden="1" customHeight="1">
      <c r="A1872" s="1441">
        <f>COUNTIF($C$12:C1872,"x")</f>
        <v>102</v>
      </c>
      <c r="B1872" s="947" t="s">
        <v>5714</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15" hidden="1" customHeight="1">
      <c r="A1873" s="1441">
        <f>COUNTIF($C$12:C1873,"x")</f>
        <v>103</v>
      </c>
      <c r="B1873" s="1453" t="s">
        <v>6009</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15" hidden="1" customHeight="1">
      <c r="A1874" s="1441">
        <f>COUNTIF($C$12:C1874,"x")</f>
        <v>104</v>
      </c>
      <c r="B1874" s="1453" t="s">
        <v>7323</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15" hidden="1" customHeight="1">
      <c r="A1875" s="1441">
        <f>COUNTIF($C$12:C1875,"x")</f>
        <v>105</v>
      </c>
      <c r="B1875" s="1453" t="s">
        <v>7324</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15" hidden="1" customHeight="1">
      <c r="A1876" s="1441">
        <f>COUNTIF($C$12:C1876,"x")</f>
        <v>106</v>
      </c>
      <c r="B1876" s="1453" t="s">
        <v>7325</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15" hidden="1" customHeight="1">
      <c r="A1877" s="1441">
        <f>COUNTIF($C$12:C1877,"x")</f>
        <v>107</v>
      </c>
      <c r="B1877" s="1453" t="s">
        <v>7326</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15" hidden="1"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15" hidden="1"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15" hidden="1"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15" hidden="1"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15" hidden="1"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15" hidden="1" customHeight="1">
      <c r="A1883" s="1441">
        <f>COUNTIF($C$12:C1883,"x")</f>
        <v>113</v>
      </c>
      <c r="B1883" s="1453" t="s">
        <v>4762</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15" hidden="1"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15" hidden="1"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15" hidden="1"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15" hidden="1" customHeight="1">
      <c r="A1887" s="1441">
        <f>COUNTIF($C$12:C1887,"x")</f>
        <v>117</v>
      </c>
      <c r="B1887" s="947" t="s">
        <v>6483</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15" hidden="1"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15"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15"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15"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15"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15"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15"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15"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15"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15"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15"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15"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15"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15"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15"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15"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15"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15"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15"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15"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15"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15"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15"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15"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15"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15"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15"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15"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15"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15"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15"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15"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15"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15"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15"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15"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15"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15"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15"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15"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15"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15"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15"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15"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15"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15"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15"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15" hidden="1" customHeight="1">
      <c r="A1935" s="1441">
        <f>COUNTIF($C$12:C1935,"x")</f>
        <v>118</v>
      </c>
      <c r="B1935" s="1453" t="s">
        <v>5062</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15" hidden="1" customHeight="1">
      <c r="A1936" s="1441">
        <f>COUNTIF($C$12:C1936,"x")</f>
        <v>118</v>
      </c>
      <c r="B1936" s="1453" t="s">
        <v>5063</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15"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15"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15"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15"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15"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15"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15"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15"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15"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15"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15"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15"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15"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15"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15"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15" hidden="1" customHeight="1">
      <c r="A1952" s="1441">
        <f>COUNTIF($C$12:C1952,"x")</f>
        <v>118</v>
      </c>
      <c r="B1952" s="1448" t="s">
        <v>4742</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15"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15"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15"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15"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15"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15"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15"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15"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15" hidden="1" customHeight="1">
      <c r="A1961" s="1441">
        <f>COUNTIF($C$12:C1961,"x")</f>
        <v>118</v>
      </c>
      <c r="B1961" s="1448" t="s">
        <v>6009</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15"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15"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15" hidden="1" customHeight="1">
      <c r="A1964" s="1441">
        <f>COUNTIF($C$12:C1964,"x")</f>
        <v>118</v>
      </c>
      <c r="B1964" s="1448" t="s">
        <v>6011</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15"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15"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15"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15"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15"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15"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15"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15"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15"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15" hidden="1" customHeight="1">
      <c r="A1974" s="1441">
        <f>COUNTIF($C$12:C1974,"x")</f>
        <v>118</v>
      </c>
      <c r="B1974" s="1444" t="s">
        <v>6479</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15"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15"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15"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15"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15"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15"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15"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15"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15"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15"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15"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15" hidden="1" customHeight="1">
      <c r="A1986" s="1441">
        <f>COUNTIF($C$12:C1986,"x")</f>
        <v>118</v>
      </c>
      <c r="B1986" s="947" t="s">
        <v>6447</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15" hidden="1" customHeight="1">
      <c r="A1987" s="1441">
        <f>COUNTIF($C$12:C1987,"x")</f>
        <v>118</v>
      </c>
      <c r="B1987" s="947" t="s">
        <v>6462</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15" hidden="1" customHeight="1">
      <c r="A1988" s="1441">
        <f>COUNTIF($C$12:C1988,"x")</f>
        <v>118</v>
      </c>
      <c r="B1988" s="2950" t="s">
        <v>6449</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15" hidden="1" customHeight="1">
      <c r="A1989" s="1441">
        <f>COUNTIF($C$12:C1989,"x")</f>
        <v>118</v>
      </c>
      <c r="B1989" s="947" t="s">
        <v>6445</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15" hidden="1" customHeight="1">
      <c r="A1990" s="1441">
        <f>COUNTIF($C$12:C1990,"x")</f>
        <v>118</v>
      </c>
      <c r="B1990" s="947" t="s">
        <v>6467</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15"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15" hidden="1" customHeight="1">
      <c r="A1992" s="1441">
        <f>COUNTIF($C$12:C1992,"x")</f>
        <v>118</v>
      </c>
      <c r="B1992" s="947" t="s">
        <v>6448</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15" hidden="1" customHeight="1">
      <c r="A1993" s="1441">
        <f>COUNTIF($C$12:C1993,"x")</f>
        <v>118</v>
      </c>
      <c r="B1993" s="947" t="s">
        <v>6463</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15" hidden="1" customHeight="1">
      <c r="A1994" s="1441">
        <f>COUNTIF($C$12:C1994,"x")</f>
        <v>118</v>
      </c>
      <c r="B1994" s="2950" t="s">
        <v>6450</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15" hidden="1" customHeight="1">
      <c r="A1995" s="1441">
        <f>COUNTIF($C$12:C1995,"x")</f>
        <v>118</v>
      </c>
      <c r="B1995" s="947" t="s">
        <v>6472</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15" hidden="1" customHeight="1">
      <c r="A1996" s="1441">
        <f>COUNTIF($C$12:C1996,"x")</f>
        <v>118</v>
      </c>
      <c r="B1996" s="947" t="s">
        <v>6446</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15"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15"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15"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15"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15"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15"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15"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15"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15"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15"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15"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15"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15"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15"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15"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15"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15"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15"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15"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15"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15"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15"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15"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15"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15"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15"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15"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15"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15"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15"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15"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15"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15"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15"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15"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15"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15"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15"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15"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15"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15"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15"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15"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15"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15"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15"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15"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15"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15"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15"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15"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15"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15"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15"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15"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15"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15"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15"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15"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15"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15"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15"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15"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15"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15"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15"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15"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15"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15"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15"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15"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15"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15"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15"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15"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15"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15"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15"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15"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15"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15"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15"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15"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15"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15"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15"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15"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15"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15"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15"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15"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15"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15"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15"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15"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15"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15"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15"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15" hidden="1" customHeight="1">
      <c r="A2095" s="1441">
        <f>COUNTIF($C$12:C2095,"x")</f>
        <v>118</v>
      </c>
      <c r="B2095" s="1453" t="s">
        <v>4651</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15"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15"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15"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15"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15"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15"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15"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15"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15"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15"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15"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15"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15"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15"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15"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15"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15"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15"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15"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15"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15"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15"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15"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15"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15"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15"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15"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15"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15"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15"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15"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15"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15"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15"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15"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15"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15"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15"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15"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15"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15"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15"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15"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15"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15"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15"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15"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15"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15"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15"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15"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15"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15"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15"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15"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15"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15"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15"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15"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15"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15"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15"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15"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15"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15"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15"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15"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15"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15"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15"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15"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15"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15"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15"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15"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15"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15"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15"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15"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15"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15"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15"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15"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15"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15"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15"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15"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15"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15"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15"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15"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15"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15"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15"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15"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15"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15"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15"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15"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15"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15"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15"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15"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15"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15"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15"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15"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15"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15"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15"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15"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15"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15"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15"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15"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15"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15"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15"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15"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15"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15"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15"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15"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15"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15"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15"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15"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15"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15"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15"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15"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15"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15"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15"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15"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15"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15"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15"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15"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15"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15"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15"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15"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15"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15"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15"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15"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15"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15"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15"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15"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15"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15"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15"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15"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15"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15"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15"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15"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15"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15"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15"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15"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15"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15"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15"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15"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15"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15"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15"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15"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15"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15"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15"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15"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15"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15"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15"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15"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15"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15"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15"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15"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15"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15"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15"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15"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15"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15"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15"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15"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15"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15"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15"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15"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15"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15"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15"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15"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15"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15"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15"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15"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15"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15"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15"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15"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15"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15"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15"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15"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15"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15"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15"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15"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15"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15"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15"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15"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15"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15"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15"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15"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15"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15"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15"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15"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15"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15"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15"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15"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15"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15" customHeight="1">
      <c r="A2328" s="1441">
        <f>COUNTIF($C$12:C2328,"x")</f>
        <v>119</v>
      </c>
      <c r="B2328" s="1445" t="s">
        <v>1135</v>
      </c>
      <c r="C2328" s="964" t="str">
        <f t="shared" si="394"/>
        <v>x</v>
      </c>
      <c r="D2328" s="1405">
        <f>IF(SUM(D2329:D2349)=0,0,1)</f>
        <v>1</v>
      </c>
      <c r="E2328" s="975" t="s">
        <v>1892</v>
      </c>
      <c r="F2328" s="1269" t="s">
        <v>2561</v>
      </c>
      <c r="G2328" s="975"/>
      <c r="H2328" s="3035">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15"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15"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15" hidden="1" customHeight="1">
      <c r="A2331" s="1441">
        <f>COUNTIF($C$12:C2331,"x")</f>
        <v>120</v>
      </c>
      <c r="B2331" s="1453" t="s">
        <v>7327</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15"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15" hidden="1"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15"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15"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15" hidden="1" customHeight="1">
      <c r="A2336" s="1441">
        <f>COUNTIF($C$12:C2336,"x")</f>
        <v>123</v>
      </c>
      <c r="B2336" s="1453" t="s">
        <v>6481</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15" hidden="1" customHeight="1">
      <c r="A2337" s="1441">
        <f>COUNTIF($C$12:C2337,"x")</f>
        <v>123</v>
      </c>
      <c r="B2337" s="1453" t="s">
        <v>6427</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15" hidden="1" customHeight="1">
      <c r="A2338" s="1441">
        <f>COUNTIF($C$12:C2338,"x")</f>
        <v>123</v>
      </c>
      <c r="B2338" s="1453" t="s">
        <v>6012</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15"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15"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15"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15"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15"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15" customHeight="1">
      <c r="A2344" s="1441">
        <f>COUNTIF($C$12:C2344,"x")</f>
        <v>124</v>
      </c>
      <c r="B2344" s="1453" t="s">
        <v>6527</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15" hidden="1" customHeight="1">
      <c r="A2345" s="1441">
        <f>COUNTIF($C$12:C2345,"x")</f>
        <v>124</v>
      </c>
      <c r="B2345" s="1453" t="s">
        <v>6428</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15"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15"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15"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15"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15"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15"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15"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15"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15"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15"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15"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15"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15"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15"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15"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15"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15"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15"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15"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15"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15"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15"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15"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15"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15"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15"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15"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15"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15"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15"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15"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15"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15"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15"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15" hidden="1" customHeight="1">
      <c r="A2380" s="1441">
        <f>COUNTIF($C$12:C2380,"x")</f>
        <v>125</v>
      </c>
      <c r="B2380" s="1442" t="s">
        <v>4652</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15"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15"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15"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15"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15"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15"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15"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15"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15"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15"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15"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15"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15"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15"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15"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15"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15"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15"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15"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15"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15"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15"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15"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15"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15"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15"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15"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15"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15"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15"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15"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15"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15"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15"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15"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15"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15"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15"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15"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15"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15"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15"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15"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15"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15"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15"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15"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15"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15"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15"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15"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15"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15"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5.75" hidden="1">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5.75" hidden="1">
      <c r="A2435" s="56"/>
      <c r="C2435" s="965"/>
      <c r="D2435" s="1438"/>
      <c r="Q2435" s="53"/>
      <c r="T2435" s="53"/>
    </row>
    <row r="2436" spans="1:20" ht="15.75">
      <c r="D2436" s="1438"/>
    </row>
    <row r="2437" spans="1:20" ht="15.75">
      <c r="D2437" s="1438"/>
    </row>
    <row r="2438" spans="1:20" ht="15.75">
      <c r="D2438" s="1438"/>
    </row>
    <row r="2439" spans="1:20" ht="15.75">
      <c r="D2439" s="1438"/>
    </row>
    <row r="2440" spans="1:20" ht="15.75">
      <c r="D2440" s="1438"/>
      <c r="F2440" s="950"/>
    </row>
    <row r="2441" spans="1:20" ht="16.5">
      <c r="D2441" s="1438"/>
      <c r="F2441" s="951"/>
    </row>
    <row r="2442" spans="1:20" ht="15.75">
      <c r="D2442" s="1438"/>
    </row>
    <row r="2443" spans="1:20" ht="15.75">
      <c r="D2443" s="1438"/>
    </row>
    <row r="2444" spans="1:20" ht="15.75">
      <c r="D2444" s="1438"/>
    </row>
    <row r="2445" spans="1:20" ht="15.75">
      <c r="D2445" s="1438"/>
    </row>
    <row r="2446" spans="1:20" ht="15.75">
      <c r="D2446" s="1438"/>
    </row>
    <row r="2447" spans="1:20" ht="15.75">
      <c r="D2447" s="1438"/>
    </row>
    <row r="2448" spans="1:20" ht="15.75">
      <c r="D2448" s="1438"/>
    </row>
    <row r="2449" spans="4:4" ht="15.75">
      <c r="D2449" s="1438"/>
    </row>
    <row r="2450" spans="4:4" ht="15.75">
      <c r="D2450" s="1438"/>
    </row>
    <row r="2451" spans="4:4" ht="15.75">
      <c r="D2451" s="1438"/>
    </row>
    <row r="2452" spans="4:4" ht="15.75">
      <c r="D2452" s="1438"/>
    </row>
    <row r="2453" spans="4:4" ht="15.75">
      <c r="D2453" s="1438"/>
    </row>
    <row r="2454" spans="4:4" ht="15.75">
      <c r="D2454" s="1438"/>
    </row>
    <row r="2455" spans="4:4" ht="15.75">
      <c r="D2455" s="1438"/>
    </row>
    <row r="2456" spans="4:4" ht="15.75">
      <c r="D2456" s="1438"/>
    </row>
    <row r="2457" spans="4:4" ht="15.75">
      <c r="D2457" s="1438"/>
    </row>
    <row r="2458" spans="4:4" ht="15.75">
      <c r="D2458" s="1438"/>
    </row>
    <row r="2459" spans="4:4" ht="15.75">
      <c r="D2459" s="1438"/>
    </row>
    <row r="2460" spans="4:4" ht="15.75">
      <c r="D2460" s="1438"/>
    </row>
    <row r="2461" spans="4:4" ht="15.75">
      <c r="D2461" s="1438"/>
    </row>
    <row r="2462" spans="4:4" ht="15.75">
      <c r="D2462" s="1438"/>
    </row>
    <row r="2463" spans="4:4" ht="15.75">
      <c r="D2463" s="1438"/>
    </row>
    <row r="2464" spans="4:4" ht="15.75">
      <c r="D2464" s="1438"/>
    </row>
    <row r="2465" spans="4:4" ht="15.75">
      <c r="D2465" s="1438"/>
    </row>
    <row r="2466" spans="4:4" ht="15.75">
      <c r="D2466" s="1438"/>
    </row>
    <row r="2467" spans="4:4" ht="15.75">
      <c r="D2467" s="1438"/>
    </row>
    <row r="2468" spans="4:4" ht="15.75">
      <c r="D2468" s="1438"/>
    </row>
    <row r="2469" spans="4:4" ht="15.75">
      <c r="D2469" s="1438"/>
    </row>
    <row r="2470" spans="4:4" ht="15.75">
      <c r="D2470" s="1438"/>
    </row>
    <row r="2471" spans="4:4" ht="15.75">
      <c r="D2471" s="1438"/>
    </row>
    <row r="2472" spans="4:4" ht="15.75">
      <c r="D2472" s="1438"/>
    </row>
    <row r="2473" spans="4:4" ht="15.75">
      <c r="D2473" s="1438"/>
    </row>
    <row r="2474" spans="4:4" ht="15.75">
      <c r="D2474" s="1438"/>
    </row>
    <row r="2475" spans="4:4" ht="15.75">
      <c r="D2475" s="1438"/>
    </row>
    <row r="2476" spans="4:4" ht="15.75">
      <c r="D2476" s="1438"/>
    </row>
    <row r="2477" spans="4:4" ht="15.75">
      <c r="D2477" s="1438"/>
    </row>
    <row r="2478" spans="4:4" ht="15.75">
      <c r="D2478" s="1438"/>
    </row>
    <row r="2479" spans="4:4" ht="15.75">
      <c r="D2479" s="1438"/>
    </row>
    <row r="2480" spans="4:4" ht="15.75">
      <c r="D2480" s="1438"/>
    </row>
    <row r="2481" spans="4:4" ht="15.75">
      <c r="D2481" s="1438"/>
    </row>
    <row r="2482" spans="4:4" ht="15.75">
      <c r="D2482" s="1438"/>
    </row>
    <row r="2483" spans="4:4" ht="15.75">
      <c r="D2483" s="1438"/>
    </row>
    <row r="2484" spans="4:4" ht="15.75">
      <c r="D2484" s="1438"/>
    </row>
    <row r="2485" spans="4:4" ht="15.75">
      <c r="D2485" s="1438"/>
    </row>
    <row r="2486" spans="4:4" ht="15.75">
      <c r="D2486" s="1438"/>
    </row>
    <row r="2487" spans="4:4" ht="15.75">
      <c r="D2487" s="1438"/>
    </row>
    <row r="2488" spans="4:4" ht="15.75">
      <c r="D2488" s="1438"/>
    </row>
    <row r="2489" spans="4:4" ht="15.75">
      <c r="D2489" s="1438"/>
    </row>
    <row r="2490" spans="4:4" ht="15.75">
      <c r="D2490" s="1438"/>
    </row>
    <row r="2491" spans="4:4" ht="15.75">
      <c r="D2491" s="1438"/>
    </row>
    <row r="2492" spans="4:4" ht="15.75">
      <c r="D2492" s="1438"/>
    </row>
    <row r="2493" spans="4:4" ht="15.75">
      <c r="D2493" s="1438"/>
    </row>
    <row r="2494" spans="4:4" ht="15.75">
      <c r="D2494" s="1438"/>
    </row>
    <row r="2495" spans="4:4" ht="15.75">
      <c r="D2495" s="1438"/>
    </row>
    <row r="2496" spans="4:4" ht="15.75">
      <c r="D2496" s="1438"/>
    </row>
    <row r="2497" spans="4:4" ht="15.75">
      <c r="D2497" s="1438"/>
    </row>
    <row r="2498" spans="4:4" ht="15.75">
      <c r="D2498" s="1438"/>
    </row>
    <row r="2499" spans="4:4" ht="15.75">
      <c r="D2499" s="1438"/>
    </row>
    <row r="2500" spans="4:4" ht="15.75">
      <c r="D2500" s="1438"/>
    </row>
    <row r="2501" spans="4:4" ht="15.75">
      <c r="D2501" s="1438"/>
    </row>
    <row r="2502" spans="4:4" ht="15.75">
      <c r="D2502" s="1438"/>
    </row>
    <row r="2503" spans="4:4" ht="15.75">
      <c r="D2503" s="1438"/>
    </row>
    <row r="2504" spans="4:4" ht="15.75">
      <c r="D2504" s="1438"/>
    </row>
    <row r="2505" spans="4:4" ht="15.75">
      <c r="D2505" s="1438"/>
    </row>
    <row r="2506" spans="4:4" ht="15.75">
      <c r="D2506" s="1438"/>
    </row>
    <row r="2507" spans="4:4" ht="15.75">
      <c r="D2507" s="1438"/>
    </row>
    <row r="2508" spans="4:4" ht="15.75">
      <c r="D2508" s="1438"/>
    </row>
    <row r="2509" spans="4:4" ht="15.75">
      <c r="D2509" s="1438"/>
    </row>
    <row r="2510" spans="4:4" ht="15.75">
      <c r="D2510" s="1438"/>
    </row>
    <row r="2511" spans="4:4" ht="15.75">
      <c r="D2511" s="1438"/>
    </row>
    <row r="2512" spans="4:4" ht="15.75">
      <c r="D2512" s="1438"/>
    </row>
    <row r="2513" spans="4:4" ht="15.75">
      <c r="D2513" s="1438"/>
    </row>
    <row r="2514" spans="4:4" ht="15.75">
      <c r="D2514" s="1438"/>
    </row>
    <row r="2515" spans="4:4" ht="15.75">
      <c r="D2515" s="1438"/>
    </row>
    <row r="2516" spans="4:4" ht="15.75">
      <c r="D2516" s="1438"/>
    </row>
    <row r="2517" spans="4:4" ht="15.75">
      <c r="D2517" s="1438"/>
    </row>
    <row r="2518" spans="4:4" ht="15.75">
      <c r="D2518" s="1438"/>
    </row>
    <row r="2519" spans="4:4" ht="15.75">
      <c r="D2519" s="1438"/>
    </row>
    <row r="2520" spans="4:4" ht="15.75">
      <c r="D2520" s="1438"/>
    </row>
    <row r="2521" spans="4:4" ht="15.75">
      <c r="D2521" s="1438"/>
    </row>
    <row r="2522" spans="4:4" ht="15.75">
      <c r="D2522" s="1438"/>
    </row>
    <row r="2523" spans="4:4" ht="15.75">
      <c r="D2523" s="1438"/>
    </row>
    <row r="2524" spans="4:4" ht="15.75">
      <c r="D2524" s="1438"/>
    </row>
    <row r="2525" spans="4:4" ht="15.75">
      <c r="D2525" s="1438"/>
    </row>
    <row r="2526" spans="4:4" ht="15.75">
      <c r="D2526" s="1438"/>
    </row>
    <row r="2527" spans="4:4" ht="15.75">
      <c r="D2527" s="1438"/>
    </row>
    <row r="2528" spans="4:4" ht="15.75">
      <c r="D2528" s="1438"/>
    </row>
    <row r="2529" spans="4:4" ht="15.75">
      <c r="D2529" s="1438"/>
    </row>
    <row r="2530" spans="4:4" ht="15.75">
      <c r="D2530" s="1438"/>
    </row>
    <row r="2531" spans="4:4" ht="15.75">
      <c r="D2531" s="1438"/>
    </row>
    <row r="2532" spans="4:4" ht="15.75">
      <c r="D2532" s="1438"/>
    </row>
    <row r="2533" spans="4:4" ht="15.75">
      <c r="D2533" s="1438"/>
    </row>
    <row r="2534" spans="4:4" ht="15.75">
      <c r="D2534" s="1438"/>
    </row>
    <row r="2535" spans="4:4" ht="15.75">
      <c r="D2535" s="1438"/>
    </row>
    <row r="2536" spans="4:4" ht="15.75">
      <c r="D2536" s="1438"/>
    </row>
    <row r="2537" spans="4:4" ht="15.75">
      <c r="D2537" s="1438"/>
    </row>
    <row r="2538" spans="4:4" ht="15.75">
      <c r="D2538" s="1438"/>
    </row>
    <row r="2539" spans="4:4" ht="15.75">
      <c r="D2539" s="1438"/>
    </row>
    <row r="2540" spans="4:4" ht="15.75">
      <c r="D2540" s="1438"/>
    </row>
    <row r="2541" spans="4:4" ht="15.75">
      <c r="D2541" s="1438"/>
    </row>
    <row r="2542" spans="4:4" ht="15.75">
      <c r="D2542" s="1438"/>
    </row>
    <row r="2543" spans="4:4" ht="15.75">
      <c r="D2543" s="1438"/>
    </row>
    <row r="2544" spans="4:4" ht="15.75">
      <c r="D2544" s="1438"/>
    </row>
    <row r="2545" spans="4:4" ht="15.75">
      <c r="D2545" s="1438"/>
    </row>
    <row r="2546" spans="4:4" ht="15.75">
      <c r="D2546" s="1438"/>
    </row>
    <row r="2547" spans="4:4" ht="15.75">
      <c r="D2547" s="1438"/>
    </row>
    <row r="2548" spans="4:4" ht="15.75">
      <c r="D2548" s="1438"/>
    </row>
    <row r="2549" spans="4:4" ht="15.75">
      <c r="D2549" s="1438"/>
    </row>
    <row r="2550" spans="4:4" ht="15.75">
      <c r="D2550" s="1438"/>
    </row>
    <row r="2551" spans="4:4" ht="15.75">
      <c r="D2551" s="1438"/>
    </row>
    <row r="2552" spans="4:4" ht="15.75">
      <c r="D2552" s="1438"/>
    </row>
    <row r="2553" spans="4:4" ht="15.75">
      <c r="D2553" s="1438"/>
    </row>
    <row r="2554" spans="4:4" ht="15.75">
      <c r="D2554" s="1438"/>
    </row>
    <row r="2555" spans="4:4" ht="15.75">
      <c r="D2555" s="1438"/>
    </row>
    <row r="2556" spans="4:4" ht="15.75">
      <c r="D2556" s="1438"/>
    </row>
    <row r="2557" spans="4:4" ht="15.75">
      <c r="D2557" s="1438"/>
    </row>
    <row r="2558" spans="4:4" ht="15.75">
      <c r="D2558" s="1438"/>
    </row>
    <row r="2559" spans="4:4" ht="15.75">
      <c r="D2559" s="1438"/>
    </row>
    <row r="2560" spans="4:4" ht="15.75">
      <c r="D2560" s="1438"/>
    </row>
    <row r="2561" spans="4:4" ht="15.75">
      <c r="D2561" s="1438"/>
    </row>
    <row r="2562" spans="4:4" ht="15.75">
      <c r="D2562" s="1438"/>
    </row>
    <row r="2563" spans="4:4" ht="15.75">
      <c r="D2563" s="1438"/>
    </row>
    <row r="2564" spans="4:4" ht="15.75">
      <c r="D2564" s="1438"/>
    </row>
    <row r="2565" spans="4:4" ht="15.75">
      <c r="D2565" s="1438"/>
    </row>
    <row r="2566" spans="4:4" ht="15.75">
      <c r="D2566" s="1438"/>
    </row>
    <row r="2567" spans="4:4" ht="15.75">
      <c r="D2567" s="1438"/>
    </row>
    <row r="2568" spans="4:4" ht="15.75">
      <c r="D2568" s="1438"/>
    </row>
    <row r="2569" spans="4:4" ht="15.75">
      <c r="D2569" s="1438"/>
    </row>
    <row r="2570" spans="4:4" ht="15.75">
      <c r="D2570" s="1438"/>
    </row>
    <row r="2571" spans="4:4" ht="15.75">
      <c r="D2571" s="1438"/>
    </row>
    <row r="2572" spans="4:4" ht="15.75">
      <c r="D2572" s="1438"/>
    </row>
    <row r="2573" spans="4:4" ht="15.75">
      <c r="D2573" s="1438"/>
    </row>
    <row r="2574" spans="4:4" ht="15.75">
      <c r="D2574" s="1438"/>
    </row>
    <row r="2575" spans="4:4" ht="15.75">
      <c r="D2575" s="1438"/>
    </row>
    <row r="2576" spans="4:4" ht="15.75">
      <c r="D2576" s="1438"/>
    </row>
    <row r="2577" spans="4:4" ht="15.75">
      <c r="D2577" s="1438"/>
    </row>
    <row r="2578" spans="4:4" ht="15.75">
      <c r="D2578" s="1438"/>
    </row>
    <row r="2579" spans="4:4" ht="15.75">
      <c r="D2579" s="1438"/>
    </row>
    <row r="2580" spans="4:4" ht="15.75">
      <c r="D2580" s="1438"/>
    </row>
    <row r="2581" spans="4:4" ht="15.75">
      <c r="D2581" s="1438"/>
    </row>
    <row r="2582" spans="4:4" ht="15.75">
      <c r="D2582" s="1438"/>
    </row>
    <row r="2583" spans="4:4" ht="15.75">
      <c r="D2583" s="1438"/>
    </row>
    <row r="2584" spans="4:4" ht="15.75">
      <c r="D2584" s="1438"/>
    </row>
    <row r="2585" spans="4:4" ht="15.75">
      <c r="D2585" s="1438"/>
    </row>
    <row r="2586" spans="4:4" ht="15.75">
      <c r="D2586" s="1438"/>
    </row>
    <row r="2587" spans="4:4" ht="15.75">
      <c r="D2587" s="1438"/>
    </row>
    <row r="2588" spans="4:4" ht="15.75">
      <c r="D2588" s="1438"/>
    </row>
    <row r="2589" spans="4:4" ht="15.75">
      <c r="D2589" s="1438"/>
    </row>
    <row r="2590" spans="4:4" ht="15.75">
      <c r="D2590" s="1438"/>
    </row>
    <row r="2591" spans="4:4" ht="15.75">
      <c r="D2591" s="1438"/>
    </row>
    <row r="2592" spans="4:4" ht="15.75">
      <c r="D2592" s="1438"/>
    </row>
    <row r="2593" spans="4:4" ht="15.75">
      <c r="D2593" s="1438"/>
    </row>
    <row r="2594" spans="4:4" ht="15.75">
      <c r="D2594" s="1438"/>
    </row>
    <row r="2595" spans="4:4" ht="15.75">
      <c r="D2595" s="1438"/>
    </row>
    <row r="2596" spans="4:4" ht="15.75">
      <c r="D2596" s="1438"/>
    </row>
    <row r="2597" spans="4:4" ht="15.75">
      <c r="D2597" s="1438"/>
    </row>
    <row r="2598" spans="4:4" ht="15.75">
      <c r="D2598" s="1438"/>
    </row>
    <row r="2599" spans="4:4" ht="15.75">
      <c r="D2599" s="1438"/>
    </row>
    <row r="2600" spans="4:4" ht="15.75">
      <c r="D2600" s="1438"/>
    </row>
    <row r="2601" spans="4:4" ht="15.75">
      <c r="D2601" s="1438"/>
    </row>
    <row r="2602" spans="4:4" ht="15.75">
      <c r="D2602" s="1438"/>
    </row>
    <row r="2603" spans="4:4" ht="15.75">
      <c r="D2603" s="1438"/>
    </row>
    <row r="2604" spans="4:4" ht="15.75">
      <c r="D2604" s="1438"/>
    </row>
    <row r="2605" spans="4:4" ht="15.75">
      <c r="D2605" s="1438"/>
    </row>
    <row r="2606" spans="4:4" ht="15.75">
      <c r="D2606" s="1438"/>
    </row>
    <row r="2607" spans="4:4" ht="15.75">
      <c r="D2607" s="1438"/>
    </row>
    <row r="2608" spans="4:4" ht="15.75">
      <c r="D2608" s="1438"/>
    </row>
    <row r="2609" spans="4:4" ht="15.75">
      <c r="D2609" s="1438"/>
    </row>
    <row r="2610" spans="4:4" ht="15.75">
      <c r="D2610" s="1438"/>
    </row>
    <row r="2611" spans="4:4" ht="15.75">
      <c r="D2611" s="1438"/>
    </row>
    <row r="2612" spans="4:4" ht="15.75">
      <c r="D2612" s="1438"/>
    </row>
    <row r="2613" spans="4:4" ht="15.75">
      <c r="D2613" s="1438"/>
    </row>
    <row r="2614" spans="4:4" ht="15.75">
      <c r="D2614" s="1438"/>
    </row>
    <row r="2615" spans="4:4" ht="15.75">
      <c r="D2615" s="1438"/>
    </row>
    <row r="2616" spans="4:4" ht="15.75">
      <c r="D2616" s="1438"/>
    </row>
    <row r="2617" spans="4:4" ht="15.75">
      <c r="D2617" s="1438"/>
    </row>
    <row r="2618" spans="4:4" ht="15.75">
      <c r="D2618" s="1438"/>
    </row>
    <row r="2619" spans="4:4" ht="15.75">
      <c r="D2619" s="1438"/>
    </row>
    <row r="2620" spans="4:4" ht="15.75">
      <c r="D2620" s="1438"/>
    </row>
    <row r="2621" spans="4:4" ht="15.75">
      <c r="D2621" s="1438"/>
    </row>
    <row r="2622" spans="4:4" ht="15.75">
      <c r="D2622" s="1438"/>
    </row>
    <row r="2623" spans="4:4" ht="15.75">
      <c r="D2623" s="1438"/>
    </row>
    <row r="2624" spans="4:4" ht="15.75">
      <c r="D2624" s="1438"/>
    </row>
    <row r="2625" spans="4:4" ht="15.75">
      <c r="D2625" s="1438"/>
    </row>
    <row r="2626" spans="4:4" ht="15.75">
      <c r="D2626" s="1438"/>
    </row>
    <row r="2627" spans="4:4" ht="15.75">
      <c r="D2627" s="1438"/>
    </row>
    <row r="2628" spans="4:4" ht="15.75">
      <c r="D2628" s="1438"/>
    </row>
    <row r="2629" spans="4:4" ht="15.75">
      <c r="D2629" s="1438"/>
    </row>
    <row r="2630" spans="4:4" ht="15.75">
      <c r="D2630" s="1438"/>
    </row>
    <row r="2631" spans="4:4" ht="15.75">
      <c r="D2631" s="1438"/>
    </row>
    <row r="2632" spans="4:4" ht="15.75">
      <c r="D2632" s="1438"/>
    </row>
    <row r="2633" spans="4:4" ht="15.75">
      <c r="D2633" s="1438"/>
    </row>
    <row r="2634" spans="4:4" ht="15.75">
      <c r="D2634" s="1438"/>
    </row>
    <row r="2635" spans="4:4" ht="15.75">
      <c r="D2635" s="1438"/>
    </row>
    <row r="2636" spans="4:4" ht="15.75">
      <c r="D2636" s="1438"/>
    </row>
    <row r="2637" spans="4:4" ht="15.75">
      <c r="D2637" s="1438"/>
    </row>
    <row r="2638" spans="4:4" ht="15.75">
      <c r="D2638" s="1438"/>
    </row>
    <row r="2639" spans="4:4" ht="15.75">
      <c r="D2639" s="1438"/>
    </row>
    <row r="2640" spans="4:4" ht="15.75">
      <c r="D2640" s="1438"/>
    </row>
    <row r="2641" spans="4:4" ht="15.75">
      <c r="D2641" s="1438"/>
    </row>
    <row r="2642" spans="4:4" ht="15.75">
      <c r="D2642" s="1438"/>
    </row>
    <row r="2643" spans="4:4" ht="15.75">
      <c r="D2643" s="1438"/>
    </row>
    <row r="2644" spans="4:4" ht="15.75">
      <c r="D2644" s="1438"/>
    </row>
    <row r="2645" spans="4:4" ht="15.75">
      <c r="D2645" s="1438"/>
    </row>
    <row r="2646" spans="4:4" ht="15.75">
      <c r="D2646" s="1438"/>
    </row>
    <row r="2647" spans="4:4" ht="15.75">
      <c r="D2647" s="1438"/>
    </row>
    <row r="2648" spans="4:4" ht="15.75">
      <c r="D2648" s="1438"/>
    </row>
    <row r="2649" spans="4:4" ht="15.75">
      <c r="D2649" s="1438"/>
    </row>
    <row r="2650" spans="4:4" ht="15.75">
      <c r="D2650" s="1438"/>
    </row>
    <row r="2651" spans="4:4" ht="15.75">
      <c r="D2651" s="1438"/>
    </row>
    <row r="2652" spans="4:4" ht="15.75">
      <c r="D2652" s="1438"/>
    </row>
    <row r="2653" spans="4:4" ht="15.75">
      <c r="D2653" s="1438"/>
    </row>
    <row r="2654" spans="4:4" ht="15.75">
      <c r="D2654" s="1438"/>
    </row>
    <row r="2655" spans="4:4" ht="15.75">
      <c r="D2655" s="1438"/>
    </row>
    <row r="2656" spans="4:4" ht="15.75">
      <c r="D2656" s="1438"/>
    </row>
    <row r="2657" spans="4:4" ht="15.75">
      <c r="D2657" s="1438"/>
    </row>
    <row r="2658" spans="4:4" ht="15.75">
      <c r="D2658" s="1438"/>
    </row>
    <row r="2659" spans="4:4" ht="15.75">
      <c r="D2659" s="1438"/>
    </row>
    <row r="2660" spans="4:4" ht="15.75">
      <c r="D2660" s="1438"/>
    </row>
    <row r="2661" spans="4:4" ht="15.75">
      <c r="D2661" s="1438"/>
    </row>
    <row r="2662" spans="4:4" ht="15.75">
      <c r="D2662" s="1438"/>
    </row>
    <row r="2663" spans="4:4" ht="15.75">
      <c r="D2663" s="1438"/>
    </row>
    <row r="2664" spans="4:4" ht="15.75">
      <c r="D2664" s="1438"/>
    </row>
    <row r="2665" spans="4:4" ht="15.75">
      <c r="D2665" s="1438"/>
    </row>
    <row r="2666" spans="4:4" ht="15.75">
      <c r="D2666" s="1438"/>
    </row>
    <row r="2667" spans="4:4" ht="15.75">
      <c r="D2667" s="1438"/>
    </row>
    <row r="2668" spans="4:4" ht="15.75">
      <c r="D2668" s="1438"/>
    </row>
    <row r="2669" spans="4:4" ht="15.75">
      <c r="D2669" s="1438"/>
    </row>
    <row r="2670" spans="4:4" ht="15.75">
      <c r="D2670" s="1438"/>
    </row>
    <row r="2671" spans="4:4" ht="15.75">
      <c r="D2671" s="1438"/>
    </row>
    <row r="2672" spans="4:4" ht="15.75">
      <c r="D2672" s="1438"/>
    </row>
    <row r="2673" spans="4:4" ht="15.75">
      <c r="D2673" s="1438"/>
    </row>
    <row r="2674" spans="4:4" ht="15.75">
      <c r="D2674" s="1438"/>
    </row>
    <row r="2675" spans="4:4" ht="15.75">
      <c r="D2675" s="1438"/>
    </row>
    <row r="2676" spans="4:4" ht="15.75">
      <c r="D2676" s="1438"/>
    </row>
    <row r="2677" spans="4:4" ht="15.75">
      <c r="D2677" s="1438"/>
    </row>
    <row r="2678" spans="4:4" ht="15.75">
      <c r="D2678" s="1438"/>
    </row>
    <row r="2679" spans="4:4" ht="15.75">
      <c r="D2679" s="1438"/>
    </row>
    <row r="2680" spans="4:4" ht="15.75">
      <c r="D2680" s="1438"/>
    </row>
    <row r="2681" spans="4:4" ht="15.75">
      <c r="D2681" s="1438"/>
    </row>
    <row r="2682" spans="4:4" ht="15.75">
      <c r="D2682" s="1438"/>
    </row>
    <row r="2683" spans="4:4" ht="15.75">
      <c r="D2683" s="1438"/>
    </row>
    <row r="2684" spans="4:4" ht="15.75">
      <c r="D2684" s="1438"/>
    </row>
    <row r="2685" spans="4:4" ht="15.75">
      <c r="D2685" s="1438"/>
    </row>
    <row r="2686" spans="4:4" ht="15.75">
      <c r="D2686" s="1438"/>
    </row>
    <row r="2687" spans="4:4" ht="15.75">
      <c r="D2687" s="1438"/>
    </row>
    <row r="2688" spans="4:4" ht="15.75">
      <c r="D2688" s="1438"/>
    </row>
    <row r="2689" spans="4:4" ht="15.75">
      <c r="D2689" s="1438"/>
    </row>
    <row r="2690" spans="4:4" ht="15.75">
      <c r="D2690" s="1438"/>
    </row>
    <row r="2691" spans="4:4" ht="15.75">
      <c r="D2691" s="1438"/>
    </row>
    <row r="2692" spans="4:4" ht="15.75">
      <c r="D2692" s="1438"/>
    </row>
    <row r="2693" spans="4:4" ht="15.75">
      <c r="D2693" s="1438"/>
    </row>
    <row r="2694" spans="4:4" ht="15.75">
      <c r="D2694" s="1438"/>
    </row>
    <row r="2695" spans="4:4" ht="15.75">
      <c r="D2695" s="1438"/>
    </row>
    <row r="2696" spans="4:4" ht="15.75">
      <c r="D2696" s="1438"/>
    </row>
    <row r="2697" spans="4:4" ht="15.75">
      <c r="D2697" s="1438"/>
    </row>
    <row r="2698" spans="4:4" ht="15.75">
      <c r="D2698" s="1438"/>
    </row>
    <row r="2699" spans="4:4" ht="15.75">
      <c r="D2699" s="1438"/>
    </row>
    <row r="2700" spans="4:4" ht="15.75">
      <c r="D2700" s="1438"/>
    </row>
    <row r="2701" spans="4:4" ht="15.75">
      <c r="D2701" s="1438"/>
    </row>
    <row r="2702" spans="4:4" ht="15.75">
      <c r="D2702" s="1438"/>
    </row>
    <row r="2703" spans="4:4" ht="15.75">
      <c r="D2703" s="1438"/>
    </row>
    <row r="2704" spans="4:4" ht="15.75">
      <c r="D2704" s="1438"/>
    </row>
    <row r="2705" spans="4:4" ht="15.75">
      <c r="D2705" s="1438"/>
    </row>
    <row r="2706" spans="4:4" ht="15.75">
      <c r="D2706" s="1438"/>
    </row>
    <row r="2707" spans="4:4" ht="15.75">
      <c r="D2707" s="1438"/>
    </row>
    <row r="2708" spans="4:4" ht="15.75">
      <c r="D2708" s="1438"/>
    </row>
    <row r="2709" spans="4:4" ht="15.75">
      <c r="D2709" s="1438"/>
    </row>
    <row r="2710" spans="4:4" ht="15.75">
      <c r="D2710" s="1438"/>
    </row>
    <row r="2711" spans="4:4" ht="15.75">
      <c r="D2711" s="1438"/>
    </row>
    <row r="2712" spans="4:4" ht="15.75">
      <c r="D2712" s="1438"/>
    </row>
    <row r="2713" spans="4:4" ht="15.75">
      <c r="D2713" s="1438"/>
    </row>
    <row r="2714" spans="4:4" ht="15.75">
      <c r="D2714" s="1438"/>
    </row>
    <row r="2715" spans="4:4" ht="15.75">
      <c r="D2715" s="1438"/>
    </row>
    <row r="2716" spans="4:4" ht="15.75">
      <c r="D2716" s="1438"/>
    </row>
    <row r="2717" spans="4:4" ht="15.75">
      <c r="D2717" s="1438"/>
    </row>
    <row r="2718" spans="4:4" ht="15.75">
      <c r="D2718" s="1438"/>
    </row>
    <row r="2719" spans="4:4" ht="15.75">
      <c r="D2719" s="1438"/>
    </row>
    <row r="2720" spans="4:4" ht="15.75">
      <c r="D2720" s="1438"/>
    </row>
    <row r="2721" spans="4:4" ht="15.75">
      <c r="D2721" s="1438"/>
    </row>
    <row r="2722" spans="4:4" ht="15.75">
      <c r="D2722" s="1438"/>
    </row>
    <row r="2723" spans="4:4" ht="15.75">
      <c r="D2723" s="1438"/>
    </row>
    <row r="2724" spans="4:4" ht="15.75">
      <c r="D2724" s="1438"/>
    </row>
    <row r="2725" spans="4:4" ht="15.75">
      <c r="D2725" s="1438"/>
    </row>
    <row r="2726" spans="4:4" ht="15.75">
      <c r="D2726" s="1438"/>
    </row>
    <row r="2727" spans="4:4" ht="15.75">
      <c r="D2727" s="1438"/>
    </row>
    <row r="2728" spans="4:4" ht="15.75">
      <c r="D2728" s="1438"/>
    </row>
    <row r="2729" spans="4:4" ht="15.75">
      <c r="D2729" s="1438"/>
    </row>
    <row r="2730" spans="4:4" ht="15.75">
      <c r="D2730" s="1438"/>
    </row>
    <row r="2731" spans="4:4" ht="15.75">
      <c r="D2731" s="1438"/>
    </row>
    <row r="2732" spans="4:4" ht="15.75">
      <c r="D2732" s="1438"/>
    </row>
    <row r="2733" spans="4:4" ht="15.75">
      <c r="D2733" s="1438"/>
    </row>
    <row r="2734" spans="4:4" ht="15.75">
      <c r="D2734" s="1438"/>
    </row>
    <row r="2735" spans="4:4" ht="15.75">
      <c r="D2735" s="1438"/>
    </row>
    <row r="2736" spans="4:4" ht="15.75">
      <c r="D2736" s="1438"/>
    </row>
    <row r="2737" spans="4:4" ht="15.75">
      <c r="D2737" s="1438"/>
    </row>
    <row r="2738" spans="4:4" ht="15.75">
      <c r="D2738" s="1438"/>
    </row>
    <row r="2739" spans="4:4" ht="15.75">
      <c r="D2739" s="1438"/>
    </row>
    <row r="2740" spans="4:4" ht="15.75">
      <c r="D2740" s="1438"/>
    </row>
    <row r="2741" spans="4:4" ht="15.75">
      <c r="D2741" s="1438"/>
    </row>
    <row r="2742" spans="4:4" ht="15.75">
      <c r="D2742" s="1438"/>
    </row>
    <row r="2743" spans="4:4" ht="15.75">
      <c r="D2743" s="1438"/>
    </row>
    <row r="2744" spans="4:4" ht="15.75">
      <c r="D2744" s="1438"/>
    </row>
    <row r="2745" spans="4:4" ht="15.75">
      <c r="D2745" s="1438"/>
    </row>
    <row r="2746" spans="4:4" ht="15.75">
      <c r="D2746" s="1438"/>
    </row>
    <row r="2747" spans="4:4" ht="15.75">
      <c r="D2747" s="1438"/>
    </row>
    <row r="2748" spans="4:4" ht="15.75">
      <c r="D2748" s="1438"/>
    </row>
    <row r="2749" spans="4:4" ht="15.75">
      <c r="D2749" s="1438"/>
    </row>
    <row r="2750" spans="4:4" ht="15.75">
      <c r="D2750" s="1438"/>
    </row>
    <row r="2751" spans="4:4" ht="15.75">
      <c r="D2751" s="1438"/>
    </row>
    <row r="2752" spans="4:4" ht="15.75">
      <c r="D2752" s="1438"/>
    </row>
    <row r="2753" spans="4:4" ht="15.75">
      <c r="D2753" s="1438"/>
    </row>
    <row r="2754" spans="4:4" ht="15.75">
      <c r="D2754" s="1438"/>
    </row>
    <row r="2755" spans="4:4" ht="15.75">
      <c r="D2755" s="1438"/>
    </row>
    <row r="2756" spans="4:4" ht="15.75">
      <c r="D2756" s="1438"/>
    </row>
    <row r="2757" spans="4:4" ht="15.75">
      <c r="D2757" s="1438"/>
    </row>
    <row r="2758" spans="4:4" ht="15.75">
      <c r="D2758" s="1438"/>
    </row>
    <row r="2759" spans="4:4" ht="15.75">
      <c r="D2759" s="1438"/>
    </row>
    <row r="2760" spans="4:4" ht="15.75">
      <c r="D2760" s="1438"/>
    </row>
    <row r="2761" spans="4:4" ht="15.75">
      <c r="D2761" s="1438"/>
    </row>
    <row r="2762" spans="4:4" ht="15.75">
      <c r="D2762" s="1438"/>
    </row>
    <row r="2763" spans="4:4" ht="15.75">
      <c r="D2763" s="1438"/>
    </row>
    <row r="2764" spans="4:4" ht="15.75">
      <c r="D2764" s="1438"/>
    </row>
    <row r="2765" spans="4:4" ht="15.75">
      <c r="D2765" s="1438"/>
    </row>
    <row r="2766" spans="4:4" ht="15.75">
      <c r="D2766" s="1438"/>
    </row>
    <row r="2767" spans="4:4" ht="15.75">
      <c r="D2767" s="1438"/>
    </row>
    <row r="2768" spans="4:4" ht="15.75">
      <c r="D2768" s="1438"/>
    </row>
    <row r="2769" spans="4:4" ht="15.75">
      <c r="D2769" s="1438"/>
    </row>
    <row r="2770" spans="4:4" ht="15.75">
      <c r="D2770" s="1438"/>
    </row>
    <row r="2771" spans="4:4" ht="15.75">
      <c r="D2771" s="1438"/>
    </row>
    <row r="2772" spans="4:4" ht="15.75">
      <c r="D2772" s="1438"/>
    </row>
    <row r="2773" spans="4:4" ht="15.75">
      <c r="D2773" s="1438"/>
    </row>
    <row r="2774" spans="4:4" ht="15.75">
      <c r="D2774" s="1438"/>
    </row>
    <row r="2775" spans="4:4" ht="15.75">
      <c r="D2775" s="1438"/>
    </row>
    <row r="2776" spans="4:4" ht="15.75">
      <c r="D2776" s="1438"/>
    </row>
    <row r="2777" spans="4:4" ht="15.75">
      <c r="D2777" s="1438"/>
    </row>
    <row r="2778" spans="4:4" ht="15.75">
      <c r="D2778" s="1438"/>
    </row>
    <row r="2779" spans="4:4" ht="15.75">
      <c r="D2779" s="1438"/>
    </row>
    <row r="2780" spans="4:4" ht="15.75">
      <c r="D2780" s="1438"/>
    </row>
    <row r="2781" spans="4:4" ht="15.75">
      <c r="D2781" s="1438"/>
    </row>
    <row r="2782" spans="4:4" ht="15.75">
      <c r="D2782" s="1438"/>
    </row>
    <row r="2783" spans="4:4" ht="15.75">
      <c r="D2783" s="1438"/>
    </row>
    <row r="2784" spans="4:4" ht="15.75">
      <c r="D2784" s="1438"/>
    </row>
    <row r="2785" spans="4:4" ht="15.75">
      <c r="D2785" s="1438"/>
    </row>
    <row r="2786" spans="4:4" ht="15.75">
      <c r="D2786" s="1438"/>
    </row>
    <row r="2787" spans="4:4" ht="15.75">
      <c r="D2787" s="1438"/>
    </row>
    <row r="2788" spans="4:4" ht="15.75">
      <c r="D2788" s="1438"/>
    </row>
    <row r="2789" spans="4:4" ht="15.75">
      <c r="D2789" s="1438"/>
    </row>
    <row r="2790" spans="4:4" ht="15.75">
      <c r="D2790" s="1438"/>
    </row>
    <row r="2791" spans="4:4" ht="15.75">
      <c r="D2791" s="1438"/>
    </row>
    <row r="2792" spans="4:4" ht="15.75">
      <c r="D2792" s="1438"/>
    </row>
    <row r="2793" spans="4:4" ht="15.75">
      <c r="D2793" s="1438"/>
    </row>
    <row r="2794" spans="4:4" ht="15.75">
      <c r="D2794" s="1438"/>
    </row>
    <row r="2795" spans="4:4" ht="15.75">
      <c r="D2795" s="1438"/>
    </row>
    <row r="2796" spans="4:4" ht="15.75">
      <c r="D2796" s="1438"/>
    </row>
    <row r="2797" spans="4:4" ht="15.75">
      <c r="D2797" s="1438"/>
    </row>
    <row r="2798" spans="4:4" ht="15.75">
      <c r="D2798" s="1438"/>
    </row>
    <row r="2799" spans="4:4" ht="15.75">
      <c r="D2799" s="1438"/>
    </row>
    <row r="2800" spans="4:4" ht="15.75">
      <c r="D2800" s="1438"/>
    </row>
    <row r="2801" spans="4:4" ht="15.75">
      <c r="D2801" s="1438"/>
    </row>
    <row r="2802" spans="4:4" ht="15.75">
      <c r="D2802" s="1438"/>
    </row>
    <row r="2803" spans="4:4" ht="15.75">
      <c r="D2803" s="1438"/>
    </row>
    <row r="2804" spans="4:4" ht="15.75">
      <c r="D2804" s="1438"/>
    </row>
    <row r="2805" spans="4:4" ht="15.75">
      <c r="D2805" s="1438"/>
    </row>
    <row r="2806" spans="4:4" ht="15.75">
      <c r="D2806" s="1438"/>
    </row>
    <row r="2807" spans="4:4" ht="15.75">
      <c r="D2807" s="1438"/>
    </row>
    <row r="2808" spans="4:4" ht="15.75">
      <c r="D2808" s="1438"/>
    </row>
    <row r="2809" spans="4:4" ht="15.75">
      <c r="D2809" s="1438"/>
    </row>
    <row r="2810" spans="4:4" ht="15.75">
      <c r="D2810" s="1438"/>
    </row>
    <row r="2811" spans="4:4" ht="15.75">
      <c r="D2811" s="1438"/>
    </row>
    <row r="2812" spans="4:4" ht="15.75">
      <c r="D2812" s="1438"/>
    </row>
    <row r="2813" spans="4:4" ht="15.75">
      <c r="D2813" s="1438"/>
    </row>
    <row r="2814" spans="4:4" ht="15.75">
      <c r="D2814" s="1438"/>
    </row>
    <row r="2815" spans="4:4" ht="15.75">
      <c r="D2815" s="1438"/>
    </row>
    <row r="2816" spans="4:4" ht="15.75">
      <c r="D2816" s="1438"/>
    </row>
    <row r="2817" spans="4:4" ht="15.75">
      <c r="D2817" s="1438"/>
    </row>
    <row r="2818" spans="4:4" ht="15.75">
      <c r="D2818" s="1438"/>
    </row>
    <row r="2819" spans="4:4" ht="15.75">
      <c r="D2819" s="1438"/>
    </row>
    <row r="2820" spans="4:4" ht="15.75">
      <c r="D2820" s="1438"/>
    </row>
    <row r="2821" spans="4:4" ht="15.75">
      <c r="D2821" s="1438"/>
    </row>
    <row r="2822" spans="4:4" ht="15.75">
      <c r="D2822" s="1438"/>
    </row>
    <row r="2823" spans="4:4" ht="15.75">
      <c r="D2823" s="1438"/>
    </row>
    <row r="2824" spans="4:4" ht="15.75">
      <c r="D2824" s="1438"/>
    </row>
    <row r="2825" spans="4:4" ht="15.75">
      <c r="D2825" s="1438"/>
    </row>
    <row r="2826" spans="4:4" ht="15.75">
      <c r="D2826" s="1438"/>
    </row>
    <row r="2827" spans="4:4" ht="15.75">
      <c r="D2827" s="1438"/>
    </row>
    <row r="2828" spans="4:4" ht="15.75">
      <c r="D2828" s="1438"/>
    </row>
    <row r="2829" spans="4:4" ht="15.75">
      <c r="D2829" s="1438"/>
    </row>
    <row r="2830" spans="4:4" ht="15.75">
      <c r="D2830" s="1438"/>
    </row>
    <row r="2831" spans="4:4" ht="15.75">
      <c r="D2831" s="1438"/>
    </row>
    <row r="2832" spans="4:4" ht="15.75">
      <c r="D2832" s="1438"/>
    </row>
    <row r="2833" spans="4:4" ht="15.75">
      <c r="D2833" s="1438"/>
    </row>
    <row r="2834" spans="4:4" ht="15.75">
      <c r="D2834" s="1438"/>
    </row>
    <row r="2835" spans="4:4" ht="15.75">
      <c r="D2835" s="1438"/>
    </row>
    <row r="2836" spans="4:4" ht="15.75">
      <c r="D2836" s="1438"/>
    </row>
    <row r="2837" spans="4:4" ht="15.75">
      <c r="D2837" s="1438"/>
    </row>
    <row r="2838" spans="4:4" ht="15.75">
      <c r="D2838" s="1438"/>
    </row>
    <row r="2839" spans="4:4" ht="15.75">
      <c r="D2839" s="1438"/>
    </row>
    <row r="2840" spans="4:4" ht="15.75">
      <c r="D2840" s="1438"/>
    </row>
    <row r="2841" spans="4:4" ht="15.75">
      <c r="D2841" s="1438"/>
    </row>
    <row r="2842" spans="4:4" ht="15.75">
      <c r="D2842" s="1438"/>
    </row>
    <row r="2843" spans="4:4" ht="15.75">
      <c r="D2843" s="1438"/>
    </row>
    <row r="2844" spans="4:4" ht="15.75">
      <c r="D2844" s="1438"/>
    </row>
    <row r="2845" spans="4:4" ht="15.75">
      <c r="D2845" s="1438"/>
    </row>
    <row r="2846" spans="4:4" ht="15.75">
      <c r="D2846" s="1438"/>
    </row>
    <row r="2847" spans="4:4" ht="15.75">
      <c r="D2847" s="1438"/>
    </row>
    <row r="2848" spans="4:4" ht="15.75">
      <c r="D2848" s="1438"/>
    </row>
    <row r="2849" spans="4:4" ht="15.75">
      <c r="D2849" s="1438"/>
    </row>
    <row r="2850" spans="4:4" ht="15.75">
      <c r="D2850" s="1438"/>
    </row>
    <row r="2851" spans="4:4" ht="15.75">
      <c r="D2851" s="1438"/>
    </row>
    <row r="2852" spans="4:4" ht="15.75">
      <c r="D2852" s="1438"/>
    </row>
    <row r="2853" spans="4:4" ht="15.75">
      <c r="D2853" s="1438"/>
    </row>
    <row r="2854" spans="4:4" ht="15.75">
      <c r="D2854" s="1438"/>
    </row>
    <row r="2855" spans="4:4" ht="15.75">
      <c r="D2855" s="1438"/>
    </row>
    <row r="2856" spans="4:4" ht="15.75">
      <c r="D2856" s="1438"/>
    </row>
    <row r="2857" spans="4:4" ht="15.75">
      <c r="D2857" s="1438"/>
    </row>
    <row r="2858" spans="4:4" ht="15.75">
      <c r="D2858" s="1438"/>
    </row>
    <row r="2859" spans="4:4" ht="15.75">
      <c r="D2859" s="1438"/>
    </row>
    <row r="2860" spans="4:4" ht="15.75">
      <c r="D2860" s="1438"/>
    </row>
    <row r="2861" spans="4:4" ht="15.75">
      <c r="D2861" s="1438"/>
    </row>
    <row r="2862" spans="4:4" ht="15.75">
      <c r="D2862" s="1438"/>
    </row>
    <row r="2863" spans="4:4" ht="15.75">
      <c r="D2863" s="1438"/>
    </row>
    <row r="2864" spans="4:4" ht="15.75">
      <c r="D2864" s="1438"/>
    </row>
    <row r="2865" spans="4:4" ht="15.75">
      <c r="D2865" s="1438"/>
    </row>
    <row r="2866" spans="4:4" ht="15.75">
      <c r="D2866" s="1438"/>
    </row>
    <row r="2867" spans="4:4" ht="15.75">
      <c r="D2867" s="1438"/>
    </row>
    <row r="2868" spans="4:4" ht="15.75">
      <c r="D2868" s="1438"/>
    </row>
    <row r="2869" spans="4:4" ht="15.75">
      <c r="D2869" s="1438"/>
    </row>
    <row r="2870" spans="4:4" ht="15.75">
      <c r="D2870" s="1438"/>
    </row>
    <row r="2871" spans="4:4" ht="15.75">
      <c r="D2871" s="1438"/>
    </row>
    <row r="2872" spans="4:4" ht="15.75">
      <c r="D2872" s="1438"/>
    </row>
    <row r="2873" spans="4:4" ht="15.75">
      <c r="D2873" s="1438"/>
    </row>
    <row r="2874" spans="4:4" ht="15.75">
      <c r="D2874" s="1438"/>
    </row>
  </sheetData>
  <autoFilter ref="A10:S2435">
    <filterColumn colId="2">
      <customFilters>
        <customFilter operator="notEqual" val=" "/>
      </customFilters>
    </filterColumn>
    <filterColumn colId="5">
      <colorFilter dxfId="157"/>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6" priority="126" timePeriod="today">
      <formula>FLOOR(T1,1)=TODAY()</formula>
    </cfRule>
  </conditionalFormatting>
  <conditionalFormatting sqref="B2417 B77 B94 B176 B341 B378 B398 B433 B533 B553 B569">
    <cfRule type="duplicateValues" dxfId="155"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4" priority="121" operator="containsText" text="x">
      <formula>NOT(ISERROR(SEARCH("x",C1)))</formula>
    </cfRule>
  </conditionalFormatting>
  <conditionalFormatting sqref="C1841">
    <cfRule type="containsText" dxfId="153" priority="119" operator="containsText" text="x">
      <formula>NOT(ISERROR(SEARCH("x",C1841)))</formula>
    </cfRule>
  </conditionalFormatting>
  <conditionalFormatting sqref="C1933:C1934">
    <cfRule type="containsText" dxfId="152" priority="117" operator="containsText" text="x">
      <formula>NOT(ISERROR(SEARCH("x",C1933)))</formula>
    </cfRule>
  </conditionalFormatting>
  <conditionalFormatting sqref="C1107:C1113">
    <cfRule type="containsText" dxfId="151"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0" priority="114" operator="greaterThan">
      <formula>0</formula>
    </cfRule>
  </conditionalFormatting>
  <conditionalFormatting sqref="C2379">
    <cfRule type="containsText" dxfId="149" priority="112" operator="containsText" text="x">
      <formula>NOT(ISERROR(SEARCH("x",C2379)))</formula>
    </cfRule>
  </conditionalFormatting>
  <conditionalFormatting sqref="C2377">
    <cfRule type="containsText" dxfId="148" priority="109" operator="containsText" text="x">
      <formula>NOT(ISERROR(SEARCH("x",C2377)))</formula>
    </cfRule>
  </conditionalFormatting>
  <conditionalFormatting sqref="C2094">
    <cfRule type="containsText" dxfId="147" priority="104" operator="containsText" text="x">
      <formula>NOT(ISERROR(SEARCH("x",C2094)))</formula>
    </cfRule>
  </conditionalFormatting>
  <conditionalFormatting sqref="C1998:C1999">
    <cfRule type="containsText" dxfId="146" priority="101" operator="containsText" text="x">
      <formula>NOT(ISERROR(SEARCH("x",C1998)))</formula>
    </cfRule>
  </conditionalFormatting>
  <conditionalFormatting sqref="T898:T908">
    <cfRule type="timePeriod" dxfId="145" priority="99" timePeriod="today">
      <formula>FLOOR(T898,1)=TODAY()</formula>
    </cfRule>
  </conditionalFormatting>
  <conditionalFormatting sqref="C898:C908">
    <cfRule type="containsText" dxfId="144" priority="98" operator="containsText" text="x">
      <formula>NOT(ISERROR(SEARCH("x",C898)))</formula>
    </cfRule>
  </conditionalFormatting>
  <conditionalFormatting sqref="T898:T908">
    <cfRule type="cellIs" dxfId="143" priority="97" operator="greaterThan">
      <formula>0</formula>
    </cfRule>
  </conditionalFormatting>
  <conditionalFormatting sqref="T652:T662">
    <cfRule type="timePeriod" dxfId="142" priority="96" timePeriod="today">
      <formula>FLOOR(T652,1)=TODAY()</formula>
    </cfRule>
  </conditionalFormatting>
  <conditionalFormatting sqref="C652:C662">
    <cfRule type="containsText" dxfId="141" priority="95" operator="containsText" text="x">
      <formula>NOT(ISERROR(SEARCH("x",C652)))</formula>
    </cfRule>
  </conditionalFormatting>
  <conditionalFormatting sqref="T652:T662">
    <cfRule type="cellIs" dxfId="140" priority="94" operator="greaterThan">
      <formula>0</formula>
    </cfRule>
  </conditionalFormatting>
  <conditionalFormatting sqref="C1943">
    <cfRule type="containsText" dxfId="139" priority="89" operator="containsText" text="x">
      <formula>NOT(ISERROR(SEARCH("x",C1943)))</formula>
    </cfRule>
  </conditionalFormatting>
  <conditionalFormatting sqref="T360:T361">
    <cfRule type="timePeriod" dxfId="138" priority="87" timePeriod="today">
      <formula>FLOOR(T360,1)=TODAY()</formula>
    </cfRule>
  </conditionalFormatting>
  <conditionalFormatting sqref="C360:C361">
    <cfRule type="containsText" dxfId="137" priority="86" operator="containsText" text="x">
      <formula>NOT(ISERROR(SEARCH("x",C360)))</formula>
    </cfRule>
  </conditionalFormatting>
  <conditionalFormatting sqref="T360:T361">
    <cfRule type="cellIs" dxfId="136" priority="85" operator="greaterThan">
      <formula>0</formula>
    </cfRule>
  </conditionalFormatting>
  <conditionalFormatting sqref="T363">
    <cfRule type="timePeriod" dxfId="135" priority="84" timePeriod="today">
      <formula>FLOOR(T363,1)=TODAY()</formula>
    </cfRule>
  </conditionalFormatting>
  <conditionalFormatting sqref="C363">
    <cfRule type="containsText" dxfId="134" priority="83" operator="containsText" text="x">
      <formula>NOT(ISERROR(SEARCH("x",C363)))</formula>
    </cfRule>
  </conditionalFormatting>
  <conditionalFormatting sqref="T363">
    <cfRule type="cellIs" dxfId="133" priority="82" operator="greaterThan">
      <formula>0</formula>
    </cfRule>
  </conditionalFormatting>
  <conditionalFormatting sqref="T645">
    <cfRule type="timePeriod" dxfId="132" priority="81" timePeriod="today">
      <formula>FLOOR(T645,1)=TODAY()</formula>
    </cfRule>
  </conditionalFormatting>
  <conditionalFormatting sqref="C645">
    <cfRule type="containsText" dxfId="131" priority="80" operator="containsText" text="x">
      <formula>NOT(ISERROR(SEARCH("x",C645)))</formula>
    </cfRule>
  </conditionalFormatting>
  <conditionalFormatting sqref="T645">
    <cfRule type="cellIs" dxfId="130" priority="79" operator="greaterThan">
      <formula>0</formula>
    </cfRule>
  </conditionalFormatting>
  <conditionalFormatting sqref="T1118">
    <cfRule type="timePeriod" dxfId="129" priority="78" timePeriod="today">
      <formula>FLOOR(T1118,1)=TODAY()</formula>
    </cfRule>
  </conditionalFormatting>
  <conditionalFormatting sqref="C1118">
    <cfRule type="containsText" dxfId="128" priority="77" operator="containsText" text="x">
      <formula>NOT(ISERROR(SEARCH("x",C1118)))</formula>
    </cfRule>
  </conditionalFormatting>
  <conditionalFormatting sqref="T1118">
    <cfRule type="cellIs" dxfId="127" priority="76" operator="greaterThan">
      <formula>0</formula>
    </cfRule>
  </conditionalFormatting>
  <conditionalFormatting sqref="T1196">
    <cfRule type="timePeriod" dxfId="126" priority="75" timePeriod="today">
      <formula>FLOOR(T1196,1)=TODAY()</formula>
    </cfRule>
  </conditionalFormatting>
  <conditionalFormatting sqref="C1196">
    <cfRule type="containsText" dxfId="125" priority="74" operator="containsText" text="x">
      <formula>NOT(ISERROR(SEARCH("x",C1196)))</formula>
    </cfRule>
  </conditionalFormatting>
  <conditionalFormatting sqref="T1196">
    <cfRule type="cellIs" dxfId="124" priority="73" operator="greaterThan">
      <formula>0</formula>
    </cfRule>
  </conditionalFormatting>
  <conditionalFormatting sqref="T1182">
    <cfRule type="timePeriod" dxfId="123" priority="72" timePeriod="today">
      <formula>FLOOR(T1182,1)=TODAY()</formula>
    </cfRule>
  </conditionalFormatting>
  <conditionalFormatting sqref="C1182">
    <cfRule type="containsText" dxfId="122" priority="71" operator="containsText" text="x">
      <formula>NOT(ISERROR(SEARCH("x",C1182)))</formula>
    </cfRule>
  </conditionalFormatting>
  <conditionalFormatting sqref="T1182">
    <cfRule type="cellIs" dxfId="121" priority="70" operator="greaterThan">
      <formula>0</formula>
    </cfRule>
  </conditionalFormatting>
  <conditionalFormatting sqref="T632">
    <cfRule type="timePeriod" dxfId="120" priority="69" timePeriod="today">
      <formula>FLOOR(T632,1)=TODAY()</formula>
    </cfRule>
  </conditionalFormatting>
  <conditionalFormatting sqref="C632">
    <cfRule type="containsText" dxfId="119" priority="68" operator="containsText" text="x">
      <formula>NOT(ISERROR(SEARCH("x",C632)))</formula>
    </cfRule>
  </conditionalFormatting>
  <conditionalFormatting sqref="T632">
    <cfRule type="cellIs" dxfId="118" priority="67" operator="greaterThan">
      <formula>0</formula>
    </cfRule>
  </conditionalFormatting>
  <conditionalFormatting sqref="C1963">
    <cfRule type="containsText" dxfId="117" priority="65" operator="containsText" text="x">
      <formula>NOT(ISERROR(SEARCH("x",C1963)))</formula>
    </cfRule>
  </conditionalFormatting>
  <conditionalFormatting sqref="C1964">
    <cfRule type="containsText" dxfId="116" priority="62" operator="containsText" text="x">
      <formula>NOT(ISERROR(SEARCH("x",C1964)))</formula>
    </cfRule>
  </conditionalFormatting>
  <conditionalFormatting sqref="T2337">
    <cfRule type="timePeriod" dxfId="115" priority="60" timePeriod="today">
      <formula>FLOOR(T2337,1)=TODAY()</formula>
    </cfRule>
  </conditionalFormatting>
  <conditionalFormatting sqref="C2337">
    <cfRule type="containsText" dxfId="114" priority="59" operator="containsText" text="x">
      <formula>NOT(ISERROR(SEARCH("x",C2337)))</formula>
    </cfRule>
  </conditionalFormatting>
  <conditionalFormatting sqref="T2337">
    <cfRule type="cellIs" dxfId="113" priority="58" operator="greaterThan">
      <formula>0</formula>
    </cfRule>
  </conditionalFormatting>
  <conditionalFormatting sqref="C1956">
    <cfRule type="containsText" dxfId="112" priority="56" operator="containsText" text="x">
      <formula>NOT(ISERROR(SEARCH("x",C1956)))</formula>
    </cfRule>
  </conditionalFormatting>
  <conditionalFormatting sqref="T448:T464">
    <cfRule type="timePeriod" dxfId="111" priority="54" timePeriod="today">
      <formula>FLOOR(T448,1)=TODAY()</formula>
    </cfRule>
  </conditionalFormatting>
  <conditionalFormatting sqref="B450">
    <cfRule type="duplicateValues" dxfId="110" priority="53"/>
  </conditionalFormatting>
  <conditionalFormatting sqref="C448:C464">
    <cfRule type="containsText" dxfId="109" priority="52" operator="containsText" text="x">
      <formula>NOT(ISERROR(SEARCH("x",C448)))</formula>
    </cfRule>
  </conditionalFormatting>
  <conditionalFormatting sqref="T448:T464">
    <cfRule type="cellIs" dxfId="108" priority="51" operator="greaterThan">
      <formula>0</formula>
    </cfRule>
  </conditionalFormatting>
  <conditionalFormatting sqref="T666">
    <cfRule type="timePeriod" dxfId="107" priority="50" timePeriod="today">
      <formula>FLOOR(T666,1)=TODAY()</formula>
    </cfRule>
  </conditionalFormatting>
  <conditionalFormatting sqref="C666">
    <cfRule type="containsText" dxfId="106" priority="49" operator="containsText" text="x">
      <formula>NOT(ISERROR(SEARCH("x",C666)))</formula>
    </cfRule>
  </conditionalFormatting>
  <conditionalFormatting sqref="T666">
    <cfRule type="cellIs" dxfId="105" priority="48" operator="greaterThan">
      <formula>0</formula>
    </cfRule>
  </conditionalFormatting>
  <conditionalFormatting sqref="T667">
    <cfRule type="timePeriod" dxfId="104" priority="47" timePeriod="today">
      <formula>FLOOR(T667,1)=TODAY()</formula>
    </cfRule>
  </conditionalFormatting>
  <conditionalFormatting sqref="C667">
    <cfRule type="containsText" dxfId="103" priority="46" operator="containsText" text="x">
      <formula>NOT(ISERROR(SEARCH("x",C667)))</formula>
    </cfRule>
  </conditionalFormatting>
  <conditionalFormatting sqref="T667">
    <cfRule type="cellIs" dxfId="102" priority="45" operator="greaterThan">
      <formula>0</formula>
    </cfRule>
  </conditionalFormatting>
  <conditionalFormatting sqref="C1779">
    <cfRule type="containsText" dxfId="101" priority="43" operator="containsText" text="x">
      <formula>NOT(ISERROR(SEARCH("x",C1779)))</formula>
    </cfRule>
  </conditionalFormatting>
  <conditionalFormatting sqref="C1780">
    <cfRule type="containsText" dxfId="100" priority="40" operator="containsText" text="x">
      <formula>NOT(ISERROR(SEARCH("x",C1780)))</formula>
    </cfRule>
  </conditionalFormatting>
  <conditionalFormatting sqref="T1845:T1851">
    <cfRule type="timePeriod" dxfId="99" priority="38" timePeriod="today">
      <formula>FLOOR(T1845,1)=TODAY()</formula>
    </cfRule>
  </conditionalFormatting>
  <conditionalFormatting sqref="C1849:C1851 C1845:C1847">
    <cfRule type="containsText" dxfId="98" priority="37" operator="containsText" text="x">
      <formula>NOT(ISERROR(SEARCH("x",C1845)))</formula>
    </cfRule>
  </conditionalFormatting>
  <conditionalFormatting sqref="C1848">
    <cfRule type="containsText" dxfId="97" priority="36" operator="containsText" text="x">
      <formula>NOT(ISERROR(SEARCH("x",C1848)))</formula>
    </cfRule>
  </conditionalFormatting>
  <conditionalFormatting sqref="T1845:T1851">
    <cfRule type="cellIs" dxfId="96" priority="35" operator="greaterThan">
      <formula>0</formula>
    </cfRule>
  </conditionalFormatting>
  <conditionalFormatting sqref="B1812">
    <cfRule type="duplicateValues" dxfId="95" priority="34"/>
  </conditionalFormatting>
  <conditionalFormatting sqref="T1902">
    <cfRule type="timePeriod" dxfId="94" priority="33" timePeriod="today">
      <formula>FLOOR(T1902,1)=TODAY()</formula>
    </cfRule>
  </conditionalFormatting>
  <conditionalFormatting sqref="C1902">
    <cfRule type="containsText" dxfId="93" priority="32" operator="containsText" text="x">
      <formula>NOT(ISERROR(SEARCH("x",C1902)))</formula>
    </cfRule>
  </conditionalFormatting>
  <conditionalFormatting sqref="T1902">
    <cfRule type="cellIs" dxfId="92" priority="31" operator="greaterThan">
      <formula>0</formula>
    </cfRule>
  </conditionalFormatting>
  <conditionalFormatting sqref="T1873:T1885">
    <cfRule type="timePeriod" dxfId="91" priority="30" timePeriod="today">
      <formula>FLOOR(T1873,1)=TODAY()</formula>
    </cfRule>
  </conditionalFormatting>
  <conditionalFormatting sqref="C1873:C1885">
    <cfRule type="containsText" dxfId="90" priority="29" operator="containsText" text="x">
      <formula>NOT(ISERROR(SEARCH("x",C1873)))</formula>
    </cfRule>
  </conditionalFormatting>
  <conditionalFormatting sqref="T1873:T1885">
    <cfRule type="cellIs" dxfId="89" priority="28" operator="greaterThan">
      <formula>0</formula>
    </cfRule>
  </conditionalFormatting>
  <conditionalFormatting sqref="T1965">
    <cfRule type="timePeriod" dxfId="88" priority="27" timePeriod="today">
      <formula>FLOOR(T1965,1)=TODAY()</formula>
    </cfRule>
  </conditionalFormatting>
  <conditionalFormatting sqref="C1965">
    <cfRule type="containsText" dxfId="87" priority="26" operator="containsText" text="x">
      <formula>NOT(ISERROR(SEARCH("x",C1965)))</formula>
    </cfRule>
  </conditionalFormatting>
  <conditionalFormatting sqref="T1965">
    <cfRule type="cellIs" dxfId="86" priority="25" operator="greaterThan">
      <formula>0</formula>
    </cfRule>
  </conditionalFormatting>
  <conditionalFormatting sqref="T1886:T1901">
    <cfRule type="timePeriod" dxfId="85" priority="24" timePeriod="today">
      <formula>FLOOR(T1886,1)=TODAY()</formula>
    </cfRule>
  </conditionalFormatting>
  <conditionalFormatting sqref="C1886:C1901">
    <cfRule type="containsText" dxfId="84" priority="23" operator="containsText" text="x">
      <formula>NOT(ISERROR(SEARCH("x",C1886)))</formula>
    </cfRule>
  </conditionalFormatting>
  <conditionalFormatting sqref="T1886:T1901">
    <cfRule type="cellIs" dxfId="83" priority="22" operator="greaterThan">
      <formula>0</formula>
    </cfRule>
  </conditionalFormatting>
  <conditionalFormatting sqref="B1884:B1888 B1891">
    <cfRule type="duplicateValues" dxfId="82" priority="21"/>
  </conditionalFormatting>
  <conditionalFormatting sqref="B1889">
    <cfRule type="duplicateValues" dxfId="81" priority="20"/>
  </conditionalFormatting>
  <conditionalFormatting sqref="B1890">
    <cfRule type="duplicateValues" dxfId="80" priority="19"/>
  </conditionalFormatting>
  <conditionalFormatting sqref="B1986:B1996">
    <cfRule type="duplicateValues" dxfId="79" priority="18"/>
  </conditionalFormatting>
  <conditionalFormatting sqref="T1778">
    <cfRule type="timePeriod" dxfId="78" priority="17" timePeriod="today">
      <formula>FLOOR(T1778,1)=TODAY()</formula>
    </cfRule>
  </conditionalFormatting>
  <conditionalFormatting sqref="T1778">
    <cfRule type="cellIs" dxfId="77" priority="16" operator="greaterThan">
      <formula>0</formula>
    </cfRule>
  </conditionalFormatting>
  <conditionalFormatting sqref="C1778">
    <cfRule type="containsText" dxfId="76" priority="15" operator="containsText" text="x">
      <formula>NOT(ISERROR(SEARCH("x",C1778)))</formula>
    </cfRule>
  </conditionalFormatting>
  <conditionalFormatting sqref="T1781">
    <cfRule type="timePeriod" dxfId="75" priority="14" timePeriod="today">
      <formula>FLOOR(T1781,1)=TODAY()</formula>
    </cfRule>
  </conditionalFormatting>
  <conditionalFormatting sqref="C1781">
    <cfRule type="containsText" dxfId="74" priority="13" operator="containsText" text="x">
      <formula>NOT(ISERROR(SEARCH("x",C1781)))</formula>
    </cfRule>
  </conditionalFormatting>
  <conditionalFormatting sqref="T1781">
    <cfRule type="cellIs" dxfId="73" priority="12" operator="greaterThan">
      <formula>0</formula>
    </cfRule>
  </conditionalFormatting>
  <conditionalFormatting sqref="B1867">
    <cfRule type="duplicateValues" dxfId="72" priority="6"/>
  </conditionalFormatting>
  <conditionalFormatting sqref="B1870">
    <cfRule type="duplicateValues" dxfId="71" priority="5"/>
  </conditionalFormatting>
  <conditionalFormatting sqref="B1868">
    <cfRule type="duplicateValues" dxfId="70" priority="4"/>
  </conditionalFormatting>
  <conditionalFormatting sqref="B1872 B1864:B1866">
    <cfRule type="duplicateValues" dxfId="69" priority="7"/>
  </conditionalFormatting>
  <conditionalFormatting sqref="B1871">
    <cfRule type="duplicateValues" dxfId="68" priority="3"/>
  </conditionalFormatting>
  <conditionalFormatting sqref="B1869">
    <cfRule type="duplicateValues" dxfId="67" priority="2"/>
  </conditionalFormatting>
  <conditionalFormatting sqref="B1863">
    <cfRule type="duplicateValues" dxfId="66"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17" t="s">
        <v>4144</v>
      </c>
      <c r="B1" s="3217"/>
      <c r="C1" s="3217"/>
      <c r="D1" s="3217"/>
      <c r="E1" s="3217"/>
      <c r="F1" s="3217"/>
      <c r="G1" s="3217"/>
      <c r="H1" s="3217"/>
      <c r="I1" s="3217"/>
      <c r="J1" s="3217"/>
      <c r="K1" s="3217"/>
      <c r="L1" s="3217"/>
      <c r="M1" s="3217"/>
      <c r="N1" s="3217"/>
      <c r="O1" s="3217"/>
      <c r="P1" s="3217"/>
      <c r="R1" s="810"/>
    </row>
    <row r="2" spans="1:24" ht="35.25" customHeight="1">
      <c r="A2" s="3216" t="str">
        <f>"Tên công trình: "&amp;Solieu!C6</f>
        <v xml:space="preserve">Tên công trình: </v>
      </c>
      <c r="B2" s="3216"/>
      <c r="C2" s="3216"/>
      <c r="D2" s="3216"/>
      <c r="E2" s="3216"/>
      <c r="F2" s="3216"/>
      <c r="G2" s="3216"/>
      <c r="H2" s="3216"/>
      <c r="I2" s="3216"/>
      <c r="J2" s="3216"/>
      <c r="K2" s="3211" t="str">
        <f>"Đơn vị thi công: "&amp;Solieu!C10</f>
        <v>Đơn vị thi công: x</v>
      </c>
      <c r="L2" s="3211"/>
      <c r="M2" s="3211"/>
      <c r="N2" s="3211"/>
      <c r="O2" s="3211"/>
      <c r="P2" s="3211"/>
    </row>
    <row r="3" spans="1:24" ht="26.25" customHeight="1" thickBot="1">
      <c r="A3" s="3216" t="s">
        <v>4145</v>
      </c>
      <c r="B3" s="3216"/>
      <c r="C3" s="3216"/>
      <c r="D3" s="3216"/>
      <c r="E3" s="3216"/>
      <c r="F3" s="3216"/>
      <c r="G3" s="3216"/>
      <c r="H3" s="3216"/>
      <c r="I3" s="3216"/>
      <c r="J3" s="3216"/>
      <c r="K3" s="3218" t="s">
        <v>4146</v>
      </c>
      <c r="L3" s="3219"/>
      <c r="M3" s="3219"/>
      <c r="N3" s="3219"/>
      <c r="O3" s="3219"/>
      <c r="P3" s="3220"/>
    </row>
    <row r="4" spans="1:24" ht="26.25" customHeight="1" thickTop="1">
      <c r="A4" s="3216" t="s">
        <v>4147</v>
      </c>
      <c r="B4" s="3216"/>
      <c r="C4" s="3216"/>
      <c r="D4" s="3216"/>
      <c r="E4" s="3216"/>
      <c r="F4" s="3216"/>
      <c r="G4" s="3216"/>
      <c r="H4" s="3216"/>
      <c r="I4" s="3216"/>
      <c r="J4" s="3216"/>
      <c r="K4" s="3216"/>
      <c r="L4" s="3216"/>
      <c r="M4" s="3216"/>
      <c r="N4" s="3216"/>
      <c r="O4" s="3216"/>
      <c r="P4" s="3216"/>
      <c r="R4" s="898"/>
      <c r="S4" s="730"/>
      <c r="T4" s="731"/>
      <c r="U4" s="908"/>
      <c r="V4" s="897"/>
      <c r="W4" s="909"/>
      <c r="X4" s="910"/>
    </row>
    <row r="5" spans="1:24" ht="28.5" customHeight="1">
      <c r="A5" s="3211" t="s">
        <v>4148</v>
      </c>
      <c r="B5" s="3211" t="s">
        <v>4149</v>
      </c>
      <c r="C5" s="3211"/>
      <c r="D5" s="3211" t="s">
        <v>4150</v>
      </c>
      <c r="E5" s="853" t="s">
        <v>4151</v>
      </c>
      <c r="F5" s="853"/>
      <c r="G5" s="853"/>
      <c r="H5" s="853"/>
      <c r="I5" s="853"/>
      <c r="J5" s="853"/>
      <c r="K5" s="853"/>
      <c r="L5" s="853"/>
      <c r="M5" s="853"/>
      <c r="N5" s="3212" t="s">
        <v>4152</v>
      </c>
      <c r="O5" s="3211" t="s">
        <v>4153</v>
      </c>
      <c r="P5" s="3211"/>
      <c r="R5" s="898"/>
      <c r="S5" s="730"/>
      <c r="T5" s="731"/>
      <c r="U5" s="911"/>
      <c r="V5" s="896"/>
      <c r="W5" s="895"/>
      <c r="X5" s="896"/>
    </row>
    <row r="6" spans="1:24" ht="28.5" customHeight="1">
      <c r="A6" s="3211"/>
      <c r="B6" s="3211" t="s">
        <v>4154</v>
      </c>
      <c r="C6" s="3211" t="s">
        <v>4155</v>
      </c>
      <c r="D6" s="3211"/>
      <c r="E6" s="3211" t="s">
        <v>4156</v>
      </c>
      <c r="F6" s="3211" t="s">
        <v>4157</v>
      </c>
      <c r="G6" s="3211" t="s">
        <v>4158</v>
      </c>
      <c r="H6" s="3211" t="s">
        <v>4159</v>
      </c>
      <c r="I6" s="3211"/>
      <c r="J6" s="3211" t="s">
        <v>4160</v>
      </c>
      <c r="K6" s="3211"/>
      <c r="L6" s="3211"/>
      <c r="M6" s="3211"/>
      <c r="N6" s="3213"/>
      <c r="O6" s="3211" t="s">
        <v>4161</v>
      </c>
      <c r="P6" s="3211" t="s">
        <v>4162</v>
      </c>
      <c r="R6" s="898"/>
      <c r="S6" s="730"/>
      <c r="T6" s="731"/>
      <c r="U6" s="907"/>
      <c r="V6" s="907"/>
      <c r="W6" s="907"/>
      <c r="X6" s="907"/>
    </row>
    <row r="7" spans="1:24" ht="48" customHeight="1">
      <c r="A7" s="3211"/>
      <c r="B7" s="3211"/>
      <c r="C7" s="3211"/>
      <c r="D7" s="3211"/>
      <c r="E7" s="3211"/>
      <c r="F7" s="3211"/>
      <c r="G7" s="3211"/>
      <c r="H7" s="818" t="s">
        <v>4163</v>
      </c>
      <c r="I7" s="818" t="s">
        <v>4164</v>
      </c>
      <c r="J7" s="818" t="s">
        <v>4165</v>
      </c>
      <c r="K7" s="818" t="s">
        <v>4166</v>
      </c>
      <c r="L7" s="818" t="s">
        <v>4163</v>
      </c>
      <c r="M7" s="818" t="s">
        <v>4167</v>
      </c>
      <c r="N7" s="3214"/>
      <c r="O7" s="3211"/>
      <c r="P7" s="3211"/>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5" t="str">
        <f>"- Tổng chiều dài tuyến: "&amp;ROUND(SUM(D8:D50),1)&amp;" m"</f>
        <v>- Tổng chiều dài tuyến: 725 m</v>
      </c>
      <c r="D52" s="3216"/>
      <c r="E52" s="3216"/>
      <c r="F52" s="3216"/>
      <c r="G52" s="3216"/>
      <c r="H52" s="3216"/>
      <c r="I52" s="3216"/>
      <c r="J52" s="3216"/>
      <c r="K52" s="3216"/>
      <c r="L52" s="3216"/>
      <c r="M52" s="3216"/>
      <c r="N52" s="3216"/>
      <c r="O52" s="3216"/>
      <c r="P52" s="3216"/>
    </row>
    <row r="53" spans="1:17" ht="21.75" customHeight="1">
      <c r="A53" s="922" t="s">
        <v>4168</v>
      </c>
      <c r="B53" s="916"/>
      <c r="C53" s="3215" t="str">
        <f>"- Tổng số lượng trụ "&amp;$E$8&amp;"m: "&amp;COUNTIF(E8:E51,$E$8)&amp;" trụ."</f>
        <v>- Tổng số lượng trụ 7,5m: 19 trụ.</v>
      </c>
      <c r="D53" s="3216"/>
      <c r="E53" s="3216"/>
      <c r="F53" s="3216"/>
      <c r="G53" s="3216"/>
      <c r="H53" s="3216"/>
      <c r="I53" s="3216"/>
      <c r="J53" s="3216"/>
      <c r="K53" s="3216"/>
      <c r="L53" s="3216"/>
      <c r="M53" s="3216"/>
      <c r="N53" s="3216"/>
      <c r="O53" s="3216"/>
      <c r="P53" s="3216"/>
    </row>
    <row r="54" spans="1:17" ht="21.75" customHeight="1">
      <c r="A54" s="917"/>
      <c r="B54" s="918"/>
      <c r="C54" s="3215" t="str">
        <f>"- Tổng số lượng móng M7BT đôi: "&amp;TEXT(COUNTIF(G6:G51,"M7BT ĐÔI"),"00")&amp;" móng."</f>
        <v>- Tổng số lượng móng M7BT đôi: 00 móng.</v>
      </c>
      <c r="D54" s="3216"/>
      <c r="E54" s="3216"/>
      <c r="F54" s="3216"/>
      <c r="G54" s="3216"/>
      <c r="H54" s="3216"/>
      <c r="I54" s="3216"/>
      <c r="J54" s="3216"/>
      <c r="K54" s="3216"/>
      <c r="L54" s="3216"/>
      <c r="M54" s="3216"/>
      <c r="N54" s="3216"/>
      <c r="O54" s="3216"/>
      <c r="P54" s="3216"/>
    </row>
    <row r="55" spans="1:17" ht="21.75" hidden="1" customHeight="1">
      <c r="A55" s="917"/>
      <c r="B55" s="918"/>
      <c r="C55" s="3215" t="str">
        <f>"- Tổng số lượng móng M12BT đơn: "&amp;TEXT(COUNTIF(G6:G13,"M12BT ĐƠN"),"00")&amp;" móng."</f>
        <v>- Tổng số lượng móng M12BT đơn: 00 móng.</v>
      </c>
      <c r="D55" s="3216"/>
      <c r="E55" s="3216"/>
      <c r="F55" s="3216"/>
      <c r="G55" s="3216"/>
      <c r="H55" s="3216"/>
      <c r="I55" s="3216"/>
      <c r="J55" s="3216"/>
      <c r="K55" s="3216"/>
      <c r="L55" s="3216"/>
      <c r="M55" s="3216"/>
      <c r="N55" s="3216"/>
      <c r="O55" s="3216"/>
      <c r="P55" s="3216"/>
      <c r="Q55" s="80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17" t="s">
        <v>4169</v>
      </c>
      <c r="B1" s="3217"/>
      <c r="C1" s="3217"/>
      <c r="D1" s="3217"/>
      <c r="E1" s="3217"/>
      <c r="F1" s="3217"/>
      <c r="G1" s="3217"/>
      <c r="H1" s="3217"/>
      <c r="I1" s="3217"/>
      <c r="J1" s="3217"/>
      <c r="K1" s="3217"/>
      <c r="L1" s="3217"/>
      <c r="M1" s="3217"/>
      <c r="N1" s="3217"/>
      <c r="O1" s="3217"/>
      <c r="P1" s="3217"/>
      <c r="R1" s="810" t="s">
        <v>4076</v>
      </c>
    </row>
    <row r="2" spans="1:20" ht="33.75" customHeight="1">
      <c r="A2" s="3221" t="e">
        <f>"Tên công trình: "&amp;Solieu!#REF!</f>
        <v>#REF!</v>
      </c>
      <c r="B2" s="3222"/>
      <c r="C2" s="3222"/>
      <c r="D2" s="3222"/>
      <c r="E2" s="3222"/>
      <c r="F2" s="3222"/>
      <c r="G2" s="3222"/>
      <c r="H2" s="3222"/>
      <c r="I2" s="3222"/>
      <c r="J2" s="3223"/>
      <c r="K2" s="3211" t="str">
        <f>"Đơn vị thi công: "&amp;Solieu!C10</f>
        <v>Đơn vị thi công: x</v>
      </c>
      <c r="L2" s="3211"/>
      <c r="M2" s="3211"/>
      <c r="N2" s="3211"/>
      <c r="O2" s="3211"/>
      <c r="P2" s="3211"/>
    </row>
    <row r="3" spans="1:20" ht="25.5" customHeight="1">
      <c r="A3" s="3216" t="s">
        <v>4170</v>
      </c>
      <c r="B3" s="3216"/>
      <c r="C3" s="3216"/>
      <c r="D3" s="3216"/>
      <c r="E3" s="3216"/>
      <c r="F3" s="3216"/>
      <c r="G3" s="3216"/>
      <c r="H3" s="3216"/>
      <c r="I3" s="3216"/>
      <c r="J3" s="3216"/>
      <c r="K3" s="3218" t="s">
        <v>4146</v>
      </c>
      <c r="L3" s="3219"/>
      <c r="M3" s="3219"/>
      <c r="N3" s="3219"/>
      <c r="O3" s="3219"/>
      <c r="P3" s="3220"/>
    </row>
    <row r="4" spans="1:20" ht="25.5" customHeight="1">
      <c r="A4" s="3216" t="s">
        <v>4147</v>
      </c>
      <c r="B4" s="3216"/>
      <c r="C4" s="3216"/>
      <c r="D4" s="3216"/>
      <c r="E4" s="3216"/>
      <c r="F4" s="3216"/>
      <c r="G4" s="3216"/>
      <c r="H4" s="3216"/>
      <c r="I4" s="3216"/>
      <c r="J4" s="3216"/>
      <c r="K4" s="3216"/>
      <c r="L4" s="3216"/>
      <c r="M4" s="3216"/>
      <c r="N4" s="3216"/>
      <c r="O4" s="3216"/>
      <c r="P4" s="3216"/>
    </row>
    <row r="5" spans="1:20">
      <c r="A5" s="3211" t="s">
        <v>4148</v>
      </c>
      <c r="B5" s="3211" t="s">
        <v>4171</v>
      </c>
      <c r="C5" s="3211"/>
      <c r="D5" s="3211" t="s">
        <v>3760</v>
      </c>
      <c r="E5" s="3211" t="s">
        <v>4172</v>
      </c>
      <c r="F5" s="3211" t="s">
        <v>4173</v>
      </c>
      <c r="G5" s="3211"/>
      <c r="H5" s="3211" t="s">
        <v>4174</v>
      </c>
      <c r="I5" s="3211"/>
      <c r="J5" s="3211"/>
      <c r="K5" s="3211"/>
      <c r="L5" s="3211" t="s">
        <v>4175</v>
      </c>
      <c r="M5" s="3211"/>
      <c r="N5" s="3211" t="s">
        <v>4152</v>
      </c>
      <c r="O5" s="3211" t="s">
        <v>4153</v>
      </c>
      <c r="P5" s="3211"/>
    </row>
    <row r="6" spans="1:20">
      <c r="A6" s="3211"/>
      <c r="B6" s="3211"/>
      <c r="C6" s="3211"/>
      <c r="D6" s="3211"/>
      <c r="E6" s="3211"/>
      <c r="F6" s="3211"/>
      <c r="G6" s="3211"/>
      <c r="H6" s="3211"/>
      <c r="I6" s="3211"/>
      <c r="J6" s="3211"/>
      <c r="K6" s="3211"/>
      <c r="L6" s="3211"/>
      <c r="M6" s="3211"/>
      <c r="N6" s="3211"/>
      <c r="O6" s="3211"/>
      <c r="P6" s="3211"/>
    </row>
    <row r="7" spans="1:20">
      <c r="A7" s="3211"/>
      <c r="B7" s="3211"/>
      <c r="C7" s="3211"/>
      <c r="D7" s="3211"/>
      <c r="E7" s="3211"/>
      <c r="F7" s="3211"/>
      <c r="G7" s="3211"/>
      <c r="H7" s="3211"/>
      <c r="I7" s="3211"/>
      <c r="J7" s="3211"/>
      <c r="K7" s="3211"/>
      <c r="L7" s="3211"/>
      <c r="M7" s="3211"/>
      <c r="N7" s="3211"/>
      <c r="O7" s="3211"/>
      <c r="P7" s="3211"/>
    </row>
    <row r="8" spans="1:20" ht="69.75" customHeight="1">
      <c r="A8" s="3211"/>
      <c r="B8" s="818" t="s">
        <v>4154</v>
      </c>
      <c r="C8" s="818" t="s">
        <v>4176</v>
      </c>
      <c r="D8" s="3211"/>
      <c r="E8" s="3211"/>
      <c r="F8" s="818" t="s">
        <v>4177</v>
      </c>
      <c r="G8" s="818" t="s">
        <v>4178</v>
      </c>
      <c r="H8" s="818" t="s">
        <v>4179</v>
      </c>
      <c r="I8" s="818" t="s">
        <v>4167</v>
      </c>
      <c r="J8" s="818" t="s">
        <v>4180</v>
      </c>
      <c r="K8" s="862" t="s">
        <v>4167</v>
      </c>
      <c r="L8" s="818" t="s">
        <v>4181</v>
      </c>
      <c r="M8" s="818" t="s">
        <v>4167</v>
      </c>
      <c r="N8" s="3211"/>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6" t="str">
        <f>"Tổng cộng: "&amp;TEXT((17-COUNTBLANK(B9:B25)),"00")&amp;" bộ."</f>
        <v>Tổng cộng: 09 bộ.</v>
      </c>
      <c r="B26" s="3216"/>
      <c r="C26" s="3216"/>
      <c r="D26" s="868"/>
      <c r="E26" s="868"/>
      <c r="F26" s="868"/>
      <c r="G26" s="868"/>
      <c r="H26" s="868"/>
      <c r="I26" s="868"/>
      <c r="J26" s="868"/>
      <c r="K26" s="869"/>
      <c r="L26" s="868"/>
      <c r="M26" s="868"/>
      <c r="N26" s="868"/>
      <c r="O26" s="868"/>
      <c r="P26" s="868"/>
    </row>
    <row r="27" spans="1:18" ht="28.5" customHeight="1">
      <c r="A27" s="3216" t="s">
        <v>4182</v>
      </c>
      <c r="B27" s="3216"/>
      <c r="C27" s="3216"/>
      <c r="D27" s="3216" t="str">
        <f>"NXL:  "&amp;TEXT(COUNTIF(R:R,"CL"),"00")&amp;" bộ."</f>
        <v>NXL:  00 bộ.</v>
      </c>
      <c r="E27" s="3216"/>
      <c r="F27" s="3216"/>
      <c r="G27" s="3216"/>
      <c r="H27" s="3216"/>
      <c r="I27" s="3216"/>
      <c r="J27" s="3216"/>
      <c r="K27" s="3216"/>
      <c r="L27" s="3216"/>
      <c r="M27" s="3216"/>
      <c r="N27" s="3216"/>
      <c r="O27" s="3216"/>
      <c r="P27" s="3216"/>
    </row>
    <row r="28" spans="1:18" ht="28.5" customHeight="1">
      <c r="A28" s="3216"/>
      <c r="B28" s="3216"/>
      <c r="C28" s="3216"/>
      <c r="D28" s="3216" t="str">
        <f>"NXX:  "&amp;TEXT(COUNTIF(R:R,"CX"),"00")&amp;" bộ."</f>
        <v>NXX:  09 bộ.</v>
      </c>
      <c r="E28" s="3216"/>
      <c r="F28" s="3216"/>
      <c r="G28" s="3216"/>
      <c r="H28" s="3216"/>
      <c r="I28" s="3216"/>
      <c r="J28" s="3216"/>
      <c r="K28" s="3216"/>
      <c r="L28" s="3216"/>
      <c r="M28" s="3216"/>
      <c r="N28" s="3216"/>
      <c r="O28" s="3216"/>
      <c r="P28" s="3216"/>
    </row>
    <row r="29" spans="1:18">
      <c r="A29" s="809"/>
      <c r="B29" s="809"/>
      <c r="C29" s="809"/>
      <c r="D29" s="809"/>
      <c r="E29" s="809"/>
      <c r="F29" s="80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24" t="s">
        <v>4183</v>
      </c>
      <c r="B1" s="3224"/>
      <c r="C1" s="3224"/>
      <c r="D1" s="3224"/>
      <c r="E1" s="3224"/>
      <c r="F1" s="3224"/>
      <c r="G1" s="3224"/>
      <c r="H1" s="3224"/>
      <c r="I1" s="3224"/>
      <c r="J1" s="3224"/>
      <c r="K1" s="3224"/>
      <c r="L1" s="3224"/>
      <c r="M1" s="3224"/>
      <c r="N1" s="3224"/>
      <c r="O1" s="3224"/>
      <c r="P1" s="3224"/>
      <c r="Q1" s="3224"/>
      <c r="R1" s="3224"/>
      <c r="S1" s="3224"/>
      <c r="T1" s="3224"/>
      <c r="V1" s="810" t="s">
        <v>4076</v>
      </c>
    </row>
    <row r="2" spans="1:30" ht="33" customHeight="1">
      <c r="A2" s="3221" t="e">
        <f>"Tên công trình: "&amp;Solieu!#REF!</f>
        <v>#REF!</v>
      </c>
      <c r="B2" s="3222"/>
      <c r="C2" s="3222"/>
      <c r="D2" s="3222"/>
      <c r="E2" s="3222"/>
      <c r="F2" s="3222"/>
      <c r="G2" s="3222"/>
      <c r="H2" s="3222"/>
      <c r="I2" s="3222"/>
      <c r="J2" s="3222"/>
      <c r="K2" s="3222"/>
      <c r="L2" s="3222"/>
      <c r="M2" s="3222"/>
      <c r="N2" s="3223"/>
      <c r="O2" s="3225" t="str">
        <f>"Đơn vị thi công: "&amp;Solieu!C10</f>
        <v>Đơn vị thi công: x</v>
      </c>
      <c r="P2" s="3226"/>
      <c r="Q2" s="3226"/>
      <c r="R2" s="3226"/>
      <c r="S2" s="3226"/>
      <c r="T2" s="3227"/>
    </row>
    <row r="3" spans="1:30" ht="31.5" customHeight="1">
      <c r="A3" s="3221" t="s">
        <v>4184</v>
      </c>
      <c r="B3" s="3222"/>
      <c r="C3" s="3222"/>
      <c r="D3" s="3222"/>
      <c r="E3" s="3222"/>
      <c r="F3" s="3222"/>
      <c r="G3" s="3222"/>
      <c r="H3" s="3222"/>
      <c r="I3" s="3222"/>
      <c r="J3" s="3222"/>
      <c r="K3" s="3222"/>
      <c r="L3" s="3222"/>
      <c r="M3" s="3222"/>
      <c r="N3" s="3223"/>
      <c r="O3" s="3211" t="s">
        <v>4185</v>
      </c>
      <c r="P3" s="3211"/>
      <c r="Q3" s="3211"/>
      <c r="R3" s="3211"/>
      <c r="S3" s="3211"/>
      <c r="T3" s="3211"/>
    </row>
    <row r="4" spans="1:30" ht="15.75">
      <c r="A4" s="3216" t="s">
        <v>4147</v>
      </c>
      <c r="B4" s="3216"/>
      <c r="C4" s="3216"/>
      <c r="D4" s="3216"/>
      <c r="E4" s="3216"/>
      <c r="F4" s="3216"/>
      <c r="G4" s="3216"/>
      <c r="H4" s="3216"/>
      <c r="I4" s="3216"/>
      <c r="J4" s="3216"/>
      <c r="K4" s="3216"/>
      <c r="L4" s="3216"/>
      <c r="M4" s="3216"/>
      <c r="N4" s="3216"/>
      <c r="O4" s="3216"/>
      <c r="P4" s="3216"/>
      <c r="Q4" s="3216"/>
      <c r="R4" s="3216"/>
      <c r="S4" s="3216"/>
      <c r="T4" s="3216"/>
    </row>
    <row r="5" spans="1:30" ht="32.25" customHeight="1">
      <c r="A5" s="3228" t="s">
        <v>4148</v>
      </c>
      <c r="B5" s="3228" t="s">
        <v>4186</v>
      </c>
      <c r="C5" s="3228"/>
      <c r="D5" s="3228" t="s">
        <v>3760</v>
      </c>
      <c r="E5" s="3228" t="s">
        <v>3272</v>
      </c>
      <c r="F5" s="3228"/>
      <c r="G5" s="3228" t="s">
        <v>4187</v>
      </c>
      <c r="H5" s="3228"/>
      <c r="I5" s="3228"/>
      <c r="J5" s="3228"/>
      <c r="K5" s="3228"/>
      <c r="L5" s="3228" t="s">
        <v>4188</v>
      </c>
      <c r="M5" s="3228"/>
      <c r="N5" s="3228"/>
      <c r="O5" s="3228" t="s">
        <v>4189</v>
      </c>
      <c r="P5" s="3228"/>
      <c r="Q5" s="3228"/>
      <c r="R5" s="3228" t="s">
        <v>4190</v>
      </c>
      <c r="S5" s="3228" t="s">
        <v>4153</v>
      </c>
      <c r="T5" s="3228"/>
    </row>
    <row r="6" spans="1:30" ht="35.25" customHeight="1">
      <c r="A6" s="3228"/>
      <c r="B6" s="3228" t="s">
        <v>4191</v>
      </c>
      <c r="C6" s="3228" t="s">
        <v>4176</v>
      </c>
      <c r="D6" s="3228"/>
      <c r="E6" s="3228" t="s">
        <v>4192</v>
      </c>
      <c r="F6" s="3228" t="s">
        <v>4193</v>
      </c>
      <c r="G6" s="3228" t="s">
        <v>4194</v>
      </c>
      <c r="H6" s="3228" t="s">
        <v>4195</v>
      </c>
      <c r="I6" s="3228" t="s">
        <v>4196</v>
      </c>
      <c r="J6" s="3228" t="s">
        <v>4197</v>
      </c>
      <c r="K6" s="3228" t="s">
        <v>4198</v>
      </c>
      <c r="L6" s="3228" t="s">
        <v>4199</v>
      </c>
      <c r="M6" s="3228" t="s">
        <v>4200</v>
      </c>
      <c r="N6" s="3228"/>
      <c r="O6" s="3228" t="s">
        <v>4201</v>
      </c>
      <c r="P6" s="3228" t="s">
        <v>4202</v>
      </c>
      <c r="Q6" s="3228" t="s">
        <v>4203</v>
      </c>
      <c r="R6" s="3228"/>
      <c r="S6" s="3228" t="s">
        <v>4204</v>
      </c>
      <c r="T6" s="3228" t="s">
        <v>4205</v>
      </c>
      <c r="U6" s="870">
        <v>17</v>
      </c>
      <c r="V6" s="870">
        <v>18</v>
      </c>
      <c r="W6" s="870">
        <v>19</v>
      </c>
      <c r="X6" s="870">
        <v>20</v>
      </c>
      <c r="Y6" s="870">
        <v>21</v>
      </c>
      <c r="Z6" s="870">
        <v>22</v>
      </c>
      <c r="AA6" s="870">
        <v>23</v>
      </c>
      <c r="AB6" s="870">
        <v>24</v>
      </c>
      <c r="AC6" s="870">
        <v>25</v>
      </c>
      <c r="AD6" s="870">
        <v>28</v>
      </c>
    </row>
    <row r="7" spans="1:30" ht="61.5" customHeight="1">
      <c r="A7" s="3228"/>
      <c r="B7" s="3228"/>
      <c r="C7" s="3228"/>
      <c r="D7" s="3228"/>
      <c r="E7" s="3228"/>
      <c r="F7" s="3228"/>
      <c r="G7" s="3228"/>
      <c r="H7" s="3228"/>
      <c r="I7" s="3228"/>
      <c r="J7" s="3228"/>
      <c r="K7" s="3228"/>
      <c r="L7" s="3228"/>
      <c r="M7" s="846" t="s">
        <v>4206</v>
      </c>
      <c r="N7" s="846" t="s">
        <v>4167</v>
      </c>
      <c r="O7" s="3228"/>
      <c r="P7" s="3228"/>
      <c r="Q7" s="3228"/>
      <c r="R7" s="3228"/>
      <c r="S7" s="3228"/>
      <c r="T7" s="3228"/>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29" t="s">
        <v>4207</v>
      </c>
      <c r="B1" s="3229"/>
      <c r="C1" s="3229"/>
      <c r="D1" s="3229"/>
      <c r="E1" s="3229"/>
      <c r="F1" s="3229"/>
      <c r="G1" s="3229"/>
      <c r="H1" s="3229"/>
      <c r="I1" s="3229"/>
    </row>
    <row r="2" spans="1:9" ht="47.25" customHeight="1">
      <c r="A2" s="3216" t="e">
        <f>"Tên công trình: "&amp;Solieu!#REF!</f>
        <v>#REF!</v>
      </c>
      <c r="B2" s="3216"/>
      <c r="C2" s="3216"/>
      <c r="D2" s="3216"/>
      <c r="E2" s="3216"/>
      <c r="F2" s="3216"/>
      <c r="G2" s="3218" t="str">
        <f>"Đơn vị thi công: "&amp;Solieu!C10</f>
        <v>Đơn vị thi công: x</v>
      </c>
      <c r="H2" s="3219"/>
      <c r="I2" s="3220"/>
    </row>
    <row r="3" spans="1:9" ht="31.5" customHeight="1">
      <c r="A3" s="3216" t="s">
        <v>4232</v>
      </c>
      <c r="B3" s="3216"/>
      <c r="C3" s="3216"/>
      <c r="D3" s="3216"/>
      <c r="E3" s="3216"/>
      <c r="F3" s="3216"/>
      <c r="G3" s="3230" t="s">
        <v>4146</v>
      </c>
      <c r="H3" s="3230"/>
      <c r="I3" s="3230"/>
    </row>
    <row r="4" spans="1:9" ht="15.75">
      <c r="A4" s="3216" t="s">
        <v>4147</v>
      </c>
      <c r="B4" s="3216"/>
      <c r="C4" s="3216"/>
      <c r="D4" s="3216"/>
      <c r="E4" s="3216"/>
      <c r="F4" s="3216"/>
      <c r="G4" s="3216"/>
      <c r="H4" s="3216"/>
      <c r="I4" s="3216"/>
    </row>
    <row r="5" spans="1:9" s="809" customFormat="1" ht="21" customHeight="1">
      <c r="A5" s="3211" t="s">
        <v>4148</v>
      </c>
      <c r="B5" s="3211" t="s">
        <v>4208</v>
      </c>
      <c r="C5" s="3211"/>
      <c r="D5" s="3211"/>
      <c r="E5" s="3211" t="s">
        <v>4209</v>
      </c>
      <c r="F5" s="3211"/>
      <c r="G5" s="3211" t="s">
        <v>4190</v>
      </c>
      <c r="H5" s="3211" t="s">
        <v>4153</v>
      </c>
      <c r="I5" s="3211"/>
    </row>
    <row r="6" spans="1:9" s="809" customFormat="1" ht="21" customHeight="1">
      <c r="A6" s="3211"/>
      <c r="B6" s="868" t="s">
        <v>4210</v>
      </c>
      <c r="C6" s="3211" t="s">
        <v>4211</v>
      </c>
      <c r="D6" s="3211" t="s">
        <v>4140</v>
      </c>
      <c r="E6" s="3211" t="s">
        <v>4212</v>
      </c>
      <c r="F6" s="3211" t="s">
        <v>4213</v>
      </c>
      <c r="G6" s="3211"/>
      <c r="H6" s="3211" t="s">
        <v>4204</v>
      </c>
      <c r="I6" s="3211" t="s">
        <v>4205</v>
      </c>
    </row>
    <row r="7" spans="1:9" s="809" customFormat="1" ht="21" customHeight="1">
      <c r="A7" s="3211"/>
      <c r="B7" s="868" t="s">
        <v>4214</v>
      </c>
      <c r="C7" s="3211"/>
      <c r="D7" s="3211"/>
      <c r="E7" s="3211"/>
      <c r="F7" s="3211"/>
      <c r="G7" s="3211"/>
      <c r="H7" s="3211"/>
      <c r="I7" s="3211"/>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31" t="s">
        <v>4215</v>
      </c>
      <c r="B10" s="3231"/>
      <c r="C10" s="3232" t="e">
        <f>C9</f>
        <v>#REF!</v>
      </c>
      <c r="D10" s="3233"/>
      <c r="E10" s="3233"/>
      <c r="F10" s="3233"/>
      <c r="G10" s="3233"/>
      <c r="H10" s="3233"/>
      <c r="I10" s="3233"/>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2" customWidth="1"/>
    <col min="2" max="10" width="8.88671875" style="1612"/>
    <col min="11" max="16384" width="8.88671875" style="1609"/>
  </cols>
  <sheetData>
    <row r="1" spans="1:11">
      <c r="A1" s="3235" t="s">
        <v>4095</v>
      </c>
      <c r="B1" s="3235"/>
      <c r="C1" s="3235"/>
      <c r="D1" s="3235"/>
      <c r="E1" s="3235"/>
      <c r="F1" s="3235"/>
      <c r="G1" s="3235"/>
      <c r="H1" s="3235"/>
      <c r="I1" s="3235"/>
      <c r="J1" s="3235"/>
      <c r="K1" s="810" t="s">
        <v>4076</v>
      </c>
    </row>
    <row r="2" spans="1:11" ht="18.75">
      <c r="A2" s="3236" t="s">
        <v>4096</v>
      </c>
      <c r="B2" s="3236"/>
      <c r="C2" s="3236"/>
      <c r="D2" s="3236"/>
      <c r="E2" s="3236"/>
      <c r="F2" s="3236"/>
      <c r="G2" s="3236"/>
      <c r="H2" s="3236"/>
      <c r="I2" s="3236"/>
      <c r="J2" s="3236"/>
    </row>
    <row r="3" spans="1:11" ht="15" customHeight="1">
      <c r="A3" s="3237" t="s">
        <v>4097</v>
      </c>
      <c r="B3" s="3237"/>
      <c r="C3" s="3237"/>
      <c r="D3" s="3237"/>
      <c r="E3" s="3237"/>
      <c r="F3" s="3237"/>
      <c r="G3" s="3237"/>
      <c r="H3" s="3237"/>
      <c r="I3" s="3237"/>
      <c r="J3" s="3237"/>
    </row>
    <row r="4" spans="1:11" ht="15" customHeight="1">
      <c r="A4" s="3238" t="s">
        <v>4524</v>
      </c>
      <c r="B4" s="3238"/>
      <c r="C4" s="3238"/>
      <c r="D4" s="3238"/>
      <c r="E4" s="3238"/>
      <c r="F4" s="3238"/>
      <c r="G4" s="3238"/>
      <c r="H4" s="3238"/>
      <c r="I4" s="3238"/>
      <c r="J4" s="3238"/>
    </row>
    <row r="5" spans="1:11" ht="31.5" customHeight="1">
      <c r="A5" s="3239" t="s">
        <v>4497</v>
      </c>
      <c r="B5" s="3239"/>
      <c r="C5" s="3239"/>
      <c r="D5" s="3239"/>
      <c r="E5" s="3239"/>
      <c r="F5" s="3239"/>
      <c r="G5" s="3239"/>
      <c r="H5" s="3239"/>
      <c r="I5" s="3239"/>
      <c r="J5" s="3239"/>
    </row>
    <row r="6" spans="1:11" s="1610" customFormat="1" ht="18.75" customHeight="1">
      <c r="A6" s="3239" t="s">
        <v>4498</v>
      </c>
      <c r="B6" s="3239"/>
      <c r="C6" s="3239"/>
      <c r="D6" s="3239"/>
      <c r="E6" s="3239"/>
      <c r="F6" s="3239"/>
      <c r="G6" s="3239"/>
      <c r="H6" s="3239"/>
      <c r="I6" s="3239"/>
      <c r="J6" s="3239"/>
    </row>
    <row r="7" spans="1:11" s="1610" customFormat="1" ht="18.75" customHeight="1">
      <c r="A7" s="3239" t="s">
        <v>4499</v>
      </c>
      <c r="B7" s="3239"/>
      <c r="C7" s="3239"/>
      <c r="D7" s="3239"/>
      <c r="E7" s="3239"/>
      <c r="F7" s="3239"/>
      <c r="G7" s="3239"/>
      <c r="H7" s="3239"/>
      <c r="I7" s="3239"/>
      <c r="J7" s="3239"/>
    </row>
    <row r="8" spans="1:11" ht="41.25" customHeight="1">
      <c r="A8" s="3240" t="s">
        <v>4525</v>
      </c>
      <c r="B8" s="3240"/>
      <c r="C8" s="3240"/>
      <c r="D8" s="3240"/>
      <c r="E8" s="3240"/>
      <c r="F8" s="3240"/>
      <c r="G8" s="3240"/>
      <c r="H8" s="3240"/>
      <c r="I8" s="3240"/>
      <c r="J8" s="3240"/>
    </row>
    <row r="9" spans="1:11" ht="28.5" customHeight="1">
      <c r="A9" s="1611" t="s">
        <v>4500</v>
      </c>
    </row>
    <row r="10" spans="1:11" ht="19.7" customHeight="1">
      <c r="B10" s="1613" t="s">
        <v>4098</v>
      </c>
    </row>
    <row r="11" spans="1:11" ht="19.7" customHeight="1">
      <c r="B11" s="1611" t="s">
        <v>4501</v>
      </c>
    </row>
    <row r="12" spans="1:11" ht="19.7" customHeight="1">
      <c r="B12" s="1611" t="s">
        <v>4099</v>
      </c>
    </row>
    <row r="13" spans="1:11" ht="19.7" customHeight="1">
      <c r="B13" s="1614" t="s">
        <v>4100</v>
      </c>
    </row>
    <row r="14" spans="1:11" ht="19.7" customHeight="1">
      <c r="C14" s="1612" t="s">
        <v>4526</v>
      </c>
    </row>
    <row r="15" spans="1:11" ht="19.7" customHeight="1">
      <c r="B15" s="1614" t="s">
        <v>4101</v>
      </c>
    </row>
    <row r="16" spans="1:11" ht="19.7" customHeight="1">
      <c r="B16" s="1615" t="s">
        <v>4502</v>
      </c>
      <c r="E16" s="1614" t="s">
        <v>4102</v>
      </c>
    </row>
    <row r="17" spans="1:10" ht="19.7" customHeight="1">
      <c r="B17" s="1612" t="s">
        <v>4527</v>
      </c>
      <c r="F17" s="1612" t="s">
        <v>4103</v>
      </c>
    </row>
    <row r="18" spans="1:10" ht="19.7" customHeight="1">
      <c r="B18" s="1612" t="s">
        <v>4503</v>
      </c>
      <c r="E18" s="1614" t="s">
        <v>4431</v>
      </c>
    </row>
    <row r="19" spans="1:10" ht="19.7" customHeight="1">
      <c r="B19" s="1612" t="s">
        <v>4504</v>
      </c>
      <c r="F19" s="1612" t="s">
        <v>4104</v>
      </c>
    </row>
    <row r="20" spans="1:10" ht="19.7" customHeight="1">
      <c r="B20" s="1614" t="s">
        <v>4505</v>
      </c>
    </row>
    <row r="21" spans="1:10" ht="19.7" customHeight="1">
      <c r="B21" s="1616" t="s">
        <v>4506</v>
      </c>
      <c r="C21" s="1617"/>
      <c r="D21" s="1617"/>
      <c r="E21" s="1617"/>
      <c r="F21" s="1617"/>
      <c r="G21" s="1617"/>
      <c r="H21" s="1617"/>
      <c r="I21" s="1617"/>
      <c r="J21" s="1617"/>
    </row>
    <row r="22" spans="1:10" s="1621" customFormat="1" ht="19.7" customHeight="1">
      <c r="A22" s="1618"/>
      <c r="B22" s="1619" t="s">
        <v>4507</v>
      </c>
      <c r="C22" s="1620"/>
      <c r="D22" s="1620"/>
      <c r="E22" s="1620"/>
      <c r="F22" s="1620"/>
      <c r="G22" s="1620"/>
      <c r="H22" s="1620"/>
      <c r="I22" s="1620"/>
      <c r="J22" s="1620"/>
    </row>
    <row r="23" spans="1:10" s="1621" customFormat="1" ht="19.7" customHeight="1">
      <c r="A23" s="1618"/>
      <c r="B23" s="1619" t="s">
        <v>4508</v>
      </c>
      <c r="C23" s="1620"/>
      <c r="D23" s="1620"/>
      <c r="E23" s="1620"/>
      <c r="F23" s="1620"/>
      <c r="G23" s="1620"/>
      <c r="H23" s="1620"/>
      <c r="I23" s="1620"/>
      <c r="J23" s="1620"/>
    </row>
    <row r="24" spans="1:10" s="1621" customFormat="1" ht="19.7" customHeight="1">
      <c r="A24" s="1618"/>
      <c r="B24" s="1619" t="s">
        <v>4509</v>
      </c>
      <c r="C24" s="1620"/>
      <c r="D24" s="1620"/>
      <c r="E24" s="1620"/>
      <c r="F24" s="1620"/>
      <c r="G24" s="1620"/>
      <c r="H24" s="1620"/>
      <c r="I24" s="1620"/>
      <c r="J24" s="1620"/>
    </row>
    <row r="25" spans="1:10" s="1621" customFormat="1" ht="19.7" customHeight="1">
      <c r="A25" s="1618"/>
      <c r="B25" s="1619" t="s">
        <v>4510</v>
      </c>
      <c r="C25" s="1620"/>
      <c r="D25" s="1620"/>
      <c r="E25" s="1620"/>
      <c r="F25" s="1620"/>
      <c r="G25" s="1620"/>
      <c r="H25" s="1620"/>
      <c r="I25" s="1620"/>
      <c r="J25" s="1620"/>
    </row>
    <row r="26" spans="1:10" s="1621" customFormat="1" ht="19.7" customHeight="1">
      <c r="A26" s="1618"/>
      <c r="B26" s="1619" t="s">
        <v>4511</v>
      </c>
      <c r="C26" s="1620"/>
      <c r="D26" s="1620"/>
      <c r="E26" s="1620"/>
      <c r="F26" s="1620"/>
      <c r="G26" s="1620"/>
      <c r="H26" s="1620"/>
      <c r="I26" s="1620"/>
      <c r="J26" s="1620"/>
    </row>
    <row r="27" spans="1:10" s="1621" customFormat="1" ht="19.7" customHeight="1">
      <c r="A27" s="1618"/>
      <c r="B27" s="1619" t="s">
        <v>4512</v>
      </c>
      <c r="C27" s="1620"/>
      <c r="D27" s="1620"/>
      <c r="E27" s="1620"/>
      <c r="F27" s="1620"/>
      <c r="G27" s="1620"/>
      <c r="H27" s="1620"/>
      <c r="I27" s="1620"/>
      <c r="J27" s="1620"/>
    </row>
    <row r="28" spans="1:10" s="1621" customFormat="1" ht="19.7" customHeight="1">
      <c r="A28" s="1618"/>
      <c r="B28" s="1619" t="s">
        <v>4513</v>
      </c>
      <c r="C28" s="1620"/>
      <c r="D28" s="1620"/>
      <c r="E28" s="1620"/>
      <c r="F28" s="1620"/>
      <c r="G28" s="1620"/>
      <c r="H28" s="1620"/>
      <c r="I28" s="1620"/>
      <c r="J28" s="1620"/>
    </row>
    <row r="29" spans="1:10" s="1621" customFormat="1" ht="19.7" customHeight="1">
      <c r="A29" s="1618"/>
      <c r="B29" s="1622" t="s">
        <v>4514</v>
      </c>
      <c r="C29" s="1620"/>
      <c r="D29" s="1620"/>
      <c r="E29" s="1620"/>
      <c r="F29" s="1620"/>
      <c r="G29" s="1620"/>
      <c r="H29" s="1620"/>
      <c r="I29" s="1620"/>
      <c r="J29" s="1620"/>
    </row>
    <row r="30" spans="1:10" ht="24" customHeight="1">
      <c r="B30" s="1614" t="s">
        <v>4515</v>
      </c>
    </row>
    <row r="31" spans="1:10" ht="72" customHeight="1">
      <c r="B31" s="3241" t="s">
        <v>4516</v>
      </c>
      <c r="C31" s="3241"/>
      <c r="D31" s="3241"/>
      <c r="E31" s="3241"/>
      <c r="F31" s="3241"/>
      <c r="G31" s="3241"/>
      <c r="H31" s="3241"/>
      <c r="I31" s="3241"/>
      <c r="J31" s="3241"/>
    </row>
    <row r="32" spans="1:10" ht="32.25" customHeight="1">
      <c r="A32" s="3242" t="s">
        <v>4517</v>
      </c>
      <c r="B32" s="3242"/>
      <c r="C32" s="3242"/>
      <c r="D32" s="3242"/>
      <c r="E32" s="3242"/>
      <c r="F32" s="3242"/>
      <c r="G32" s="3242"/>
      <c r="H32" s="3242"/>
      <c r="I32" s="3242"/>
      <c r="J32" s="3242"/>
    </row>
    <row r="33" spans="1:10" ht="42.75" customHeight="1">
      <c r="B33" s="3243" t="s">
        <v>4518</v>
      </c>
      <c r="C33" s="3243"/>
      <c r="D33" s="3243"/>
      <c r="E33" s="3243"/>
      <c r="F33" s="3243"/>
      <c r="G33" s="3243"/>
      <c r="H33" s="3243"/>
      <c r="I33" s="3243"/>
      <c r="J33" s="3243"/>
    </row>
    <row r="34" spans="1:10" ht="24.75" customHeight="1">
      <c r="B34" s="1615" t="s">
        <v>4519</v>
      </c>
    </row>
    <row r="35" spans="1:10" ht="19.7" customHeight="1">
      <c r="B35" s="1623" t="s">
        <v>4520</v>
      </c>
    </row>
    <row r="36" spans="1:10" ht="46.5" customHeight="1">
      <c r="A36" s="3234" t="s">
        <v>4521</v>
      </c>
      <c r="B36" s="3234"/>
      <c r="C36" s="3234"/>
      <c r="D36" s="3234"/>
      <c r="E36" s="3234"/>
      <c r="F36" s="3234"/>
      <c r="G36" s="3234"/>
      <c r="H36" s="3234"/>
      <c r="I36" s="3234"/>
      <c r="J36" s="3234"/>
    </row>
    <row r="37" spans="1:10" s="1627" customFormat="1">
      <c r="A37" s="1624"/>
      <c r="B37" s="1624"/>
      <c r="C37" s="1625" t="s">
        <v>4522</v>
      </c>
      <c r="D37" s="1624"/>
      <c r="E37" s="1624"/>
      <c r="F37" s="1624"/>
      <c r="G37" s="1624"/>
      <c r="H37" s="1626" t="s">
        <v>4523</v>
      </c>
      <c r="I37" s="1624"/>
      <c r="J37" s="1624"/>
    </row>
    <row r="44" spans="1:10" s="1610" customFormat="1" ht="18.75">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9"/>
  <sheetViews>
    <sheetView workbookViewId="0">
      <pane ySplit="2" topLeftCell="A109" activePane="bottomLeft" state="frozen"/>
      <selection activeCell="B1" sqref="B1"/>
      <selection pane="bottomLeft" activeCell="F22" sqref="F22"/>
    </sheetView>
  </sheetViews>
  <sheetFormatPr defaultRowHeight="25.15" customHeight="1"/>
  <cols>
    <col min="1" max="1" width="8.77734375" style="1208"/>
    <col min="2" max="2" width="13" style="1749" customWidth="1"/>
    <col min="3" max="3" width="3.88671875" style="1212" customWidth="1"/>
    <col min="4" max="4" width="3.88671875" style="1750" customWidth="1"/>
    <col min="5" max="5" width="3.88671875" style="1751" customWidth="1"/>
    <col min="6" max="6" width="56.5546875" style="1749" bestFit="1" customWidth="1"/>
    <col min="7" max="9" width="8.77734375" style="1297" customWidth="1"/>
    <col min="10" max="10" width="8.88671875" style="1748"/>
    <col min="11" max="11" width="16.109375" style="1747" bestFit="1" customWidth="1"/>
    <col min="12" max="12" width="19.44140625" style="1297" customWidth="1"/>
    <col min="13" max="13" width="9.6640625" style="1375" customWidth="1"/>
    <col min="15" max="15" width="8.88671875" style="1375"/>
  </cols>
  <sheetData>
    <row r="1" spans="1:15" s="1210" customFormat="1" ht="28.5" customHeight="1">
      <c r="A1" s="2893" t="s">
        <v>4699</v>
      </c>
      <c r="B1" s="2894" t="s">
        <v>2595</v>
      </c>
      <c r="C1" s="2893"/>
      <c r="D1" s="2893"/>
      <c r="E1" s="2895"/>
      <c r="F1" s="2893" t="s">
        <v>4163</v>
      </c>
      <c r="G1" s="2896" t="s">
        <v>2598</v>
      </c>
      <c r="H1" s="2896" t="s">
        <v>4312</v>
      </c>
      <c r="I1" s="2896" t="s">
        <v>4640</v>
      </c>
      <c r="J1" s="2893" t="s">
        <v>1704</v>
      </c>
      <c r="K1" s="2893" t="str">
        <f>COUNTIF(K2:K1048576,1)&amp;" loại VTTB"</f>
        <v>63 loại VTTB</v>
      </c>
      <c r="L1" s="1210" t="s">
        <v>355</v>
      </c>
      <c r="M1" s="1835"/>
      <c r="O1" s="1835"/>
    </row>
    <row r="2" spans="1:15" s="1298" customFormat="1" ht="25.15"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15"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15"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15"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15"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300"/>
      <c r="M6" s="1375"/>
      <c r="O6" s="1375"/>
    </row>
    <row r="7" spans="1:15" s="1208" customFormat="1" ht="25.15" customHeight="1">
      <c r="A7" s="2897">
        <f>COUNTIF($K$1:K7,1)</f>
        <v>6</v>
      </c>
      <c r="B7" s="2912" t="str">
        <f>CT_tram!B2513</f>
        <v>cxv25</v>
      </c>
      <c r="C7" s="2913">
        <f>CT_tram!C2513</f>
        <v>36</v>
      </c>
      <c r="D7" s="2914">
        <f>CT_tram!D2513</f>
        <v>0</v>
      </c>
      <c r="E7" s="2915">
        <f>CT_tram!E2513</f>
        <v>0</v>
      </c>
      <c r="F7" s="2916" t="str">
        <f>CT_tram!F2513</f>
        <v>Cáp đồng bọc 24KV-CXV-25</v>
      </c>
      <c r="G7" s="2910"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15"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15"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15"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15"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15"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15" customHeight="1">
      <c r="A13" s="2897">
        <f>COUNTIF($K$1:K13,1)</f>
        <v>12</v>
      </c>
      <c r="B13" s="2898" t="str">
        <f>CT_tram!B2419</f>
        <v>COM40X10X920</v>
      </c>
      <c r="C13" s="2899">
        <f>CT_tram!C2419</f>
        <v>1</v>
      </c>
      <c r="D13" s="2900">
        <f>CT_tram!D2419</f>
        <v>0</v>
      </c>
      <c r="E13" s="2901">
        <f>CT_tram!E2419</f>
        <v>0</v>
      </c>
      <c r="F13" s="2902" t="str">
        <f>CT_tram!F2419</f>
        <v>Chống composite 40x10x920</v>
      </c>
      <c r="G13" s="2903" t="str">
        <f>CT_tram!G2419</f>
        <v>cái</v>
      </c>
      <c r="H13" s="2904">
        <f>CT_tram!H2419</f>
        <v>1</v>
      </c>
      <c r="I13" s="2904">
        <f>CT_tram!I2419</f>
        <v>1</v>
      </c>
      <c r="J13" s="2905">
        <f>IFERROR(VLOOKUP(B13,DG!A:F,6,0),3000)</f>
        <v>50</v>
      </c>
      <c r="K13" s="2906">
        <f>IF(AND(OR(H13&gt;0,I13&gt;0),J13&lt;2000),COUNTIF($B$2:B13,B13),0)</f>
        <v>1</v>
      </c>
      <c r="L13" s="1300"/>
      <c r="M13" s="1375"/>
      <c r="O13" s="1375"/>
    </row>
    <row r="14" spans="1:15" s="1208" customFormat="1" ht="25.15" customHeight="1">
      <c r="A14" s="2897">
        <f>COUNTIF($K$1:K14,1)</f>
        <v>13</v>
      </c>
      <c r="B14" s="2898" t="str">
        <f>CT_tram!B2420</f>
        <v>B16250</v>
      </c>
      <c r="C14" s="2899">
        <f>CT_tram!C2420</f>
        <v>2</v>
      </c>
      <c r="D14" s="2900">
        <f>CT_tram!D2420</f>
        <v>0</v>
      </c>
      <c r="E14" s="2907">
        <f>CT_tram!E2420</f>
        <v>0</v>
      </c>
      <c r="F14" s="2898" t="str">
        <f>CT_tram!F2420</f>
        <v>Boulon 16x250+ 2 long đền vuông D18-50x50x3/Zn</v>
      </c>
      <c r="G14" s="2908" t="str">
        <f>CT_tram!G2420</f>
        <v>bộ</v>
      </c>
      <c r="H14" s="2908">
        <f>CT_tram!H2420</f>
        <v>2</v>
      </c>
      <c r="I14" s="2908">
        <f>CT_tram!I2420</f>
        <v>2</v>
      </c>
      <c r="J14" s="2905">
        <f>IFERROR(VLOOKUP(B14,DG!A:F,6,0),3000)</f>
        <v>50</v>
      </c>
      <c r="K14" s="2906">
        <f>IF(AND(OR(H14&gt;0,I14&gt;0),J14&lt;2000),COUNTIF($B$2:B14,B14),0)</f>
        <v>1</v>
      </c>
      <c r="L14" s="1297"/>
      <c r="M14" s="1375"/>
      <c r="O14" s="1375"/>
    </row>
    <row r="15" spans="1:15" s="1208" customFormat="1" ht="25.15"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10"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15"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15"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15" customHeight="1">
      <c r="A18" s="2897">
        <f>COUNTIF($K$1:K18,1)</f>
        <v>17</v>
      </c>
      <c r="B18" s="2898" t="str">
        <f>CT_tram!B2434</f>
        <v>sl75-2400</v>
      </c>
      <c r="C18" s="2899">
        <f>CT_tram!C2434</f>
        <v>2</v>
      </c>
      <c r="D18" s="2900">
        <f>CT_tram!D2434</f>
        <v>0</v>
      </c>
      <c r="E18" s="2901">
        <f>CT_tram!E2434</f>
        <v>0</v>
      </c>
      <c r="F18" s="2902" t="str">
        <f>CT_tram!F2434</f>
        <v>Sắt góc L75 x75 x8 x</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15" customHeight="1">
      <c r="A19" s="2897">
        <f>COUNTIF($K$1:K19,1)</f>
        <v>18</v>
      </c>
      <c r="B19" s="2898" t="str">
        <f>CT_tram!B2435</f>
        <v>sl50-920</v>
      </c>
      <c r="C19" s="2899">
        <f>CT_tram!C2435</f>
        <v>2</v>
      </c>
      <c r="D19" s="2900">
        <f>CT_tram!D2435</f>
        <v>0</v>
      </c>
      <c r="E19" s="2901" t="str">
        <f>CT_tram!E2435</f>
        <v xml:space="preserve">      </v>
      </c>
      <c r="F19" s="2902" t="str">
        <f>CT_tram!F2435</f>
        <v>Sắt góc L50 x50 x5 x</v>
      </c>
      <c r="G19" s="2903" t="str">
        <f>CT_tram!G2435</f>
        <v>cái</v>
      </c>
      <c r="H19" s="2904">
        <f>CT_tram!H2435</f>
        <v>2</v>
      </c>
      <c r="I19" s="2904">
        <f>CT_tram!I2435</f>
        <v>2</v>
      </c>
      <c r="J19" s="2905">
        <f>IFERROR(VLOOKUP(B19,DG!A:F,6,0),3000)</f>
        <v>50</v>
      </c>
      <c r="K19" s="2906">
        <f>IF(AND(OR(H19&gt;0,I19&gt;0),J19&lt;2000),COUNTIF($B$2:B19,B19),0)</f>
        <v>1</v>
      </c>
      <c r="L19" s="1300"/>
      <c r="M19" s="1375"/>
      <c r="O19" s="1375"/>
    </row>
    <row r="20" spans="1:15" s="1208" customFormat="1" ht="25.15" customHeight="1">
      <c r="A20" s="2897">
        <f>COUNTIF($K$1:K20,1)</f>
        <v>19</v>
      </c>
      <c r="B20" s="2898" t="str">
        <f>CT_tram!B2436</f>
        <v>B16300</v>
      </c>
      <c r="C20" s="2899">
        <f>CT_tram!C2436</f>
        <v>4</v>
      </c>
      <c r="D20" s="2900">
        <f>CT_tram!D2436</f>
        <v>0</v>
      </c>
      <c r="E20" s="2901">
        <f>CT_tram!E2436</f>
        <v>0</v>
      </c>
      <c r="F20" s="2902" t="str">
        <f>CT_tram!F2436</f>
        <v>Boulon 16x300+ 2 long đền vuông D18-50x50x3/Zn</v>
      </c>
      <c r="G20" s="2903" t="str">
        <f>CT_tram!G2436</f>
        <v>bộ</v>
      </c>
      <c r="H20" s="2904">
        <f>CT_tram!H2436</f>
        <v>4</v>
      </c>
      <c r="I20" s="2904">
        <f>CT_tram!I2436</f>
        <v>4</v>
      </c>
      <c r="J20" s="2905">
        <f>IFERROR(VLOOKUP(B20,DG!A:F,6,0),3000)</f>
        <v>50</v>
      </c>
      <c r="K20" s="2906">
        <f>IF(AND(OR(H20&gt;0,I20&gt;0),J20&lt;2000),COUNTIF($B$2:B20,B20),0)</f>
        <v>1</v>
      </c>
      <c r="L20" s="1752"/>
      <c r="M20" s="1375"/>
      <c r="O20" s="1375"/>
    </row>
    <row r="21" spans="1:15" s="1208" customFormat="1" ht="25.15" customHeight="1">
      <c r="A21" s="2897">
        <f>COUNTIF($K$1:K21,1)</f>
        <v>20</v>
      </c>
      <c r="B21" s="2898" t="str">
        <f>CT_tram!B2437</f>
        <v>B1650</v>
      </c>
      <c r="C21" s="2899">
        <f>CT_tram!C2437</f>
        <v>8</v>
      </c>
      <c r="D21" s="2900">
        <f>CT_tram!D2437</f>
        <v>0</v>
      </c>
      <c r="E21" s="2901">
        <f>CT_tram!E2437</f>
        <v>0</v>
      </c>
      <c r="F21" s="2902" t="str">
        <f>CT_tram!F2437</f>
        <v>Boulon 16x50+ 2 long đền vuông D18-50x50x3/Zn</v>
      </c>
      <c r="G21" s="2903" t="str">
        <f>CT_tram!G2437</f>
        <v>bộ</v>
      </c>
      <c r="H21" s="2904">
        <f>CT_tram!H2437</f>
        <v>8</v>
      </c>
      <c r="I21" s="2904">
        <f>CT_tram!I2437</f>
        <v>8</v>
      </c>
      <c r="J21" s="2905">
        <f>IFERROR(VLOOKUP(B21,DG!A:F,6,0),3000)</f>
        <v>50</v>
      </c>
      <c r="K21" s="2906">
        <f>IF(AND(OR(H21&gt;0,I21&gt;0),J21&lt;2000),COUNTIF($B$2:B21,B21),0)</f>
        <v>1</v>
      </c>
      <c r="L21" s="1300"/>
      <c r="M21" s="1375"/>
      <c r="O21" s="1375"/>
    </row>
    <row r="22" spans="1:15" s="1208" customFormat="1" ht="25.15" customHeight="1">
      <c r="A22" s="2897">
        <f>COUNTIF($K$1:K22,1)</f>
        <v>21</v>
      </c>
      <c r="B22" s="2898" t="str">
        <f>CT_tram!B2438</f>
        <v>B16300V</v>
      </c>
      <c r="C22" s="2899">
        <f>CT_tram!C2438</f>
        <v>8</v>
      </c>
      <c r="D22" s="2900">
        <f>CT_tram!D2438</f>
        <v>0</v>
      </c>
      <c r="E22" s="2907">
        <f>CT_tram!E2438</f>
        <v>0</v>
      </c>
      <c r="F22" s="2898" t="str">
        <f>CT_tram!F2438</f>
        <v>Boulon 16x300VRS+ 4 long đền vuông D18-50x50x3/Zn</v>
      </c>
      <c r="G22" s="2908" t="str">
        <f>CT_tram!G2438</f>
        <v>bộ</v>
      </c>
      <c r="H22" s="2908">
        <f>CT_tram!H2438</f>
        <v>8</v>
      </c>
      <c r="I22" s="2908">
        <f>CT_tram!I2438</f>
        <v>8</v>
      </c>
      <c r="J22" s="2905">
        <f>IFERROR(VLOOKUP(B22,DG!A:F,6,0),3000)</f>
        <v>50</v>
      </c>
      <c r="K22" s="2906">
        <f>IF(AND(OR(H22&gt;0,I22&gt;0),J22&lt;2000),COUNTIF($B$2:B22,B22),0)</f>
        <v>1</v>
      </c>
      <c r="L22" s="1297"/>
      <c r="M22" s="1375"/>
      <c r="O22" s="1375"/>
    </row>
    <row r="23" spans="1:15" s="1208" customFormat="1" ht="25.15"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15" customHeight="1">
      <c r="A24" s="2897">
        <f>COUNTIF($K$1:K24,1)</f>
        <v>23</v>
      </c>
      <c r="B24" s="2912" t="str">
        <f>CT_tram!B2456</f>
        <v>KE50</v>
      </c>
      <c r="C24" s="2913">
        <f>CT_tram!C2456</f>
        <v>2</v>
      </c>
      <c r="D24" s="2914">
        <f>CT_tram!D2456</f>
        <v>0</v>
      </c>
      <c r="E24" s="2915">
        <f>CT_tram!E2456</f>
        <v>0</v>
      </c>
      <c r="F24" s="2916" t="str">
        <f>CT_tram!F2456</f>
        <v>Kẹp ép WR cỡ dây 50mm2</v>
      </c>
      <c r="G24" s="2910" t="str">
        <f>CT_tram!G2456</f>
        <v>cái</v>
      </c>
      <c r="H24" s="2911">
        <f>CT_tram!H2456</f>
        <v>2</v>
      </c>
      <c r="I24" s="2925">
        <f>CT_tram!I2456</f>
        <v>2</v>
      </c>
      <c r="J24" s="2905">
        <f>IFERROR(VLOOKUP(B24,DG!A:F,6,0),3000)</f>
        <v>50</v>
      </c>
      <c r="K24" s="2906">
        <f>IF(AND(OR(H24&gt;0,I24&gt;0),J24&lt;2000),COUNTIF($B$2:B24,B24),0)</f>
        <v>1</v>
      </c>
      <c r="L24" s="1300"/>
      <c r="M24" s="1375"/>
      <c r="O24" s="1375"/>
    </row>
    <row r="25" spans="1:15" s="1208" customFormat="1" ht="25.15"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752"/>
      <c r="M25" s="1375"/>
      <c r="O25" s="1375"/>
    </row>
    <row r="26" spans="1:15" s="1208" customFormat="1" ht="25.15"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15"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15"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15" customHeight="1">
      <c r="A29" s="2897">
        <f>COUNTIF($K$1:K29,1)</f>
        <v>28</v>
      </c>
      <c r="B29" s="2898" t="str">
        <f>CT_tram!B2515</f>
        <v>KQ4/0</v>
      </c>
      <c r="C29" s="2899">
        <f>CT_tram!C2515</f>
        <v>3</v>
      </c>
      <c r="D29" s="2900">
        <f>CT_tram!D2515</f>
        <v>0</v>
      </c>
      <c r="E29" s="2907" t="str">
        <f>CT_tram!E2515</f>
        <v>04.3007</v>
      </c>
      <c r="F29" s="2898" t="str">
        <f>CT_tram!F2515</f>
        <v>Kẹp quai 4/0</v>
      </c>
      <c r="G29" s="2908" t="str">
        <f>CT_tram!G2515</f>
        <v>cái</v>
      </c>
      <c r="H29" s="2908">
        <f>CT_tram!H2515</f>
        <v>3</v>
      </c>
      <c r="I29" s="2908">
        <f>CT_tram!I2515</f>
        <v>3</v>
      </c>
      <c r="J29" s="2905">
        <f>IFERROR(VLOOKUP(B29,DG!A:F,6,0),3000)</f>
        <v>50</v>
      </c>
      <c r="K29" s="2906">
        <f>IF(AND(OR(H29&gt;0,I29&gt;0),J29&lt;2000),COUNTIF($B$2:B29,B29),0)</f>
        <v>1</v>
      </c>
      <c r="L29" s="1297"/>
      <c r="M29" s="1375"/>
      <c r="O29" s="1375"/>
    </row>
    <row r="30" spans="1:15" s="1208" customFormat="1" ht="25.15"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15" customHeight="1">
      <c r="A31" s="2897">
        <f>COUNTIF($K$1:K31,1)</f>
        <v>30</v>
      </c>
      <c r="B31" s="2898" t="str">
        <f>CT_tram!B2517</f>
        <v>chmba</v>
      </c>
      <c r="C31" s="2899">
        <f>CT_tram!C2517</f>
        <v>3</v>
      </c>
      <c r="D31" s="2900">
        <f>CT_tram!D2517</f>
        <v>0</v>
      </c>
      <c r="E31" s="2901">
        <f>CT_tram!E2517</f>
        <v>0</v>
      </c>
      <c r="F31" s="2902" t="str">
        <f>CT_tram!F2517</f>
        <v>Chụp đầu MBA</v>
      </c>
      <c r="G31" s="2903" t="str">
        <f>CT_tram!G2517</f>
        <v>cái</v>
      </c>
      <c r="H31" s="2904">
        <f>CT_tram!H2517</f>
        <v>3</v>
      </c>
      <c r="I31" s="2904">
        <f>CT_tram!I2517</f>
        <v>3</v>
      </c>
      <c r="J31" s="2905">
        <f>IFERROR(VLOOKUP(B31,DG!A:F,6,0),3000)</f>
        <v>50</v>
      </c>
      <c r="K31" s="2906">
        <f>IF(AND(OR(H31&gt;0,I31&gt;0),J31&lt;2000),COUNTIF($B$2:B31,B31),0)</f>
        <v>1</v>
      </c>
      <c r="L31" s="1300"/>
      <c r="M31" s="1375"/>
      <c r="O31" s="1375"/>
    </row>
    <row r="32" spans="1:15" s="1208" customFormat="1" ht="25.15" customHeight="1">
      <c r="A32" s="2897">
        <f>COUNTIF($K$1:K32,1)</f>
        <v>31</v>
      </c>
      <c r="B32" s="2898" t="str">
        <f>CT_tram!B2518</f>
        <v>chla</v>
      </c>
      <c r="C32" s="2899">
        <f>CT_tram!C2518</f>
        <v>6</v>
      </c>
      <c r="D32" s="2900">
        <f>CT_tram!D2518</f>
        <v>0</v>
      </c>
      <c r="E32" s="2907">
        <f>CT_tram!E2518</f>
        <v>0</v>
      </c>
      <c r="F32" s="2898" t="str">
        <f>CT_tram!F2518</f>
        <v>Chụp đầu cực LA</v>
      </c>
      <c r="G32" s="2908" t="str">
        <f>CT_tram!G2518</f>
        <v>cái</v>
      </c>
      <c r="H32" s="2908">
        <f>CT_tram!H2518</f>
        <v>6</v>
      </c>
      <c r="I32" s="2908">
        <f>CT_tram!I2518</f>
        <v>6</v>
      </c>
      <c r="J32" s="2905">
        <f>IFERROR(VLOOKUP(B32,DG!A:F,6,0),3000)</f>
        <v>50</v>
      </c>
      <c r="K32" s="2906">
        <f>IF(AND(OR(H32&gt;0,I32&gt;0),J32&lt;2000),COUNTIF($B$2:B32,B32),0)</f>
        <v>1</v>
      </c>
      <c r="L32" s="1297"/>
      <c r="M32" s="1375"/>
      <c r="O32" s="1375"/>
    </row>
    <row r="33" spans="1:15" s="1208" customFormat="1" ht="25.15" customHeight="1">
      <c r="A33" s="2897">
        <f>COUNTIF($K$1:K33,1)</f>
        <v>32</v>
      </c>
      <c r="B33" s="2898" t="str">
        <f>CT_tram!B2519</f>
        <v>chfco</v>
      </c>
      <c r="C33" s="2899">
        <f>CT_tram!C2519</f>
        <v>3</v>
      </c>
      <c r="D33" s="2900">
        <f>CT_tram!D2519</f>
        <v>0</v>
      </c>
      <c r="E33" s="2901">
        <f>CT_tram!E2519</f>
        <v>0</v>
      </c>
      <c r="F33" s="2902" t="str">
        <f>CT_tram!F2519</f>
        <v>Chụp đầu cực FCO (bộ 2 cái)</v>
      </c>
      <c r="G33" s="2921" t="str">
        <f>CT_tram!G2519</f>
        <v>bộ</v>
      </c>
      <c r="H33" s="2922">
        <f>CT_tram!H2519</f>
        <v>3</v>
      </c>
      <c r="I33" s="2922">
        <f>CT_tram!I2519</f>
        <v>3</v>
      </c>
      <c r="J33" s="2905">
        <f>IFERROR(VLOOKUP(B33,DG!A:F,6,0),3000)</f>
        <v>50</v>
      </c>
      <c r="K33" s="2906">
        <f>IF(AND(OR(H33&gt;0,I33&gt;0),J33&lt;2000),COUNTIF($B$2:B33,B33),0)</f>
        <v>1</v>
      </c>
      <c r="L33" s="1300"/>
      <c r="M33" s="1375"/>
      <c r="O33" s="1375"/>
    </row>
    <row r="34" spans="1:15" s="1208" customFormat="1" ht="25.15"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15" customHeight="1">
      <c r="A35" s="2897">
        <f>COUNTIF($K$1:K35,1)</f>
        <v>34</v>
      </c>
      <c r="B35" s="2898" t="str">
        <f>CT_tram!B2522</f>
        <v>CSD</v>
      </c>
      <c r="C35" s="2899">
        <f>CT_tram!C2522</f>
        <v>6</v>
      </c>
      <c r="D35" s="2900">
        <f>CT_tram!D2522</f>
        <v>0</v>
      </c>
      <c r="E35" s="2901">
        <f>CT_tram!E2522</f>
        <v>0</v>
      </c>
      <c r="F35" s="2902" t="str">
        <f>CT_tram!F2522</f>
        <v>Chân sứ đứng D20</v>
      </c>
      <c r="G35" s="2921" t="str">
        <f>CT_tram!G2522</f>
        <v>cái</v>
      </c>
      <c r="H35" s="2922">
        <f>CT_tram!H2522</f>
        <v>6</v>
      </c>
      <c r="I35" s="2922">
        <f>CT_tram!I2522</f>
        <v>6</v>
      </c>
      <c r="J35" s="2905">
        <f>IFERROR(VLOOKUP(B35,DG!A:F,6,0),3000)</f>
        <v>50</v>
      </c>
      <c r="K35" s="2906">
        <f>IF(AND(OR(H35&gt;0,I35&gt;0),J35&lt;2000),COUNTIF($B$2:B35,B35),0)</f>
        <v>1</v>
      </c>
      <c r="L35" s="1300"/>
      <c r="M35" s="1375"/>
      <c r="O35" s="1375"/>
    </row>
    <row r="36" spans="1:15" s="1208" customFormat="1" ht="25.15" customHeight="1">
      <c r="A36" s="2897">
        <f>COUNTIF($K$1:K36,1)</f>
        <v>35</v>
      </c>
      <c r="B36" s="2912" t="str">
        <f>CT_tram!B2524</f>
        <v>ttf-50</v>
      </c>
      <c r="C36" s="2913">
        <f>CT_tram!C2524</f>
        <v>6</v>
      </c>
      <c r="D36" s="2914">
        <f>CT_tram!D2524</f>
        <v>0</v>
      </c>
      <c r="E36" s="2926">
        <f>CT_tram!E2524</f>
        <v>0</v>
      </c>
      <c r="F36" s="2912" t="str">
        <f>CT_tram!F2524</f>
        <v>Dây buộc đầu sứ cỡ dây 50mm2</v>
      </c>
      <c r="G36" s="2927" t="str">
        <f>CT_tram!G2524</f>
        <v>cái</v>
      </c>
      <c r="H36" s="2927">
        <f>CT_tram!H2524</f>
        <v>6</v>
      </c>
      <c r="I36" s="2908">
        <f>CT_tram!I2524</f>
        <v>6</v>
      </c>
      <c r="J36" s="2905">
        <f>IFERROR(VLOOKUP(B36,DG!A:F,6,0),3000)</f>
        <v>50</v>
      </c>
      <c r="K36" s="2906">
        <f>IF(AND(OR(H36&gt;0,I36&gt;0),J36&lt;2000),COUNTIF($B$2:B36,B36),0)</f>
        <v>1</v>
      </c>
      <c r="L36" s="1297"/>
      <c r="M36" s="1375"/>
      <c r="O36" s="1375"/>
    </row>
    <row r="37" spans="1:15" s="1208" customFormat="1" ht="25.15"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15"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15"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15" customHeight="1">
      <c r="A40" s="2897">
        <f>COUNTIF($K$1:K40,1)</f>
        <v>39</v>
      </c>
      <c r="B40" s="2898" t="str">
        <f>CT_tram!B2546</f>
        <v>keobit</v>
      </c>
      <c r="C40" s="2899">
        <f>CT_tram!C2546</f>
        <v>3</v>
      </c>
      <c r="D40" s="2900">
        <f>CT_tram!D2546</f>
        <v>0</v>
      </c>
      <c r="E40" s="2907">
        <f>CT_tram!E2546</f>
        <v>0</v>
      </c>
      <c r="F40" s="2898" t="str">
        <f>CT_tram!F2546</f>
        <v>Keo silicon bít miệng ống:</v>
      </c>
      <c r="G40" s="2908" t="str">
        <f>CT_tram!G2546</f>
        <v>ống</v>
      </c>
      <c r="H40" s="2908">
        <f>CT_tram!H2546</f>
        <v>3</v>
      </c>
      <c r="I40" s="2908">
        <f>CT_tram!I2546</f>
        <v>3</v>
      </c>
      <c r="J40" s="2905">
        <f>IFERROR(VLOOKUP(B40,DG!A:F,6,0),3000)</f>
        <v>50</v>
      </c>
      <c r="K40" s="2906">
        <f>IF(AND(OR(H40&gt;0,I40&gt;0),J40&lt;2000),COUNTIF($B$2:B40,B40),0)</f>
        <v>1</v>
      </c>
      <c r="L40" s="1297"/>
      <c r="M40" s="1375"/>
      <c r="O40" s="1375"/>
    </row>
    <row r="41" spans="1:15" s="1208" customFormat="1" ht="25.15" customHeight="1">
      <c r="A41" s="2897">
        <f>COUNTIF($K$1:K41,1)</f>
        <v>40</v>
      </c>
      <c r="B41" s="2898" t="str">
        <f>CT_tram!B2547</f>
        <v>drc</v>
      </c>
      <c r="C41" s="2899">
        <f>CT_tram!C2547</f>
        <v>3</v>
      </c>
      <c r="D41" s="2900">
        <f>CT_tram!D2547</f>
        <v>0</v>
      </c>
      <c r="E41" s="2901">
        <f>CT_tram!E2547</f>
        <v>0</v>
      </c>
      <c r="F41" s="2902" t="str">
        <f>CT_tram!F2547</f>
        <v>Dây rút cáp</v>
      </c>
      <c r="G41" s="2903" t="str">
        <f>CT_tram!G2547</f>
        <v>bọc</v>
      </c>
      <c r="H41" s="2904">
        <f>CT_tram!H2547</f>
        <v>3</v>
      </c>
      <c r="I41" s="2904">
        <f>CT_tram!I2547</f>
        <v>3</v>
      </c>
      <c r="J41" s="2905">
        <f>IFERROR(VLOOKUP(B41,DG!A:F,6,0),3000)</f>
        <v>50</v>
      </c>
      <c r="K41" s="2906">
        <f>IF(AND(OR(H41&gt;0,I41&gt;0),J41&lt;2000),COUNTIF($B$2:B41,B41),0)</f>
        <v>1</v>
      </c>
      <c r="L41" s="1300"/>
      <c r="M41" s="1375"/>
      <c r="O41" s="1375"/>
    </row>
    <row r="42" spans="1:15" s="1208" customFormat="1" ht="25.15"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15" customHeight="1">
      <c r="A43" s="2897">
        <f>COUNTIF($K$1:K43,1)</f>
        <v>42</v>
      </c>
      <c r="B43" s="2898" t="str">
        <f>CT_tram!B2553</f>
        <v>SO10</v>
      </c>
      <c r="C43" s="2899">
        <f>CT_tram!C2553</f>
        <v>1.1399999999999999</v>
      </c>
      <c r="D43" s="2900">
        <f>CT_tram!D2553</f>
        <v>0</v>
      </c>
      <c r="E43" s="2907">
        <f>CT_tram!E2553</f>
        <v>0</v>
      </c>
      <c r="F43" s="2898" t="str">
        <f>CT_tram!F2553</f>
        <v>Sắt Ø10</v>
      </c>
      <c r="G43" s="2908" t="str">
        <f>CT_tram!G2553</f>
        <v>kg</v>
      </c>
      <c r="H43" s="2908">
        <f>CT_tram!H2553</f>
        <v>1.1399999999999999</v>
      </c>
      <c r="I43" s="2908">
        <f>CT_tram!I2553</f>
        <v>1.1399999999999999</v>
      </c>
      <c r="J43" s="2905">
        <f>IFERROR(VLOOKUP(B43,DG!A:F,6,0),3000)</f>
        <v>50</v>
      </c>
      <c r="K43" s="2906">
        <f>IF(AND(OR(H43&gt;0,I43&gt;0),J43&lt;2000),COUNTIF($B$2:B43,B43),0)</f>
        <v>1</v>
      </c>
      <c r="L43" s="1297"/>
      <c r="M43" s="1375"/>
      <c r="O43" s="1375"/>
    </row>
    <row r="44" spans="1:15" s="1208" customFormat="1" ht="25.15" customHeight="1">
      <c r="A44" s="2897">
        <f>COUNTIF($K$1:K44,1)</f>
        <v>43</v>
      </c>
      <c r="B44" s="2898" t="str">
        <f>CT_tram!B2563</f>
        <v>stk76</v>
      </c>
      <c r="C44" s="2899">
        <f>CT_tram!C2563</f>
        <v>18</v>
      </c>
      <c r="D44" s="2900">
        <f>CT_tram!D2563</f>
        <v>0</v>
      </c>
      <c r="E44" s="2907" t="str">
        <f>CT_tram!E2563</f>
        <v>D4.1204</v>
      </c>
      <c r="F44" s="2898" t="str">
        <f>CT_tram!F2563</f>
        <v>Ông sắt tráng kẽm D76</v>
      </c>
      <c r="G44" s="2908" t="str">
        <f>CT_tram!G2563</f>
        <v>mét</v>
      </c>
      <c r="H44" s="2908">
        <f>CT_tram!H2563</f>
        <v>18</v>
      </c>
      <c r="I44" s="2908">
        <f>CT_tram!I2563</f>
        <v>18</v>
      </c>
      <c r="J44" s="2905">
        <f>IFERROR(VLOOKUP(B44,DG!A:F,6,0),3000)</f>
        <v>50</v>
      </c>
      <c r="K44" s="2906">
        <f>IF(AND(OR(H44&gt;0,I44&gt;0),J44&lt;2000),COUNTIF($B$2:B44,B44),0)</f>
        <v>1</v>
      </c>
      <c r="L44" s="1297"/>
      <c r="M44" s="1375"/>
      <c r="O44" s="1375"/>
    </row>
    <row r="45" spans="1:15" s="1208" customFormat="1" ht="25.15"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752"/>
      <c r="M45" s="1375"/>
      <c r="O45" s="1375"/>
    </row>
    <row r="46" spans="1:15" s="1208" customFormat="1" ht="25.15" customHeight="1">
      <c r="A46" s="2897">
        <f>COUNTIF($K$1:K46,1)</f>
        <v>45</v>
      </c>
      <c r="B46" s="2898" t="str">
        <f>CT_tram!B2566</f>
        <v>SATV4</v>
      </c>
      <c r="C46" s="2899">
        <f>CT_tram!C2566</f>
        <v>47.2</v>
      </c>
      <c r="D46" s="2900">
        <f>CT_tram!D2566</f>
        <v>0</v>
      </c>
      <c r="E46" s="2907">
        <f>CT_tram!E2566</f>
        <v>0</v>
      </c>
      <c r="F46" s="2898" t="str">
        <f>CT_tram!F2566</f>
        <v>Thanh sắt V40x40x3-6000 - 17,7kg/thanh</v>
      </c>
      <c r="G46" s="2908" t="str">
        <f>CT_tram!G2566</f>
        <v>kg</v>
      </c>
      <c r="H46" s="2908">
        <f>CT_tram!H2566</f>
        <v>47.2</v>
      </c>
      <c r="I46" s="2908">
        <f>CT_tram!I2566</f>
        <v>47.2</v>
      </c>
      <c r="J46" s="2905">
        <f>IFERROR(VLOOKUP(B46,DG!A:F,6,0),3000)</f>
        <v>50</v>
      </c>
      <c r="K46" s="2906">
        <f>IF(AND(OR(H46&gt;0,I46&gt;0),J46&lt;2000),COUNTIF($B$2:B46,B46),0)</f>
        <v>1</v>
      </c>
      <c r="L46" s="1297"/>
      <c r="M46" s="1753"/>
      <c r="N46" s="1754"/>
      <c r="O46" s="1753"/>
    </row>
    <row r="47" spans="1:15" s="1208" customFormat="1" ht="25.15"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300"/>
      <c r="M47" s="1375"/>
      <c r="O47" s="1375"/>
    </row>
    <row r="48" spans="1:15" s="1208" customFormat="1" ht="25.15"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752"/>
      <c r="M48" s="1375"/>
      <c r="O48" s="1375"/>
    </row>
    <row r="49" spans="1:15" s="1208" customFormat="1" ht="25.15"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15"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15"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15" customHeight="1">
      <c r="A52" s="2897">
        <f>COUNTIF($K$1:K52,1)</f>
        <v>51</v>
      </c>
      <c r="B52" s="2898" t="str">
        <f>CT_tram!B2583</f>
        <v>xAtuti</v>
      </c>
      <c r="C52" s="2899">
        <f>CT_tram!C2583</f>
        <v>24</v>
      </c>
      <c r="D52" s="2900">
        <f>CT_tram!D2583</f>
        <v>0</v>
      </c>
      <c r="E52" s="2907" t="str">
        <f>CT_tram!E2583</f>
        <v>05.6101</v>
      </c>
      <c r="F52" s="2898" t="str">
        <f>CT_tram!F2583</f>
        <v>Xà kẹp TU, TI U50x32x4 350</v>
      </c>
      <c r="G52" s="2908" t="str">
        <f>CT_tram!G2583</f>
        <v>Bộ</v>
      </c>
      <c r="H52" s="2908">
        <f>CT_tram!H2583</f>
        <v>24</v>
      </c>
      <c r="I52" s="2908">
        <f>CT_tram!I2583</f>
        <v>24</v>
      </c>
      <c r="J52" s="2905">
        <f>IFERROR(VLOOKUP(B52,DG!A:F,6,0),3000)</f>
        <v>50</v>
      </c>
      <c r="K52" s="2906">
        <f>IF(AND(OR(H52&gt;0,I52&gt;0),J52&lt;2000),COUNTIF($B$2:B52,B52),0)</f>
        <v>1</v>
      </c>
      <c r="L52" s="1297"/>
      <c r="M52" s="1375"/>
      <c r="O52" s="1375"/>
    </row>
    <row r="53" spans="1:15" s="1208" customFormat="1" ht="25.15"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15"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15"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15"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03" t="str">
        <f>CT_tram!G2589</f>
        <v>bộ</v>
      </c>
      <c r="H56" s="2904">
        <f>CT_tram!H2589</f>
        <v>4</v>
      </c>
      <c r="I56" s="2904">
        <f>CT_tram!I2589</f>
        <v>4</v>
      </c>
      <c r="J56" s="2905">
        <f>IFERROR(VLOOKUP(B56,DG!A:F,6,0),3000)</f>
        <v>50</v>
      </c>
      <c r="K56" s="2906">
        <f>IF(AND(OR(H56&gt;0,I56&gt;0),J56&lt;2000),COUNTIF($B$2:B56,B56),0)</f>
        <v>1</v>
      </c>
      <c r="L56" s="1300"/>
      <c r="M56" s="1375"/>
      <c r="O56" s="1375"/>
    </row>
    <row r="57" spans="1:15" s="1208" customFormat="1" ht="25.15"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15" customHeight="1">
      <c r="A58" s="2897">
        <f>COUNTIF($K$1:K58,1)</f>
        <v>56</v>
      </c>
      <c r="B58" s="2912" t="str">
        <f>CT_tram!B2591</f>
        <v>Noi60</v>
      </c>
      <c r="C58" s="2913">
        <f>CT_tram!C2591</f>
        <v>5</v>
      </c>
      <c r="D58" s="2914">
        <f>CT_tram!D2591</f>
        <v>0</v>
      </c>
      <c r="E58" s="2915">
        <f>CT_tram!E2591</f>
        <v>0</v>
      </c>
      <c r="F58" s="2916" t="str">
        <f>CT_tram!F2591</f>
        <v>Nối ống PVC 60</v>
      </c>
      <c r="G58" s="2910" t="str">
        <f>CT_tram!G2591</f>
        <v>cái</v>
      </c>
      <c r="H58" s="2911">
        <f>CT_tram!H2591</f>
        <v>5</v>
      </c>
      <c r="I58" s="2904">
        <f>CT_tram!I2591</f>
        <v>5</v>
      </c>
      <c r="J58" s="2905">
        <f>IFERROR(VLOOKUP(B58,DG!A:F,6,0),3000)</f>
        <v>50</v>
      </c>
      <c r="K58" s="2906">
        <f>IF(AND(OR(H58&gt;0,I58&gt;0),J58&lt;2000),COUNTIF($B$2:B58,B58),0)</f>
        <v>1</v>
      </c>
      <c r="L58" s="1752"/>
      <c r="M58" s="1375"/>
      <c r="O58" s="1375"/>
    </row>
    <row r="59" spans="1:15" s="1208" customFormat="1" ht="25.15"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300"/>
      <c r="M59" s="1375"/>
      <c r="O59" s="1375"/>
    </row>
    <row r="60" spans="1:15" s="1208" customFormat="1" ht="25.15"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15" customHeight="1">
      <c r="A61" s="2897">
        <f>COUNTIF($K$1:K61,1)</f>
        <v>58</v>
      </c>
      <c r="B61" s="2912" t="str">
        <f>CT_tram!B2594</f>
        <v>KVRT60</v>
      </c>
      <c r="C61" s="2913">
        <f>CT_tram!C2594</f>
        <v>1</v>
      </c>
      <c r="D61" s="2914">
        <f>CT_tram!D2594</f>
        <v>0</v>
      </c>
      <c r="E61" s="2915">
        <f>CT_tram!E2594</f>
        <v>0</v>
      </c>
      <c r="F61" s="2916" t="str">
        <f>CT_tram!F2594</f>
        <v>Khâu ven răng trong D60</v>
      </c>
      <c r="G61" s="2910" t="str">
        <f>CT_tram!G2594</f>
        <v>cái</v>
      </c>
      <c r="H61" s="2911">
        <f>CT_tram!H2594</f>
        <v>1</v>
      </c>
      <c r="I61" s="2904">
        <f>CT_tram!I2594</f>
        <v>1</v>
      </c>
      <c r="J61" s="2905">
        <f>IFERROR(VLOOKUP(B61,DG!A:F,6,0),3000)</f>
        <v>50</v>
      </c>
      <c r="K61" s="2906">
        <f>IF(AND(OR(H61&gt;0,I61&gt;0),J61&lt;2000),COUNTIF($B$2:B61,B61),0)</f>
        <v>1</v>
      </c>
      <c r="L61" s="1300"/>
      <c r="M61" s="1375"/>
      <c r="O61" s="1375"/>
    </row>
    <row r="62" spans="1:15" s="1208" customFormat="1" ht="25.15" customHeight="1">
      <c r="A62" s="2897">
        <f>COUNTIF($K$1:K62,1)</f>
        <v>59</v>
      </c>
      <c r="B62" s="2898" t="str">
        <f>CT_tram!B2595</f>
        <v>KVRN60</v>
      </c>
      <c r="C62" s="2899">
        <f>CT_tram!C2595</f>
        <v>1</v>
      </c>
      <c r="D62" s="2900">
        <f>CT_tram!D2595</f>
        <v>0</v>
      </c>
      <c r="E62" s="2901">
        <f>CT_tram!E2595</f>
        <v>0</v>
      </c>
      <c r="F62" s="2902" t="str">
        <f>CT_tram!F2595</f>
        <v>Khâu ven răng ngoài D60</v>
      </c>
      <c r="G62" s="2903" t="str">
        <f>CT_tram!G2595</f>
        <v>cái</v>
      </c>
      <c r="H62" s="2904">
        <f>CT_tram!H2595</f>
        <v>1</v>
      </c>
      <c r="I62" s="2904">
        <f>CT_tram!I2595</f>
        <v>1</v>
      </c>
      <c r="J62" s="2905">
        <f>IFERROR(VLOOKUP(B62,DG!A:F,6,0),3000)</f>
        <v>50</v>
      </c>
      <c r="K62" s="2906">
        <f>IF(AND(OR(H62&gt;0,I62&gt;0),J62&lt;2000),COUNTIF($B$2:B62,B62),0)</f>
        <v>1</v>
      </c>
      <c r="L62" s="1300"/>
      <c r="M62" s="1375"/>
      <c r="O62" s="1375"/>
    </row>
    <row r="63" spans="1:15" s="1208" customFormat="1" ht="25.15"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300"/>
      <c r="M63" s="1375"/>
      <c r="O63" s="1375"/>
    </row>
    <row r="64" spans="1:15" s="1208" customFormat="1" ht="25.15"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15"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300"/>
      <c r="M65" s="1375"/>
      <c r="O65" s="1375"/>
    </row>
    <row r="66" spans="1:15" s="1208" customFormat="1" ht="25.15"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300"/>
      <c r="M66" s="1375"/>
      <c r="O66" s="1375"/>
    </row>
    <row r="67" spans="1:15" s="1208" customFormat="1" ht="25.15" customHeight="1">
      <c r="A67" s="2897">
        <f>COUNTIF($K$1:K67,1)</f>
        <v>63</v>
      </c>
      <c r="B67" s="2898" t="str">
        <f>CT_tram!B2572</f>
        <v>gachong</v>
      </c>
      <c r="C67" s="2899">
        <f>CT_tram!C2572</f>
        <v>350</v>
      </c>
      <c r="D67" s="2900">
        <f>CT_tram!D2572</f>
        <v>0</v>
      </c>
      <c r="E67" s="2901">
        <f>CT_tram!E2572</f>
        <v>0</v>
      </c>
      <c r="F67" s="2902" t="str">
        <f>CT_tram!F2572</f>
        <v>Gạch ống</v>
      </c>
      <c r="G67" s="2903" t="str">
        <f>CT_tram!G2572</f>
        <v>viên</v>
      </c>
      <c r="H67" s="2904">
        <f>CT_tram!H2572</f>
        <v>350</v>
      </c>
      <c r="I67" s="2904">
        <f>CT_tram!I2572</f>
        <v>350</v>
      </c>
      <c r="J67" s="2905">
        <f>IFERROR(VLOOKUP(B67,DG!A:F,6,0),3000)</f>
        <v>1000</v>
      </c>
      <c r="K67" s="2906">
        <f>IF(AND(OR(H67&gt;0,I67&gt;0),J67&lt;2000),COUNTIF($B$2:B67,B67),0)</f>
        <v>1</v>
      </c>
      <c r="L67" s="1300"/>
      <c r="M67" s="1375"/>
      <c r="O67" s="1375"/>
    </row>
    <row r="68" spans="1:15" s="1208" customFormat="1" ht="25.15" customHeight="1">
      <c r="A68" s="2897">
        <f>COUNTIF($K$1:K68,1)</f>
        <v>63</v>
      </c>
      <c r="B68" s="2898" t="str">
        <f>CT_tram!B2383</f>
        <v>tubu400</v>
      </c>
      <c r="C68" s="2899">
        <f>CT_tram!C2383</f>
        <v>1</v>
      </c>
      <c r="D68" s="2900">
        <f>CT_tram!D2383</f>
        <v>6</v>
      </c>
      <c r="E68" s="2901" t="str">
        <f>CT_tram!E2383</f>
        <v>02.8534</v>
      </c>
      <c r="F68" s="2902" t="str">
        <f>CT_tram!F2383</f>
        <v>Tủ tụ bù hạ thế 400kVAr</v>
      </c>
      <c r="G68" s="2903"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15"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15"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15"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15" customHeight="1">
      <c r="A72" s="2897">
        <f>COUNTIF($K$1:K72,1)</f>
        <v>63</v>
      </c>
      <c r="B72" s="2898" t="str">
        <f>CT_tram!B2550</f>
        <v>M-TBA</v>
      </c>
      <c r="C72" s="2899">
        <f>CT_tram!C2550</f>
        <v>0</v>
      </c>
      <c r="D72" s="2900">
        <f>CT_tram!D2550</f>
        <v>1</v>
      </c>
      <c r="E72" s="2901">
        <f>CT_tram!E2550</f>
        <v>0</v>
      </c>
      <c r="F72" s="2902" t="str">
        <f>CT_tram!F2550</f>
        <v>Bê tông đỡ máy biến áp + Tủ</v>
      </c>
      <c r="G72" s="2903" t="str">
        <f>CT_tram!G2550</f>
        <v>Bộ</v>
      </c>
      <c r="H72" s="2904">
        <f>CT_tram!H2550</f>
        <v>1</v>
      </c>
      <c r="I72" s="2904">
        <f>CT_tram!I2550</f>
        <v>1</v>
      </c>
      <c r="J72" s="2905">
        <f>IFERROR(VLOOKUP(B72,DG!A:F,6,0),3000)</f>
        <v>2000</v>
      </c>
      <c r="K72" s="2906">
        <f>IF(AND(OR(H72&gt;0,I72&gt;0),J72&lt;2000),COUNTIF($B$2:B72,B72),0)</f>
        <v>0</v>
      </c>
      <c r="L72" s="1300"/>
      <c r="M72" s="1375"/>
      <c r="O72" s="1375"/>
    </row>
    <row r="73" spans="1:15" s="1208" customFormat="1" ht="25.15"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752"/>
      <c r="M73" s="1375"/>
      <c r="O73" s="1375"/>
    </row>
    <row r="74" spans="1:15" s="1208" customFormat="1" ht="25.15" customHeight="1">
      <c r="A74" s="2897">
        <f>COUNTIF($K$1:K74,1)</f>
        <v>63</v>
      </c>
      <c r="B74" s="2898">
        <f>CT_tram!B2416</f>
        <v>0</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3000</v>
      </c>
      <c r="K74" s="2906">
        <f>IF(AND(OR(H74&gt;0,I74&gt;0),J74&lt;2000),COUNTIF($B$2:B74,B74),0)</f>
        <v>0</v>
      </c>
      <c r="L74" s="1300"/>
      <c r="M74" s="1375"/>
      <c r="O74" s="1375"/>
    </row>
    <row r="75" spans="1:15" s="1208" customFormat="1" ht="25.15"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15"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300"/>
      <c r="M76" s="1375"/>
      <c r="O76" s="1375"/>
    </row>
    <row r="77" spans="1:15" s="1208" customFormat="1" ht="25.15" customHeight="1">
      <c r="A77" s="2897">
        <f>COUNTIF($K$1:K77,1)</f>
        <v>63</v>
      </c>
      <c r="B77" s="2898" t="str">
        <f>CT_tram!B2440</f>
        <v>LXINL</v>
      </c>
      <c r="C77" s="2899">
        <f>CT_tram!C2440</f>
        <v>1</v>
      </c>
      <c r="D77" s="2900">
        <f>CT_tram!D2440</f>
        <v>0</v>
      </c>
      <c r="E77" s="2907" t="str">
        <f>CT_tram!E2440</f>
        <v>05.6011</v>
      </c>
      <c r="F77" s="2898" t="str">
        <f>CT_tram!F2440</f>
        <v>Lắp xà néo ≤ 100kg</v>
      </c>
      <c r="G77" s="2908" t="str">
        <f>CT_tram!G2440</f>
        <v>bộ</v>
      </c>
      <c r="H77" s="2908">
        <f>CT_tram!H2440</f>
        <v>1</v>
      </c>
      <c r="I77" s="2908">
        <f>CT_tram!I2440</f>
        <v>1</v>
      </c>
      <c r="J77" s="2905">
        <f>IFERROR(VLOOKUP(B77,DG!A:F,6,0),3000)</f>
        <v>3000</v>
      </c>
      <c r="K77" s="2906">
        <f>IF(AND(OR(H77&gt;0,I77&gt;0),J77&lt;2000),COUNTIF($B$2:B77,B77),0)</f>
        <v>0</v>
      </c>
      <c r="L77" s="1297"/>
      <c r="M77" s="1375"/>
      <c r="O77" s="1375"/>
    </row>
    <row r="78" spans="1:15" s="1208" customFormat="1" ht="25.15" customHeight="1">
      <c r="A78" s="2897">
        <f>COUNTIF($K$1:K78,1)</f>
        <v>63</v>
      </c>
      <c r="B78" s="2912">
        <f>CT_tram!B2450</f>
        <v>0</v>
      </c>
      <c r="C78" s="2913">
        <f>CT_tram!C2450</f>
        <v>0</v>
      </c>
      <c r="D78" s="2914">
        <f>CT_tram!D2450</f>
        <v>3</v>
      </c>
      <c r="E78" s="2915">
        <f>CT_tram!E2450</f>
        <v>0</v>
      </c>
      <c r="F78" s="2916" t="str">
        <f>CT_tram!F2450</f>
        <v>Bộ tiếp địa Trạm 3 pha</v>
      </c>
      <c r="G78" s="2910" t="str">
        <f>CT_tram!G2450</f>
        <v>Bộ</v>
      </c>
      <c r="H78" s="2911">
        <f>CT_tram!H2450</f>
        <v>1</v>
      </c>
      <c r="I78" s="2904">
        <f>CT_tram!I2450</f>
        <v>1</v>
      </c>
      <c r="J78" s="2905">
        <f>IFERROR(VLOOKUP(B78,DG!A:F,6,0),3000)</f>
        <v>3000</v>
      </c>
      <c r="K78" s="2906">
        <f>IF(AND(OR(H78&gt;0,I78&gt;0),J78&lt;2000),COUNTIF($B$2:B78,B78),0)</f>
        <v>0</v>
      </c>
      <c r="L78" s="1300"/>
      <c r="M78" s="1375"/>
      <c r="O78" s="1375"/>
    </row>
    <row r="79" spans="1:15" s="1208" customFormat="1" ht="25.15" customHeight="1">
      <c r="A79" s="2897">
        <f>COUNTIF($K$1:K79,1)</f>
        <v>63</v>
      </c>
      <c r="B79" s="2898" t="str">
        <f>CT_tram!B2464</f>
        <v>DTD3</v>
      </c>
      <c r="C79" s="2899">
        <f>CT_tram!C2464</f>
        <v>6.75</v>
      </c>
      <c r="D79" s="2900">
        <f>CT_tram!D2464</f>
        <v>0</v>
      </c>
      <c r="E79" s="2901" t="str">
        <f>CT_tram!E2464</f>
        <v>03.3123</v>
      </c>
      <c r="F79" s="2902" t="str">
        <f>CT_tram!F2464</f>
        <v>Đào rãnh tiếp địa đất cấp 3</v>
      </c>
      <c r="G79" s="2903" t="str">
        <f>CT_tram!G2464</f>
        <v>m3</v>
      </c>
      <c r="H79" s="2904">
        <f>CT_tram!H2464</f>
        <v>6.75</v>
      </c>
      <c r="I79" s="2904">
        <f>CT_tram!I2464</f>
        <v>6.75</v>
      </c>
      <c r="J79" s="2905">
        <f>IFERROR(VLOOKUP(B79,DG!A:F,6,0),3000)</f>
        <v>3000</v>
      </c>
      <c r="K79" s="2906">
        <f>IF(AND(OR(H79&gt;0,I79&gt;0),J79&lt;2000),COUNTIF($B$2:B79,B79),0)</f>
        <v>0</v>
      </c>
      <c r="L79" s="1300"/>
      <c r="M79" s="1375"/>
      <c r="O79" s="1375"/>
    </row>
    <row r="80" spans="1:15" s="1208" customFormat="1" ht="25.15" customHeight="1">
      <c r="A80" s="2897">
        <f>COUNTIF($K$1:K80,1)</f>
        <v>63</v>
      </c>
      <c r="B80" s="2898" t="str">
        <f>CT_tram!B2465</f>
        <v>DATD3</v>
      </c>
      <c r="C80" s="2899">
        <f>CT_tram!C2465</f>
        <v>6.75</v>
      </c>
      <c r="D80" s="2900">
        <f>CT_tram!D2465</f>
        <v>0</v>
      </c>
      <c r="E80" s="2907" t="str">
        <f>CT_tram!E2465</f>
        <v>03.4123</v>
      </c>
      <c r="F80" s="2898" t="str">
        <f>CT_tram!F2465</f>
        <v>Đắp đất rãnh tiếp độ chặt k=0,85</v>
      </c>
      <c r="G80" s="2908" t="str">
        <f>CT_tram!G2465</f>
        <v>m3</v>
      </c>
      <c r="H80" s="2908">
        <f>CT_tram!H2465</f>
        <v>6.75</v>
      </c>
      <c r="I80" s="2908">
        <f>CT_tram!I2465</f>
        <v>6.75</v>
      </c>
      <c r="J80" s="2905">
        <f>IFERROR(VLOOKUP(B80,DG!A:F,6,0),3000)</f>
        <v>3000</v>
      </c>
      <c r="K80" s="2906">
        <f>IF(AND(OR(H80&gt;0,I80&gt;0),J80&lt;2000),COUNTIF($B$2:B80,B80),0)</f>
        <v>0</v>
      </c>
      <c r="L80" s="1952"/>
      <c r="M80" s="1375"/>
      <c r="O80" s="1375"/>
    </row>
    <row r="81" spans="1:15" s="1208" customFormat="1" ht="25.15" customHeight="1">
      <c r="A81" s="2897">
        <f>COUNTIF($K$1:K81,1)</f>
        <v>63</v>
      </c>
      <c r="B81" s="2898" t="str">
        <f>CT_tram!B2466</f>
        <v>dctdtba</v>
      </c>
      <c r="C81" s="2899">
        <f>CT_tram!C2466</f>
        <v>10</v>
      </c>
      <c r="D81" s="2900">
        <f>CT_tram!D2466</f>
        <v>0</v>
      </c>
      <c r="E81" s="2907" t="str">
        <f>CT_tram!E2466</f>
        <v>04.7001</v>
      </c>
      <c r="F81" s="2898" t="str">
        <f>CT_tram!F2466</f>
        <v>Đóng cọc tiếp địa trong TBA</v>
      </c>
      <c r="G81" s="2908" t="str">
        <f>CT_tram!G2466</f>
        <v>cọc</v>
      </c>
      <c r="H81" s="2908">
        <f>CT_tram!H2466</f>
        <v>10</v>
      </c>
      <c r="I81" s="2908">
        <f>CT_tram!I2466</f>
        <v>10</v>
      </c>
      <c r="J81" s="2905">
        <f>IFERROR(VLOOKUP(B81,DG!A:F,6,0),3000)</f>
        <v>3000</v>
      </c>
      <c r="K81" s="2906">
        <f>IF(AND(OR(H81&gt;0,I81&gt;0),J81&lt;2000),COUNTIF($B$2:B81,B81),0)</f>
        <v>0</v>
      </c>
      <c r="L81" s="1297"/>
      <c r="M81" s="1375"/>
      <c r="O81" s="1375"/>
    </row>
    <row r="82" spans="1:15" s="1208" customFormat="1" ht="25.15"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03" t="str">
        <f>CT_tram!G2467</f>
        <v>kg</v>
      </c>
      <c r="H82" s="2904">
        <f>CT_tram!H2467</f>
        <v>11.87</v>
      </c>
      <c r="I82" s="2904">
        <f>CT_tram!I2467</f>
        <v>11.87</v>
      </c>
      <c r="J82" s="2905">
        <f>IFERROR(VLOOKUP(B82,DG!A:F,6,0),3000)</f>
        <v>3000</v>
      </c>
      <c r="K82" s="2906">
        <f>IF(AND(OR(H82&gt;0,I82&gt;0),J82&lt;2000),COUNTIF($B$2:B82,B82),0)</f>
        <v>0</v>
      </c>
      <c r="L82" s="1752"/>
      <c r="M82" s="1375"/>
      <c r="O82" s="1375"/>
    </row>
    <row r="83" spans="1:15" s="1208" customFormat="1" ht="25.15" customHeight="1">
      <c r="A83" s="2897">
        <f>COUNTIF($K$1:K83,1)</f>
        <v>63</v>
      </c>
      <c r="B83" s="2898">
        <f>CT_tram!B2474</f>
        <v>0</v>
      </c>
      <c r="C83" s="2899">
        <f>CT_tram!C2474</f>
        <v>0</v>
      </c>
      <c r="D83" s="2900">
        <f>CT_tram!D2474</f>
        <v>4</v>
      </c>
      <c r="E83" s="2901">
        <f>CT_tram!E2474</f>
        <v>0</v>
      </c>
      <c r="F83" s="2902" t="str">
        <f>CT_tram!F2474</f>
        <v>Tủ đóng cắt hạ thế</v>
      </c>
      <c r="G83" s="2903" t="str">
        <f>CT_tram!G2474</f>
        <v>Bộ</v>
      </c>
      <c r="H83" s="2904">
        <f>CT_tram!H2474</f>
        <v>1</v>
      </c>
      <c r="I83" s="2904">
        <f>CT_tram!I2474</f>
        <v>1</v>
      </c>
      <c r="J83" s="2905">
        <f>IFERROR(VLOOKUP(B83,DG!A:F,6,0),3000)</f>
        <v>3000</v>
      </c>
      <c r="K83" s="2906">
        <f>IF(AND(OR(H83&gt;0,I83&gt;0),J83&lt;2000),COUNTIF($B$2:B83,B83),0)</f>
        <v>0</v>
      </c>
      <c r="L83" s="1300"/>
      <c r="M83" s="1375"/>
      <c r="O83" s="1375"/>
    </row>
    <row r="84" spans="1:15" s="1208" customFormat="1" ht="25.15" customHeight="1">
      <c r="A84" s="2897">
        <f>COUNTIF($K$1:K84,1)</f>
        <v>63</v>
      </c>
      <c r="B84" s="2898">
        <f>CT_tram!B2511</f>
        <v>0</v>
      </c>
      <c r="C84" s="2899">
        <f>CT_tram!C2511</f>
        <v>0</v>
      </c>
      <c r="D84" s="2900">
        <f>CT_tram!D2511</f>
        <v>5</v>
      </c>
      <c r="E84" s="2901">
        <f>CT_tram!E2511</f>
        <v>0</v>
      </c>
      <c r="F84" s="2902" t="str">
        <f>CT_tram!F2511</f>
        <v>Bộ dây dẫn trung thế 24kV 3 pha</v>
      </c>
      <c r="G84" s="2903" t="str">
        <f>CT_tram!G2511</f>
        <v>Bộ</v>
      </c>
      <c r="H84" s="2904">
        <f>CT_tram!H2511</f>
        <v>1</v>
      </c>
      <c r="I84" s="2904">
        <f>CT_tram!I2511</f>
        <v>1</v>
      </c>
      <c r="J84" s="2905">
        <f>IFERROR(VLOOKUP(B84,DG!A:F,6,0),3000)</f>
        <v>3000</v>
      </c>
      <c r="K84" s="2906">
        <f>IF(AND(OR(H84&gt;0,I84&gt;0),J84&lt;2000),COUNTIF($B$2:B84,B84),0)</f>
        <v>0</v>
      </c>
      <c r="L84" s="1300"/>
      <c r="M84" s="1375"/>
      <c r="O84" s="1375"/>
    </row>
    <row r="85" spans="1:15" s="1208" customFormat="1" ht="25.15"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15" customHeight="1">
      <c r="A86" s="2897">
        <f>COUNTIF($K$1:K86,1)</f>
        <v>63</v>
      </c>
      <c r="B86" s="2898">
        <f>CT_tram!B2531</f>
        <v>0</v>
      </c>
      <c r="C86" s="2899">
        <f>CT_tram!C2531</f>
        <v>0</v>
      </c>
      <c r="D86" s="2900">
        <f>CT_tram!D2531</f>
        <v>6</v>
      </c>
      <c r="E86" s="2901">
        <f>CT_tram!E2531</f>
        <v>0</v>
      </c>
      <c r="F86" s="2902" t="str">
        <f>CT_tram!F2531</f>
        <v>Bộ dây dẫn cáp xuất MBA vào tủ CB</v>
      </c>
      <c r="G86" s="2910" t="str">
        <f>CT_tram!G2531</f>
        <v>Bộ</v>
      </c>
      <c r="H86" s="2911">
        <f>CT_tram!H2531</f>
        <v>1</v>
      </c>
      <c r="I86" s="2904">
        <f>CT_tram!I2531</f>
        <v>1</v>
      </c>
      <c r="J86" s="2905">
        <f>IFERROR(VLOOKUP(B86,DG!A:F,6,0),3000)</f>
        <v>3000</v>
      </c>
      <c r="K86" s="2906">
        <f>IF(AND(OR(H86&gt;0,I86&gt;0),J86&lt;2000),COUNTIF($B$2:B86,B86),0)</f>
        <v>0</v>
      </c>
      <c r="L86" s="1300"/>
      <c r="M86" s="1375"/>
      <c r="O86" s="1375"/>
    </row>
    <row r="87" spans="1:15" s="1208" customFormat="1" ht="25.15"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15"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15"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15" customHeight="1">
      <c r="A90" s="2897">
        <f>COUNTIF($K$1:K90,1)</f>
        <v>63</v>
      </c>
      <c r="B90" s="2898" t="str">
        <f>CT_tram!B2557</f>
        <v>LCT18</v>
      </c>
      <c r="C90" s="2899">
        <f>CT_tram!C2557</f>
        <v>18.88</v>
      </c>
      <c r="D90" s="2900">
        <f>CT_tram!D2557</f>
        <v>0</v>
      </c>
      <c r="E90" s="2901" t="str">
        <f>CT_tram!E2557</f>
        <v>04.1102</v>
      </c>
      <c r="F90" s="2902" t="str">
        <f>CT_tram!F2557</f>
        <v>Gia công và lắp dựng cốt thép D&lt;=18</v>
      </c>
      <c r="G90" s="2910" t="str">
        <f>CT_tram!G2557</f>
        <v>kg</v>
      </c>
      <c r="H90" s="2911">
        <f>CT_tram!H2557</f>
        <v>18.88</v>
      </c>
      <c r="I90" s="2904">
        <f>CT_tram!I2557</f>
        <v>18.88</v>
      </c>
      <c r="J90" s="2905">
        <f>IFERROR(VLOOKUP(B90,DG!A:F,6,0),3000)</f>
        <v>3000</v>
      </c>
      <c r="K90" s="2906">
        <f>IF(AND(OR(H90&gt;0,I90&gt;0),J90&lt;2000),COUNTIF($B$2:B90,B90),0)</f>
        <v>0</v>
      </c>
      <c r="L90" s="1300"/>
      <c r="M90" s="1375"/>
      <c r="O90" s="1375"/>
    </row>
    <row r="91" spans="1:15" s="1208" customFormat="1" ht="25.15"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15"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15"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752"/>
      <c r="M93" s="1375"/>
      <c r="O93" s="1375"/>
    </row>
    <row r="94" spans="1:15" s="1208" customFormat="1" ht="25.15"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15" customHeight="1">
      <c r="A95" s="2897">
        <f>COUNTIF($K$1:K95,1)</f>
        <v>63</v>
      </c>
      <c r="B95" s="2898" t="str">
        <f>CT_tram!B2571</f>
        <v>bt200</v>
      </c>
      <c r="C95" s="2899">
        <f>CT_tram!C2571</f>
        <v>0.12</v>
      </c>
      <c r="D95" s="2900">
        <f>CT_tram!D2571</f>
        <v>0</v>
      </c>
      <c r="E95" s="2901">
        <f>CT_tram!E2571</f>
        <v>0</v>
      </c>
      <c r="F95" s="2902" t="str">
        <f>CT_tram!F2571</f>
        <v>Bêtông đá 1x2 mac 200</v>
      </c>
      <c r="G95" s="2903" t="str">
        <f>CT_tram!G2571</f>
        <v>m3</v>
      </c>
      <c r="H95" s="2904">
        <f>CT_tram!H2571</f>
        <v>0.12</v>
      </c>
      <c r="I95" s="2904">
        <f>CT_tram!I2571</f>
        <v>0.12</v>
      </c>
      <c r="J95" s="2905">
        <f>IFERROR(VLOOKUP(B95,DG!A:F,6,0),3000)</f>
        <v>3000</v>
      </c>
      <c r="K95" s="2906">
        <f>IF(AND(OR(H95&gt;0,I95&gt;0),J95&lt;2000),COUNTIF($B$2:B95,B95),0)</f>
        <v>0</v>
      </c>
      <c r="L95" s="1300"/>
      <c r="M95" s="1375"/>
      <c r="O95" s="1375"/>
    </row>
    <row r="96" spans="1:15" s="1208" customFormat="1" ht="25.15" customHeight="1">
      <c r="A96" s="2897">
        <f>COUNTIF($K$1:K96,1)</f>
        <v>63</v>
      </c>
      <c r="B96" s="2898" t="str">
        <f>CT_tram!B2573</f>
        <v>xaytuong</v>
      </c>
      <c r="C96" s="2899">
        <f>CT_tram!C2573</f>
        <v>1.4</v>
      </c>
      <c r="D96" s="2900">
        <f>CT_tram!D2573</f>
        <v>0</v>
      </c>
      <c r="E96" s="2907" t="str">
        <f>CT_tram!E2573</f>
        <v>AE.61210</v>
      </c>
      <c r="F96" s="2898" t="str">
        <f>CT_tram!F2573</f>
        <v>Xây tường gạch ống bề dày &lt;30cm</v>
      </c>
      <c r="G96" s="2908" t="str">
        <f>CT_tram!G2573</f>
        <v>m3</v>
      </c>
      <c r="H96" s="2908">
        <f>CT_tram!H2573</f>
        <v>1.4</v>
      </c>
      <c r="I96" s="2908">
        <f>CT_tram!I2573</f>
        <v>1.4</v>
      </c>
      <c r="J96" s="2905">
        <f>IFERROR(VLOOKUP(B96,DG!A:F,6,0),3000)</f>
        <v>3000</v>
      </c>
      <c r="K96" s="2906">
        <f>IF(AND(OR(H96&gt;0,I96&gt;0),J96&lt;2000),COUNTIF($B$2:B96,B96),0)</f>
        <v>0</v>
      </c>
      <c r="L96" s="1297"/>
      <c r="M96" s="1375"/>
      <c r="O96" s="1375"/>
    </row>
    <row r="97" spans="1:15" s="1208" customFormat="1" ht="25.15" customHeight="1">
      <c r="A97" s="2897">
        <f>COUNTIF($K$1:K97,1)</f>
        <v>63</v>
      </c>
      <c r="B97" s="2898" t="str">
        <f>CT_tram!B2574</f>
        <v>LCT10</v>
      </c>
      <c r="C97" s="2899">
        <f>CT_tram!C2574</f>
        <v>16</v>
      </c>
      <c r="D97" s="2900">
        <f>CT_tram!D2574</f>
        <v>0</v>
      </c>
      <c r="E97" s="2901" t="str">
        <f>CT_tram!E2574</f>
        <v>04.5101</v>
      </c>
      <c r="F97" s="2902" t="str">
        <f>CT_tram!F2574</f>
        <v>Gia công và lắp dựng cốt thép D&lt;=10</v>
      </c>
      <c r="G97" s="2903" t="str">
        <f>CT_tram!G2574</f>
        <v>kg</v>
      </c>
      <c r="H97" s="2904">
        <f>CT_tram!H2574</f>
        <v>16</v>
      </c>
      <c r="I97" s="2904">
        <f>CT_tram!I2574</f>
        <v>16</v>
      </c>
      <c r="J97" s="2905">
        <f>IFERROR(VLOOKUP(B97,DG!A:F,6,0),3000)</f>
        <v>3000</v>
      </c>
      <c r="K97" s="2906">
        <f>IF(AND(OR(H97&gt;0,I97&gt;0),J97&lt;2000),COUNTIF($B$2:B97,B97),0)</f>
        <v>0</v>
      </c>
      <c r="L97" s="1752"/>
      <c r="M97" s="1375"/>
      <c r="O97" s="1375"/>
    </row>
    <row r="98" spans="1:15" s="1208" customFormat="1" ht="25.15" customHeight="1">
      <c r="A98" s="2897">
        <f>COUNTIF($K$1:K98,1)</f>
        <v>63</v>
      </c>
      <c r="B98" s="2898" t="str">
        <f>CT_tram!B2575</f>
        <v>dbt20012</v>
      </c>
      <c r="C98" s="2899">
        <f>CT_tram!C2575</f>
        <v>0.12</v>
      </c>
      <c r="D98" s="2900">
        <f>CT_tram!D2575</f>
        <v>0</v>
      </c>
      <c r="E98" s="2901" t="str">
        <f>CT_tram!E2575</f>
        <v>04.1203c</v>
      </c>
      <c r="F98" s="2902" t="str">
        <f>CT_tram!F2575</f>
        <v>Đổ bê tông móng trụ &lt;=250cm-M200 đá 1x2</v>
      </c>
      <c r="G98" s="2903" t="str">
        <f>CT_tram!G2575</f>
        <v>m3</v>
      </c>
      <c r="H98" s="2904">
        <f>CT_tram!H2575</f>
        <v>0.12</v>
      </c>
      <c r="I98" s="2904">
        <f>CT_tram!I2575</f>
        <v>0.12</v>
      </c>
      <c r="J98" s="2905">
        <f>IFERROR(VLOOKUP(B98,DG!A:F,6,0),3000)</f>
        <v>3000</v>
      </c>
      <c r="K98" s="2906">
        <f>IF(AND(OR(H98&gt;0,I98&gt;0),J98&lt;2000),COUNTIF($B$2:B98,B98),0)</f>
        <v>0</v>
      </c>
      <c r="L98" s="1300"/>
      <c r="M98" s="1375"/>
      <c r="O98" s="1375"/>
    </row>
    <row r="99" spans="1:15" s="1208" customFormat="1" ht="25.15" customHeight="1">
      <c r="A99" s="2897">
        <f>COUNTIF($K$1:K99,1)</f>
        <v>63</v>
      </c>
      <c r="B99" s="2898" t="str">
        <f>CT_tram!B2577</f>
        <v>LDKhungcua</v>
      </c>
      <c r="C99" s="2899">
        <f>CT_tram!C2577</f>
        <v>24</v>
      </c>
      <c r="D99" s="2900">
        <f>CT_tram!D2577</f>
        <v>0</v>
      </c>
      <c r="E99" s="2907" t="str">
        <f>CT_tram!E2577</f>
        <v>AI.63121</v>
      </c>
      <c r="F99" s="2898" t="str">
        <f>CT_tram!F2577</f>
        <v>Gia công và lắp dựng khung cửa sắt</v>
      </c>
      <c r="G99" s="2908" t="str">
        <f>CT_tram!G2577</f>
        <v>m2</v>
      </c>
      <c r="H99" s="2908">
        <f>CT_tram!H2577</f>
        <v>24</v>
      </c>
      <c r="I99" s="2908">
        <f>CT_tram!I2577</f>
        <v>24</v>
      </c>
      <c r="J99" s="2905">
        <f>IFERROR(VLOOKUP(B99,DG!A:F,6,0),3000)</f>
        <v>3000</v>
      </c>
      <c r="K99" s="2906">
        <f>IF(AND(OR(H99&gt;0,I99&gt;0),J99&lt;2000),COUNTIF($B$2:B99,B99),0)</f>
        <v>0</v>
      </c>
      <c r="L99" s="1952"/>
      <c r="M99" s="1375"/>
      <c r="O99" s="1375"/>
    </row>
    <row r="100" spans="1:15" s="1208" customFormat="1" ht="25.15"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752"/>
      <c r="M100" s="1375"/>
      <c r="O100" s="1375"/>
    </row>
    <row r="101" spans="1:15" s="1208" customFormat="1" ht="25.15"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15"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15" customHeight="1">
      <c r="A103" s="2897">
        <f>COUNTIF($K$1:K103,1)</f>
        <v>63</v>
      </c>
      <c r="B103" s="2898"/>
      <c r="C103" s="2899"/>
      <c r="D103" s="2900"/>
      <c r="E103" s="2901"/>
      <c r="F103" s="2902"/>
      <c r="G103" s="2903"/>
      <c r="H103" s="2904"/>
      <c r="I103" s="2904"/>
      <c r="J103" s="2905">
        <f>IFERROR(VLOOKUP(B103,DG!A:F,6,0),3000)</f>
        <v>3000</v>
      </c>
      <c r="K103" s="2906">
        <f>IF(AND(OR(H103&gt;0,I103&gt;0),J103&lt;2000),COUNTIF($B$2:B103,B103),0)</f>
        <v>0</v>
      </c>
      <c r="L103" s="1752"/>
      <c r="M103" s="1375"/>
      <c r="O103" s="1375"/>
    </row>
    <row r="104" spans="1:15" s="1208" customFormat="1" ht="25.15" customHeight="1">
      <c r="A104" s="2897">
        <f>COUNTIF($K$1:K104,1)</f>
        <v>63</v>
      </c>
      <c r="B104" s="2898"/>
      <c r="C104" s="2899"/>
      <c r="D104" s="2900"/>
      <c r="E104" s="2901"/>
      <c r="F104" s="2902"/>
      <c r="G104" s="2903"/>
      <c r="H104" s="2904"/>
      <c r="I104" s="2904"/>
      <c r="J104" s="2905">
        <f>IFERROR(VLOOKUP(B104,DG!A:F,6,0),3000)</f>
        <v>3000</v>
      </c>
      <c r="K104" s="2906">
        <f>IF(AND(OR(H104&gt;0,I104&gt;0),J104&lt;2000),COUNTIF($B$2:B104,B104),0)</f>
        <v>0</v>
      </c>
      <c r="L104" s="1752"/>
      <c r="M104" s="1753"/>
      <c r="N104" s="1754"/>
      <c r="O104" s="1753"/>
    </row>
    <row r="105" spans="1:15" s="1208" customFormat="1" ht="25.15" customHeight="1">
      <c r="A105" s="2897">
        <f>COUNTIF($K$1:K105,1)</f>
        <v>63</v>
      </c>
      <c r="B105" s="2898"/>
      <c r="C105" s="2899"/>
      <c r="D105" s="2900"/>
      <c r="E105" s="2901"/>
      <c r="F105" s="2902"/>
      <c r="G105" s="2903"/>
      <c r="H105" s="2904"/>
      <c r="I105" s="2904"/>
      <c r="J105" s="2905">
        <f>IFERROR(VLOOKUP(B105,DG!A:F,6,0),3000)</f>
        <v>3000</v>
      </c>
      <c r="K105" s="2906">
        <f>IF(AND(OR(H105&gt;0,I105&gt;0),J105&lt;2000),COUNTIF($B$2:B105,B105),0)</f>
        <v>0</v>
      </c>
      <c r="L105" s="1300"/>
      <c r="M105" s="1375"/>
      <c r="O105" s="1375"/>
    </row>
    <row r="106" spans="1:15" s="1208" customFormat="1" ht="25.15" customHeight="1">
      <c r="A106" s="2897">
        <f>COUNTIF($K$1:K106,1)</f>
        <v>63</v>
      </c>
      <c r="B106" s="2898"/>
      <c r="C106" s="2899"/>
      <c r="D106" s="2900"/>
      <c r="E106" s="2901"/>
      <c r="F106" s="2902"/>
      <c r="G106" s="2903"/>
      <c r="H106" s="2904"/>
      <c r="I106" s="2904"/>
      <c r="J106" s="2905">
        <f>IFERROR(VLOOKUP(B106,DG!A:F,6,0),3000)</f>
        <v>3000</v>
      </c>
      <c r="K106" s="2906">
        <f>IF(AND(OR(H106&gt;0,I106&gt;0),J106&lt;2000),COUNTIF($B$2:B106,B106),0)</f>
        <v>0</v>
      </c>
      <c r="L106" s="1300"/>
      <c r="M106" s="1375"/>
      <c r="O106" s="1375"/>
    </row>
    <row r="107" spans="1:15" s="1208" customFormat="1" ht="25.15" customHeight="1">
      <c r="A107" s="2897">
        <f>COUNTIF($K$1:K107,1)</f>
        <v>63</v>
      </c>
      <c r="B107" s="2898"/>
      <c r="C107" s="2899"/>
      <c r="D107" s="2900"/>
      <c r="E107" s="2901"/>
      <c r="F107" s="2902"/>
      <c r="G107" s="2903"/>
      <c r="H107" s="2904"/>
      <c r="I107" s="2904"/>
      <c r="J107" s="2905">
        <f>IFERROR(VLOOKUP(B107,DG!A:F,6,0),3000)</f>
        <v>3000</v>
      </c>
      <c r="K107" s="2906">
        <f>IF(AND(OR(H107&gt;0,I107&gt;0),J107&lt;2000),COUNTIF($B$2:B107,B107),0)</f>
        <v>0</v>
      </c>
      <c r="L107" s="1300"/>
      <c r="M107" s="1375"/>
      <c r="O107" s="1375"/>
    </row>
    <row r="108" spans="1:15" s="1208" customFormat="1" ht="25.15" customHeight="1">
      <c r="A108" s="2897">
        <f>COUNTIF($K$1:K108,1)</f>
        <v>63</v>
      </c>
      <c r="B108" s="2898"/>
      <c r="C108" s="2899"/>
      <c r="D108" s="2900"/>
      <c r="E108" s="2901"/>
      <c r="F108" s="2902"/>
      <c r="G108" s="2903"/>
      <c r="H108" s="2904"/>
      <c r="I108" s="2904"/>
      <c r="J108" s="2905">
        <f>IFERROR(VLOOKUP(B108,DG!A:F,6,0),3000)</f>
        <v>3000</v>
      </c>
      <c r="K108" s="2906">
        <f>IF(AND(OR(H108&gt;0,I108&gt;0),J108&lt;2000),COUNTIF($B$2:B108,B108),0)</f>
        <v>0</v>
      </c>
      <c r="L108" s="1300"/>
      <c r="M108" s="1375"/>
      <c r="O108" s="1375"/>
    </row>
    <row r="109" spans="1:15" s="1208" customFormat="1" ht="25.15" customHeight="1">
      <c r="A109" s="2897">
        <f>COUNTIF($K$1:K109,1)</f>
        <v>63</v>
      </c>
      <c r="B109" s="2898"/>
      <c r="C109" s="2899"/>
      <c r="D109" s="2900"/>
      <c r="E109" s="2901"/>
      <c r="F109" s="2902"/>
      <c r="G109" s="2903"/>
      <c r="H109" s="2904"/>
      <c r="I109" s="2904"/>
      <c r="J109" s="2905">
        <f>IFERROR(VLOOKUP(B109,DG!A:F,6,0),3000)</f>
        <v>3000</v>
      </c>
      <c r="K109" s="2906">
        <f>IF(AND(OR(H109&gt;0,I109&gt;0),J109&lt;2000),COUNTIF($B$2:B109,B109),0)</f>
        <v>0</v>
      </c>
      <c r="L109" s="1300"/>
      <c r="M109" s="1375"/>
      <c r="O109" s="1375"/>
    </row>
    <row r="110" spans="1:15" s="1208" customFormat="1" ht="25.15" customHeight="1">
      <c r="A110" s="2897">
        <f>COUNTIF($K$1:K110,1)</f>
        <v>63</v>
      </c>
      <c r="B110" s="2912"/>
      <c r="C110" s="2913"/>
      <c r="D110" s="2914"/>
      <c r="E110" s="2926"/>
      <c r="F110" s="2912"/>
      <c r="G110" s="2927"/>
      <c r="H110" s="2927"/>
      <c r="I110" s="2908"/>
      <c r="J110" s="2905">
        <f>IFERROR(VLOOKUP(B110,DG!A:F,6,0),3000)</f>
        <v>3000</v>
      </c>
      <c r="K110" s="2906">
        <f>IF(AND(OR(H110&gt;0,I110&gt;0),J110&lt;2000),COUNTIF($B$2:B110,B110),0)</f>
        <v>0</v>
      </c>
      <c r="L110" s="1297"/>
      <c r="M110" s="1375"/>
      <c r="O110" s="1375"/>
    </row>
    <row r="111" spans="1:15" s="1208" customFormat="1" ht="25.15" customHeight="1">
      <c r="A111" s="2897">
        <f>COUNTIF($K$1:K111,1)</f>
        <v>63</v>
      </c>
      <c r="B111" s="2898"/>
      <c r="C111" s="2899"/>
      <c r="D111" s="2900"/>
      <c r="E111" s="2901"/>
      <c r="F111" s="2902"/>
      <c r="G111" s="2903"/>
      <c r="H111" s="2904"/>
      <c r="I111" s="2904"/>
      <c r="J111" s="2905">
        <f>IFERROR(VLOOKUP(B111,DG!A:F,6,0),3000)</f>
        <v>3000</v>
      </c>
      <c r="K111" s="2906">
        <f>IF(AND(OR(H111&gt;0,I111&gt;0),J111&lt;2000),COUNTIF($B$2:B111,B111),0)</f>
        <v>0</v>
      </c>
      <c r="L111" s="1300"/>
      <c r="M111" s="1375"/>
      <c r="O111" s="1375"/>
    </row>
    <row r="112" spans="1:15" s="1208" customFormat="1" ht="25.15" customHeight="1">
      <c r="A112" s="2897">
        <f>COUNTIF($K$1:K112,1)</f>
        <v>63</v>
      </c>
      <c r="B112" s="2917"/>
      <c r="C112" s="2918"/>
      <c r="D112" s="2919"/>
      <c r="E112" s="2920"/>
      <c r="F112" s="2917"/>
      <c r="G112" s="2909"/>
      <c r="H112" s="2909"/>
      <c r="I112" s="2909"/>
      <c r="J112" s="2905">
        <f>IFERROR(VLOOKUP(B112,DG!A:F,6,0),3000)</f>
        <v>3000</v>
      </c>
      <c r="K112" s="2906">
        <f>IF(AND(OR(H112&gt;0,I112&gt;0),J112&lt;2000),COUNTIF($B$2:B112,B112),0)</f>
        <v>0</v>
      </c>
      <c r="L112" s="1297"/>
      <c r="M112" s="1375"/>
      <c r="O112" s="1375"/>
    </row>
    <row r="113" spans="1:15" s="1208" customFormat="1" ht="25.15" customHeight="1">
      <c r="A113" s="2897">
        <f>COUNTIF($K$1:K113,1)</f>
        <v>63</v>
      </c>
      <c r="B113" s="2898"/>
      <c r="C113" s="2899"/>
      <c r="D113" s="2900"/>
      <c r="E113" s="2907"/>
      <c r="F113" s="2898"/>
      <c r="G113" s="2908"/>
      <c r="H113" s="2908"/>
      <c r="I113" s="2908"/>
      <c r="J113" s="2905">
        <f>IFERROR(VLOOKUP(B113,DG!A:F,6,0),3000)</f>
        <v>3000</v>
      </c>
      <c r="K113" s="2906">
        <f>IF(AND(OR(H113&gt;0,I113&gt;0),J113&lt;2000),COUNTIF($B$2:B113,B113),0)</f>
        <v>0</v>
      </c>
      <c r="L113" s="1300"/>
      <c r="M113" s="1375"/>
      <c r="O113" s="1375"/>
    </row>
    <row r="114" spans="1:15" s="1208" customFormat="1" ht="25.15" customHeight="1">
      <c r="A114" s="2897">
        <f>COUNTIF($K$1:K114,1)</f>
        <v>63</v>
      </c>
      <c r="B114" s="2912"/>
      <c r="C114" s="2913"/>
      <c r="D114" s="2914"/>
      <c r="E114" s="2915"/>
      <c r="F114" s="2916"/>
      <c r="G114" s="2910"/>
      <c r="H114" s="2911"/>
      <c r="I114" s="2925"/>
      <c r="J114" s="2905">
        <f>IFERROR(VLOOKUP(B114,DG!A:F,6,0),3000)</f>
        <v>3000</v>
      </c>
      <c r="K114" s="2906">
        <f>IF(AND(OR(H114&gt;0,I114&gt;0),J114&lt;2000),COUNTIF($B$2:B114,B114),0)</f>
        <v>0</v>
      </c>
      <c r="L114" s="1300"/>
      <c r="M114" s="1753"/>
      <c r="N114" s="1754"/>
      <c r="O114" s="1753"/>
    </row>
    <row r="115" spans="1:15" s="1208" customFormat="1" ht="25.15" customHeight="1">
      <c r="A115" s="2897">
        <f>COUNTIF($K$1:K115,1)</f>
        <v>63</v>
      </c>
      <c r="B115" s="2898"/>
      <c r="C115" s="2899"/>
      <c r="D115" s="2900"/>
      <c r="E115" s="2901"/>
      <c r="F115" s="2902"/>
      <c r="G115" s="2903"/>
      <c r="H115" s="2904"/>
      <c r="I115" s="2904"/>
      <c r="J115" s="2905">
        <f>IFERROR(VLOOKUP(B115,DG!A:F,6,0),3000)</f>
        <v>3000</v>
      </c>
      <c r="K115" s="2906">
        <f>IF(AND(OR(H115&gt;0,I115&gt;0),J115&lt;2000),COUNTIF($B$2:B115,B115),0)</f>
        <v>0</v>
      </c>
      <c r="L115" s="1300"/>
      <c r="M115" s="1375"/>
      <c r="O115" s="1375"/>
    </row>
    <row r="116" spans="1:15" s="1208" customFormat="1" ht="25.15" customHeight="1">
      <c r="A116" s="2897">
        <f>COUNTIF($K$1:K116,1)</f>
        <v>63</v>
      </c>
      <c r="B116" s="2912"/>
      <c r="C116" s="2913"/>
      <c r="D116" s="2914"/>
      <c r="E116" s="2926"/>
      <c r="F116" s="2912"/>
      <c r="G116" s="2927"/>
      <c r="H116" s="2927"/>
      <c r="I116" s="2908"/>
      <c r="J116" s="2905">
        <f>IFERROR(VLOOKUP(B116,DG!A:F,6,0),3000)</f>
        <v>3000</v>
      </c>
      <c r="K116" s="2906">
        <f>IF(AND(OR(H116&gt;0,I116&gt;0),J116&lt;2000),COUNTIF($B$2:B116,B116),0)</f>
        <v>0</v>
      </c>
      <c r="L116" s="1297"/>
      <c r="M116" s="1753"/>
      <c r="N116" s="1754"/>
      <c r="O116" s="1753"/>
    </row>
    <row r="117" spans="1:15" s="1208" customFormat="1" ht="25.15" customHeight="1">
      <c r="A117" s="2897">
        <f>COUNTIF($K$1:K117,1)</f>
        <v>63</v>
      </c>
      <c r="B117" s="2898"/>
      <c r="C117" s="2899"/>
      <c r="D117" s="2900"/>
      <c r="E117" s="2901"/>
      <c r="F117" s="2902"/>
      <c r="G117" s="2903"/>
      <c r="H117" s="2904"/>
      <c r="I117" s="2904"/>
      <c r="J117" s="2905">
        <f>IFERROR(VLOOKUP(B117,DG!A:F,6,0),3000)</f>
        <v>3000</v>
      </c>
      <c r="K117" s="2906">
        <f>IF(AND(OR(H117&gt;0,I117&gt;0),J117&lt;2000),COUNTIF($B$2:B117,B117),0)</f>
        <v>0</v>
      </c>
      <c r="L117" s="1300"/>
      <c r="M117" s="1375"/>
      <c r="O117" s="1375"/>
    </row>
    <row r="118" spans="1:15" s="1208" customFormat="1" ht="25.15" customHeight="1">
      <c r="A118" s="2897">
        <f>COUNTIF($K$1:K118,1)</f>
        <v>63</v>
      </c>
      <c r="B118" s="2898"/>
      <c r="C118" s="2899"/>
      <c r="D118" s="2900"/>
      <c r="E118" s="2901"/>
      <c r="F118" s="2902"/>
      <c r="G118" s="2903"/>
      <c r="H118" s="2904"/>
      <c r="I118" s="2904"/>
      <c r="J118" s="2905">
        <f>IFERROR(VLOOKUP(B118,DG!A:F,6,0),3000)</f>
        <v>3000</v>
      </c>
      <c r="K118" s="2906">
        <f>IF(AND(OR(H118&gt;0,I118&gt;0),J118&lt;2000),COUNTIF($B$2:B118,B118),0)</f>
        <v>0</v>
      </c>
      <c r="L118" s="1300"/>
      <c r="M118" s="1375"/>
      <c r="O118" s="1375"/>
    </row>
    <row r="119" spans="1:15" s="1208" customFormat="1" ht="25.15" customHeight="1">
      <c r="A119" s="2897">
        <f>COUNTIF($K$1:K119,1)</f>
        <v>63</v>
      </c>
      <c r="B119" s="2898"/>
      <c r="C119" s="2899"/>
      <c r="D119" s="2900"/>
      <c r="E119" s="2901"/>
      <c r="F119" s="2902"/>
      <c r="G119" s="2903"/>
      <c r="H119" s="2904"/>
      <c r="I119" s="2904"/>
      <c r="J119" s="2905">
        <f>IFERROR(VLOOKUP(B119,DG!A:F,6,0),3000)</f>
        <v>3000</v>
      </c>
      <c r="K119" s="2906">
        <f>IF(AND(OR(H119&gt;0,I119&gt;0),J119&lt;2000),COUNTIF($B$2:B119,B119),0)</f>
        <v>0</v>
      </c>
      <c r="L119" s="1300"/>
      <c r="M119" s="1375"/>
      <c r="O119" s="1375"/>
    </row>
    <row r="120" spans="1:15" s="1208" customFormat="1" ht="25.15" customHeight="1">
      <c r="A120" s="2897">
        <f>COUNTIF($K$1:K120,1)</f>
        <v>63</v>
      </c>
      <c r="B120" s="2898"/>
      <c r="C120" s="2899"/>
      <c r="D120" s="2900"/>
      <c r="E120" s="2901"/>
      <c r="F120" s="2902"/>
      <c r="G120" s="2903"/>
      <c r="H120" s="2904"/>
      <c r="I120" s="2904"/>
      <c r="J120" s="2905">
        <f>IFERROR(VLOOKUP(B120,DG!A:F,6,0),3000)</f>
        <v>3000</v>
      </c>
      <c r="K120" s="2906">
        <f>IF(AND(OR(H120&gt;0,I120&gt;0),J120&lt;2000),COUNTIF($B$2:B120,B120),0)</f>
        <v>0</v>
      </c>
      <c r="L120" s="1300"/>
      <c r="M120" s="1375"/>
      <c r="O120" s="1375"/>
    </row>
    <row r="121" spans="1:15" s="1208" customFormat="1" ht="25.15" customHeight="1">
      <c r="A121" s="2897">
        <f>COUNTIF($K$1:K121,1)</f>
        <v>63</v>
      </c>
      <c r="B121" s="2898"/>
      <c r="C121" s="2899"/>
      <c r="D121" s="2900"/>
      <c r="E121" s="2901"/>
      <c r="F121" s="2902"/>
      <c r="G121" s="2903"/>
      <c r="H121" s="2904"/>
      <c r="I121" s="2904"/>
      <c r="J121" s="2905">
        <f>IFERROR(VLOOKUP(B121,DG!A:F,6,0),3000)</f>
        <v>3000</v>
      </c>
      <c r="K121" s="2906">
        <f>IF(AND(OR(H121&gt;0,I121&gt;0),J121&lt;2000),COUNTIF($B$2:B121,B121),0)</f>
        <v>0</v>
      </c>
      <c r="L121" s="1300"/>
      <c r="M121" s="1375"/>
      <c r="O121" s="1375"/>
    </row>
    <row r="122" spans="1:15" s="1208" customFormat="1" ht="25.15" customHeight="1">
      <c r="A122" s="2897">
        <f>COUNTIF($K$1:K122,1)</f>
        <v>63</v>
      </c>
      <c r="B122" s="2898"/>
      <c r="C122" s="2899"/>
      <c r="D122" s="2900"/>
      <c r="E122" s="2901"/>
      <c r="F122" s="2902"/>
      <c r="G122" s="2903"/>
      <c r="H122" s="2904"/>
      <c r="I122" s="2904"/>
      <c r="J122" s="2905">
        <f>IFERROR(VLOOKUP(B122,DG!A:F,6,0),3000)</f>
        <v>3000</v>
      </c>
      <c r="K122" s="2906">
        <f>IF(AND(OR(H122&gt;0,I122&gt;0),J122&lt;2000),COUNTIF($B$2:B122,B122),0)</f>
        <v>0</v>
      </c>
      <c r="L122" s="1300"/>
      <c r="M122" s="1375"/>
      <c r="O122" s="1375"/>
    </row>
    <row r="123" spans="1:15" s="1208" customFormat="1" ht="25.15" customHeight="1">
      <c r="A123" s="2897">
        <f>COUNTIF($K$1:K123,1)</f>
        <v>63</v>
      </c>
      <c r="B123" s="2898"/>
      <c r="C123" s="2899"/>
      <c r="D123" s="2900"/>
      <c r="E123" s="2907"/>
      <c r="F123" s="2898"/>
      <c r="G123" s="2908"/>
      <c r="H123" s="2908"/>
      <c r="I123" s="2908"/>
      <c r="J123" s="2905">
        <f>IFERROR(VLOOKUP(B123,DG!A:F,6,0),3000)</f>
        <v>3000</v>
      </c>
      <c r="K123" s="2906">
        <f>IF(AND(OR(H123&gt;0,I123&gt;0),J123&lt;2000),COUNTIF($B$2:B123,B123),0)</f>
        <v>0</v>
      </c>
      <c r="L123" s="1297"/>
      <c r="M123" s="1375"/>
      <c r="O123" s="1375"/>
    </row>
    <row r="124" spans="1:15" s="1208" customFormat="1" ht="25.15" customHeight="1">
      <c r="A124" s="2897">
        <f>COUNTIF($K$1:K124,1)</f>
        <v>63</v>
      </c>
      <c r="B124" s="2912"/>
      <c r="C124" s="2913"/>
      <c r="D124" s="2914"/>
      <c r="E124" s="2926"/>
      <c r="F124" s="2912"/>
      <c r="G124" s="2927"/>
      <c r="H124" s="2927"/>
      <c r="I124" s="2908"/>
      <c r="J124" s="2905">
        <f>IFERROR(VLOOKUP(B124,DG!A:F,6,0),3000)</f>
        <v>3000</v>
      </c>
      <c r="K124" s="2906">
        <f>IF(AND(OR(H124&gt;0,I124&gt;0),J124&lt;2000),COUNTIF($B$2:B124,B124),0)</f>
        <v>0</v>
      </c>
      <c r="L124" s="1297"/>
      <c r="M124" s="1375"/>
      <c r="O124" s="1375"/>
    </row>
    <row r="125" spans="1:15" s="1208" customFormat="1" ht="25.15" customHeight="1">
      <c r="A125" s="2897">
        <f>COUNTIF($K$1:K125,1)</f>
        <v>63</v>
      </c>
      <c r="B125" s="2898"/>
      <c r="C125" s="2899"/>
      <c r="D125" s="2900"/>
      <c r="E125" s="2901"/>
      <c r="F125" s="2902"/>
      <c r="G125" s="2903"/>
      <c r="H125" s="2904"/>
      <c r="I125" s="2928"/>
      <c r="J125" s="2905">
        <f>IFERROR(VLOOKUP(B125,DG!A:F,6,0),3000)</f>
        <v>3000</v>
      </c>
      <c r="K125" s="2906">
        <f>IF(AND(OR(H125&gt;0,I125&gt;0),J125&lt;2000),COUNTIF($B$2:B125,B125),0)</f>
        <v>0</v>
      </c>
      <c r="L125" s="1300"/>
      <c r="M125" s="1375"/>
      <c r="O125" s="1375"/>
    </row>
    <row r="126" spans="1:15" s="1208" customFormat="1" ht="25.15" customHeight="1">
      <c r="A126" s="2897">
        <f>COUNTIF($K$1:K126,1)</f>
        <v>63</v>
      </c>
      <c r="B126" s="2898"/>
      <c r="C126" s="2899"/>
      <c r="D126" s="2900"/>
      <c r="E126" s="2907"/>
      <c r="F126" s="2898"/>
      <c r="G126" s="2908"/>
      <c r="H126" s="2908"/>
      <c r="I126" s="2908"/>
      <c r="J126" s="2905">
        <f>IFERROR(VLOOKUP(B126,DG!A:F,6,0),3000)</f>
        <v>3000</v>
      </c>
      <c r="K126" s="2906">
        <f>IF(AND(OR(H126&gt;0,I126&gt;0),J126&lt;2000),COUNTIF($B$2:B126,B126),0)</f>
        <v>0</v>
      </c>
      <c r="L126" s="1297"/>
      <c r="M126" s="1375"/>
      <c r="O126" s="1375"/>
    </row>
    <row r="127" spans="1:15" s="1208" customFormat="1" ht="25.15" customHeight="1">
      <c r="A127" s="2897">
        <f>COUNTIF($K$1:K127,1)</f>
        <v>63</v>
      </c>
      <c r="B127" s="2898"/>
      <c r="C127" s="2899"/>
      <c r="D127" s="2900"/>
      <c r="E127" s="2907"/>
      <c r="F127" s="2898"/>
      <c r="G127" s="2908"/>
      <c r="H127" s="2908"/>
      <c r="I127" s="2908"/>
      <c r="J127" s="2905">
        <f>IFERROR(VLOOKUP(B127,DG!A:F,6,0),3000)</f>
        <v>3000</v>
      </c>
      <c r="K127" s="2906">
        <f>IF(AND(OR(H127&gt;0,I127&gt;0),J127&lt;2000),COUNTIF($B$2:B127,B127),0)</f>
        <v>0</v>
      </c>
      <c r="L127" s="1297"/>
      <c r="M127" s="1375"/>
      <c r="O127" s="1375"/>
    </row>
    <row r="128" spans="1:15" s="1208" customFormat="1" ht="25.15" customHeight="1">
      <c r="A128" s="2897">
        <f>COUNTIF($K$1:K128,1)</f>
        <v>63</v>
      </c>
      <c r="B128" s="2898"/>
      <c r="C128" s="2899"/>
      <c r="D128" s="2900"/>
      <c r="E128" s="2901"/>
      <c r="F128" s="2902"/>
      <c r="G128" s="2903"/>
      <c r="H128" s="2904"/>
      <c r="I128" s="2904"/>
      <c r="J128" s="2905">
        <f>IFERROR(VLOOKUP(B128,DG!A:F,6,0),3000)</f>
        <v>3000</v>
      </c>
      <c r="K128" s="2906">
        <f>IF(AND(OR(H128&gt;0,I128&gt;0),J128&lt;2000),COUNTIF($B$2:B128,B128),0)</f>
        <v>0</v>
      </c>
      <c r="L128" s="1300"/>
      <c r="M128" s="1375"/>
      <c r="O128" s="1375"/>
    </row>
    <row r="129" spans="1:15" s="1208" customFormat="1" ht="25.15" customHeight="1">
      <c r="A129" s="2897">
        <f>COUNTIF($K$1:K129,1)</f>
        <v>63</v>
      </c>
      <c r="B129" s="2912"/>
      <c r="C129" s="2913"/>
      <c r="D129" s="2914"/>
      <c r="E129" s="2926"/>
      <c r="F129" s="2912"/>
      <c r="G129" s="2927"/>
      <c r="H129" s="2927"/>
      <c r="I129" s="2908"/>
      <c r="J129" s="2905">
        <f>IFERROR(VLOOKUP(B129,DG!A:F,6,0),3000)</f>
        <v>3000</v>
      </c>
      <c r="K129" s="2906">
        <f>IF(AND(OR(H129&gt;0,I129&gt;0),J129&lt;2000),COUNTIF($B$2:B129,B129),0)</f>
        <v>0</v>
      </c>
      <c r="L129" s="1952"/>
      <c r="M129" s="1375"/>
      <c r="O129" s="1375"/>
    </row>
    <row r="130" spans="1:15" s="1208" customFormat="1" ht="25.15" customHeight="1">
      <c r="A130" s="2897">
        <f>COUNTIF($K$1:K130,1)</f>
        <v>63</v>
      </c>
      <c r="B130" s="2912"/>
      <c r="C130" s="2913"/>
      <c r="D130" s="2914"/>
      <c r="E130" s="2926"/>
      <c r="F130" s="2912"/>
      <c r="G130" s="2927"/>
      <c r="H130" s="2927"/>
      <c r="I130" s="2908"/>
      <c r="J130" s="2905">
        <f>IFERROR(VLOOKUP(B130,DG!A:F,6,0),3000)</f>
        <v>3000</v>
      </c>
      <c r="K130" s="2906">
        <f>IF(AND(OR(H130&gt;0,I130&gt;0),J130&lt;2000),COUNTIF($B$2:B130,B130),0)</f>
        <v>0</v>
      </c>
      <c r="L130" s="1297"/>
      <c r="M130" s="1375"/>
      <c r="O130" s="1375"/>
    </row>
    <row r="131" spans="1:15" s="1208" customFormat="1" ht="25.15" customHeight="1">
      <c r="A131" s="2897">
        <f>COUNTIF($K$1:K131,1)</f>
        <v>63</v>
      </c>
      <c r="B131" s="2898"/>
      <c r="C131" s="2899"/>
      <c r="D131" s="2900"/>
      <c r="E131" s="2907"/>
      <c r="F131" s="2898"/>
      <c r="G131" s="2908"/>
      <c r="H131" s="2908"/>
      <c r="I131" s="2908"/>
      <c r="J131" s="2905">
        <f>IFERROR(VLOOKUP(B131,DG!A:F,6,0),3000)</f>
        <v>3000</v>
      </c>
      <c r="K131" s="2906">
        <f>IF(AND(OR(H131&gt;0,I131&gt;0),J131&lt;2000),COUNTIF($B$2:B131,B131),0)</f>
        <v>0</v>
      </c>
      <c r="L131" s="1297"/>
      <c r="M131" s="1375"/>
      <c r="O131" s="1375"/>
    </row>
    <row r="132" spans="1:15" s="1208" customFormat="1" ht="25.15" customHeight="1">
      <c r="A132" s="2897">
        <f>COUNTIF($K$1:K132,1)</f>
        <v>63</v>
      </c>
      <c r="B132" s="2898"/>
      <c r="C132" s="2899"/>
      <c r="D132" s="2900"/>
      <c r="E132" s="2901"/>
      <c r="F132" s="2929"/>
      <c r="G132" s="2930"/>
      <c r="H132" s="2930"/>
      <c r="I132" s="2930"/>
      <c r="J132" s="2905">
        <f>IFERROR(VLOOKUP(B132,DG!A:F,6,0),3000)</f>
        <v>3000</v>
      </c>
      <c r="K132" s="2906">
        <f>IF(AND(OR(H132&gt;0,I132&gt;0),J132&lt;2000),COUNTIF($B$2:B132,B132),0)</f>
        <v>0</v>
      </c>
      <c r="L132" s="1300"/>
      <c r="M132" s="1375"/>
      <c r="O132" s="1375"/>
    </row>
    <row r="133" spans="1:15" s="1208" customFormat="1" ht="25.15" customHeight="1">
      <c r="A133" s="2897">
        <f>COUNTIF($K$1:K133,1)</f>
        <v>63</v>
      </c>
      <c r="B133" s="2898"/>
      <c r="C133" s="2899"/>
      <c r="D133" s="2900"/>
      <c r="E133" s="2901"/>
      <c r="F133" s="2902"/>
      <c r="G133" s="2903"/>
      <c r="H133" s="2904"/>
      <c r="I133" s="2904"/>
      <c r="J133" s="2905">
        <f>IFERROR(VLOOKUP(B133,DG!A:F,6,0),3000)</f>
        <v>3000</v>
      </c>
      <c r="K133" s="2906">
        <f>IF(AND(OR(H133&gt;0,I133&gt;0),J133&lt;2000),COUNTIF($B$2:B133,B133),0)</f>
        <v>0</v>
      </c>
      <c r="L133" s="1300"/>
      <c r="M133" s="1375"/>
      <c r="O133" s="1375"/>
    </row>
    <row r="134" spans="1:15" s="1208" customFormat="1" ht="25.15" customHeight="1">
      <c r="A134" s="2897">
        <f>COUNTIF($K$1:K134,1)</f>
        <v>63</v>
      </c>
      <c r="B134" s="2898"/>
      <c r="C134" s="2899"/>
      <c r="D134" s="2900"/>
      <c r="E134" s="2901"/>
      <c r="F134" s="2902"/>
      <c r="G134" s="2903"/>
      <c r="H134" s="2904"/>
      <c r="I134" s="2904"/>
      <c r="J134" s="2905">
        <f>IFERROR(VLOOKUP(B134,DG!A:F,6,0),3000)</f>
        <v>3000</v>
      </c>
      <c r="K134" s="2906">
        <f>IF(AND(OR(H134&gt;0,I134&gt;0),J134&lt;2000),COUNTIF($B$2:B134,B134),0)</f>
        <v>0</v>
      </c>
      <c r="L134" s="1300"/>
      <c r="M134" s="1375"/>
      <c r="O134" s="1375"/>
    </row>
    <row r="135" spans="1:15" s="1208" customFormat="1" ht="25.15" customHeight="1">
      <c r="A135" s="2897">
        <f>COUNTIF($K$1:K135,1)</f>
        <v>63</v>
      </c>
      <c r="B135" s="2898"/>
      <c r="C135" s="2899"/>
      <c r="D135" s="2900"/>
      <c r="E135" s="2907"/>
      <c r="F135" s="2898"/>
      <c r="G135" s="2908"/>
      <c r="H135" s="2908"/>
      <c r="I135" s="2908"/>
      <c r="J135" s="2905">
        <f>IFERROR(VLOOKUP(B135,DG!A:F,6,0),3000)</f>
        <v>3000</v>
      </c>
      <c r="K135" s="2906">
        <f>IF(AND(OR(H135&gt;0,I135&gt;0),J135&lt;2000),COUNTIF($B$2:B135,B135),0)</f>
        <v>0</v>
      </c>
      <c r="L135" s="1297"/>
      <c r="M135" s="1375"/>
      <c r="O135" s="1375"/>
    </row>
    <row r="136" spans="1:15" s="1208" customFormat="1" ht="25.15" customHeight="1">
      <c r="A136" s="2897">
        <f>COUNTIF($K$1:K136,1)</f>
        <v>63</v>
      </c>
      <c r="B136" s="2898"/>
      <c r="C136" s="2899"/>
      <c r="D136" s="2900"/>
      <c r="E136" s="2901"/>
      <c r="F136" s="2902"/>
      <c r="G136" s="2903"/>
      <c r="H136" s="2904"/>
      <c r="I136" s="2904"/>
      <c r="J136" s="2905">
        <f>IFERROR(VLOOKUP(B136,DG!A:F,6,0),3000)</f>
        <v>3000</v>
      </c>
      <c r="K136" s="2906">
        <f>IF(AND(OR(H136&gt;0,I136&gt;0),J136&lt;2000),COUNTIF($B$2:B136,B136),0)</f>
        <v>0</v>
      </c>
      <c r="L136" s="1300"/>
      <c r="M136" s="1375"/>
      <c r="O136" s="1375"/>
    </row>
    <row r="137" spans="1:15" s="1208" customFormat="1" ht="25.15" customHeight="1">
      <c r="A137" s="2897">
        <f>COUNTIF($K$1:K137,1)</f>
        <v>63</v>
      </c>
      <c r="B137" s="2898"/>
      <c r="C137" s="2899"/>
      <c r="D137" s="2900"/>
      <c r="E137" s="2907"/>
      <c r="F137" s="2898"/>
      <c r="G137" s="2908"/>
      <c r="H137" s="2908"/>
      <c r="I137" s="2908"/>
      <c r="J137" s="2905">
        <f>IFERROR(VLOOKUP(B137,DG!A:F,6,0),3000)</f>
        <v>3000</v>
      </c>
      <c r="K137" s="2906">
        <f>IF(AND(OR(H137&gt;0,I137&gt;0),J137&lt;2000),COUNTIF($B$2:B137,B137),0)</f>
        <v>0</v>
      </c>
      <c r="L137" s="1297"/>
      <c r="M137" s="1375"/>
      <c r="O137" s="1375"/>
    </row>
    <row r="138" spans="1:15" s="1208" customFormat="1" ht="25.15" customHeight="1">
      <c r="A138" s="2897">
        <f>COUNTIF($K$1:K138,1)</f>
        <v>63</v>
      </c>
      <c r="B138" s="2898"/>
      <c r="C138" s="2899"/>
      <c r="D138" s="2900"/>
      <c r="E138" s="2907"/>
      <c r="F138" s="2898"/>
      <c r="G138" s="2908"/>
      <c r="H138" s="2908"/>
      <c r="I138" s="2908"/>
      <c r="J138" s="2905">
        <f>IFERROR(VLOOKUP(B138,DG!A:F,6,0),3000)</f>
        <v>3000</v>
      </c>
      <c r="K138" s="2906">
        <f>IF(AND(OR(H138&gt;0,I138&gt;0),J138&lt;2000),COUNTIF($B$2:B138,B138),0)</f>
        <v>0</v>
      </c>
      <c r="L138" s="1297"/>
      <c r="M138" s="1375"/>
      <c r="O138" s="1375"/>
    </row>
    <row r="139" spans="1:15" s="1208" customFormat="1" ht="25.15" customHeight="1">
      <c r="A139" s="2897">
        <f>COUNTIF($K$1:K139,1)</f>
        <v>63</v>
      </c>
      <c r="B139" s="2912"/>
      <c r="C139" s="2913"/>
      <c r="D139" s="2914"/>
      <c r="E139" s="2915"/>
      <c r="F139" s="2916"/>
      <c r="G139" s="2910"/>
      <c r="H139" s="2911"/>
      <c r="I139" s="2904"/>
      <c r="J139" s="2905">
        <f>IFERROR(VLOOKUP(B139,DG!A:F,6,0),3000)</f>
        <v>3000</v>
      </c>
      <c r="K139" s="2906">
        <f>IF(AND(OR(H139&gt;0,I139&gt;0),J139&lt;2000),COUNTIF($B$2:B139,B139),0)</f>
        <v>0</v>
      </c>
      <c r="L139" s="1752"/>
      <c r="M139" s="1375"/>
      <c r="O139" s="1375"/>
    </row>
    <row r="140" spans="1:15" s="1208" customFormat="1" ht="25.15" customHeight="1">
      <c r="A140" s="2897">
        <f>COUNTIF($K$1:K140,1)</f>
        <v>63</v>
      </c>
      <c r="B140" s="2898"/>
      <c r="C140" s="2899"/>
      <c r="D140" s="2900"/>
      <c r="E140" s="2901"/>
      <c r="F140" s="2902"/>
      <c r="G140" s="2910"/>
      <c r="H140" s="2904"/>
      <c r="I140" s="2904"/>
      <c r="J140" s="2905">
        <f>IFERROR(VLOOKUP(B140,DG!A:F,6,0),3000)</f>
        <v>3000</v>
      </c>
      <c r="K140" s="2906">
        <f>IF(AND(OR(H140&gt;0,I140&gt;0),J140&lt;2000),COUNTIF($B$2:B140,B140),0)</f>
        <v>0</v>
      </c>
      <c r="L140" s="1300"/>
      <c r="M140" s="1375"/>
      <c r="O140" s="1375"/>
    </row>
    <row r="141" spans="1:15" s="1208" customFormat="1" ht="25.15" customHeight="1">
      <c r="A141" s="2897">
        <f>COUNTIF($K$1:K141,1)</f>
        <v>63</v>
      </c>
      <c r="B141" s="2898"/>
      <c r="C141" s="2899"/>
      <c r="D141" s="2900"/>
      <c r="E141" s="2907"/>
      <c r="F141" s="2898"/>
      <c r="G141" s="2908"/>
      <c r="H141" s="2908"/>
      <c r="I141" s="2908"/>
      <c r="J141" s="2905">
        <f>IFERROR(VLOOKUP(B141,DG!A:F,6,0),3000)</f>
        <v>3000</v>
      </c>
      <c r="K141" s="2906">
        <f>IF(AND(OR(H141&gt;0,I141&gt;0),J141&lt;2000),COUNTIF($B$2:B141,B141),0)</f>
        <v>0</v>
      </c>
      <c r="L141" s="1297"/>
      <c r="M141" s="1375"/>
      <c r="O141" s="1375"/>
    </row>
    <row r="142" spans="1:15" s="1208" customFormat="1" ht="25.15" customHeight="1">
      <c r="A142" s="2897">
        <f>COUNTIF($K$1:K142,1)</f>
        <v>63</v>
      </c>
      <c r="B142" s="2898"/>
      <c r="C142" s="2899"/>
      <c r="D142" s="2900"/>
      <c r="E142" s="2901"/>
      <c r="F142" s="2902"/>
      <c r="G142" s="2903"/>
      <c r="H142" s="2904"/>
      <c r="I142" s="2904"/>
      <c r="J142" s="2905">
        <f>IFERROR(VLOOKUP(B142,DG!A:F,6,0),3000)</f>
        <v>3000</v>
      </c>
      <c r="K142" s="2906">
        <f>IF(AND(OR(H142&gt;0,I142&gt;0),J142&lt;2000),COUNTIF($B$2:B142,B142),0)</f>
        <v>0</v>
      </c>
      <c r="L142" s="1300"/>
      <c r="M142" s="1375"/>
      <c r="O142" s="1375"/>
    </row>
    <row r="143" spans="1:15" s="1208" customFormat="1" ht="25.15" customHeight="1">
      <c r="A143" s="2897">
        <f>COUNTIF($K$1:K143,1)</f>
        <v>63</v>
      </c>
      <c r="B143" s="2917"/>
      <c r="C143" s="2918"/>
      <c r="D143" s="2919"/>
      <c r="E143" s="2920"/>
      <c r="F143" s="2917"/>
      <c r="G143" s="2909"/>
      <c r="H143" s="2909"/>
      <c r="I143" s="2909"/>
      <c r="J143" s="2905">
        <f>IFERROR(VLOOKUP(B143,DG!A:F,6,0),3000)</f>
        <v>3000</v>
      </c>
      <c r="K143" s="2906">
        <f>IF(AND(OR(H143&gt;0,I143&gt;0),J143&lt;2000),COUNTIF($B$2:B143,B143),0)</f>
        <v>0</v>
      </c>
      <c r="L143" s="1297"/>
      <c r="M143" s="1375"/>
      <c r="O143" s="1375"/>
    </row>
    <row r="144" spans="1:15" s="1208" customFormat="1" ht="25.15" customHeight="1">
      <c r="A144" s="2897">
        <f>COUNTIF($K$1:K144,1)</f>
        <v>63</v>
      </c>
      <c r="B144" s="2898"/>
      <c r="C144" s="2899"/>
      <c r="D144" s="2900"/>
      <c r="E144" s="2901"/>
      <c r="F144" s="2902"/>
      <c r="G144" s="2903"/>
      <c r="H144" s="2904"/>
      <c r="I144" s="2904"/>
      <c r="J144" s="2905">
        <f>IFERROR(VLOOKUP(B144,DG!A:F,6,0),3000)</f>
        <v>3000</v>
      </c>
      <c r="K144" s="2906">
        <f>IF(AND(OR(H144&gt;0,I144&gt;0),J144&lt;2000),COUNTIF($B$2:B144,B144),0)</f>
        <v>0</v>
      </c>
      <c r="L144" s="1300"/>
      <c r="M144" s="1375"/>
      <c r="O144" s="1375"/>
    </row>
    <row r="145" spans="1:15" s="1208" customFormat="1" ht="25.15" customHeight="1">
      <c r="A145" s="2897">
        <f>COUNTIF($K$1:K145,1)</f>
        <v>63</v>
      </c>
      <c r="B145" s="2898"/>
      <c r="C145" s="2899"/>
      <c r="D145" s="2900"/>
      <c r="E145" s="2901"/>
      <c r="F145" s="2902"/>
      <c r="G145" s="2903"/>
      <c r="H145" s="2904"/>
      <c r="I145" s="2904"/>
      <c r="J145" s="2905">
        <f>IFERROR(VLOOKUP(B145,DG!A:F,6,0),3000)</f>
        <v>3000</v>
      </c>
      <c r="K145" s="2906">
        <f>IF(AND(OR(H145&gt;0,I145&gt;0),J145&lt;2000),COUNTIF($B$2:B145,B145),0)</f>
        <v>0</v>
      </c>
      <c r="L145" s="1300"/>
      <c r="M145" s="1375"/>
      <c r="O145" s="1375"/>
    </row>
    <row r="146" spans="1:15" s="1208" customFormat="1" ht="25.15" customHeight="1">
      <c r="A146" s="2897">
        <f>COUNTIF($K$1:K146,1)</f>
        <v>63</v>
      </c>
      <c r="B146" s="2898"/>
      <c r="C146" s="2899"/>
      <c r="D146" s="2900"/>
      <c r="E146" s="2901"/>
      <c r="F146" s="2902"/>
      <c r="G146" s="2903"/>
      <c r="H146" s="2904"/>
      <c r="I146" s="2904"/>
      <c r="J146" s="2905">
        <f>IFERROR(VLOOKUP(B146,DG!A:F,6,0),3000)</f>
        <v>3000</v>
      </c>
      <c r="K146" s="2906">
        <f>IF(AND(OR(H146&gt;0,I146&gt;0),J146&lt;2000),COUNTIF($B$2:B146,B146),0)</f>
        <v>0</v>
      </c>
      <c r="L146" s="1300"/>
      <c r="M146" s="1375"/>
      <c r="O146" s="1375"/>
    </row>
    <row r="147" spans="1:15" s="1208" customFormat="1" ht="25.15" customHeight="1">
      <c r="A147" s="2897">
        <f>COUNTIF($K$1:K147,1)</f>
        <v>63</v>
      </c>
      <c r="B147" s="2917"/>
      <c r="C147" s="2918"/>
      <c r="D147" s="2919"/>
      <c r="E147" s="2920"/>
      <c r="F147" s="2917"/>
      <c r="G147" s="2909"/>
      <c r="H147" s="2909"/>
      <c r="I147" s="2909"/>
      <c r="J147" s="2905">
        <f>IFERROR(VLOOKUP(B147,DG!A:F,6,0),3000)</f>
        <v>3000</v>
      </c>
      <c r="K147" s="2906">
        <f>IF(AND(OR(H147&gt;0,I147&gt;0),J147&lt;2000),COUNTIF($B$2:B147,B147),0)</f>
        <v>0</v>
      </c>
      <c r="L147" s="1297"/>
      <c r="M147" s="1375"/>
      <c r="O147" s="1375"/>
    </row>
    <row r="148" spans="1:15" s="1208" customFormat="1" ht="25.15" customHeight="1">
      <c r="A148" s="2897">
        <f>COUNTIF($K$1:K148,1)</f>
        <v>63</v>
      </c>
      <c r="B148" s="2898"/>
      <c r="C148" s="2899"/>
      <c r="D148" s="2900"/>
      <c r="E148" s="2901"/>
      <c r="F148" s="2902"/>
      <c r="G148" s="2903"/>
      <c r="H148" s="2904"/>
      <c r="I148" s="2904"/>
      <c r="J148" s="2905">
        <f>IFERROR(VLOOKUP(B148,DG!A:F,6,0),3000)</f>
        <v>3000</v>
      </c>
      <c r="K148" s="2906">
        <f>IF(AND(OR(H148&gt;0,I148&gt;0),J148&lt;2000),COUNTIF($B$2:B148,B148),0)</f>
        <v>0</v>
      </c>
      <c r="L148" s="1300"/>
      <c r="M148" s="1375"/>
      <c r="O148" s="1375"/>
    </row>
    <row r="149" spans="1:15" s="1208" customFormat="1" ht="25.15" customHeight="1">
      <c r="A149" s="2897">
        <f>COUNTIF($K$1:K149,1)</f>
        <v>63</v>
      </c>
      <c r="B149" s="2898"/>
      <c r="C149" s="2899"/>
      <c r="D149" s="2900"/>
      <c r="E149" s="2907"/>
      <c r="F149" s="2898"/>
      <c r="G149" s="2908"/>
      <c r="H149" s="2908"/>
      <c r="I149" s="2908"/>
      <c r="J149" s="2905">
        <f>IFERROR(VLOOKUP(B149,DG!A:F,6,0),3000)</f>
        <v>3000</v>
      </c>
      <c r="K149" s="2906">
        <f>IF(AND(OR(H149&gt;0,I149&gt;0),J149&lt;2000),COUNTIF($B$2:B149,B149),0)</f>
        <v>0</v>
      </c>
      <c r="L149" s="1297"/>
      <c r="M149" s="1375"/>
      <c r="O149" s="1375"/>
    </row>
    <row r="150" spans="1:15" s="1208" customFormat="1" ht="25.15" customHeight="1">
      <c r="A150" s="2897">
        <f>COUNTIF($K$1:K150,1)</f>
        <v>63</v>
      </c>
      <c r="B150" s="2912"/>
      <c r="C150" s="2913"/>
      <c r="D150" s="2914"/>
      <c r="E150" s="2915"/>
      <c r="F150" s="2916"/>
      <c r="G150" s="2910"/>
      <c r="H150" s="2904"/>
      <c r="I150" s="2904"/>
      <c r="J150" s="2905">
        <f>IFERROR(VLOOKUP(B150,DG!A:F,6,0),3000)</f>
        <v>3000</v>
      </c>
      <c r="K150" s="2906">
        <f>IF(AND(OR(H150&gt;0,I150&gt;0),J150&lt;2000),COUNTIF($B$2:B150,B150),0)</f>
        <v>0</v>
      </c>
      <c r="L150" s="1300"/>
      <c r="M150" s="1375"/>
      <c r="O150" s="1375"/>
    </row>
    <row r="151" spans="1:15" s="1208" customFormat="1" ht="25.15" customHeight="1">
      <c r="A151" s="2897">
        <f>COUNTIF($K$1:K151,1)</f>
        <v>63</v>
      </c>
      <c r="B151" s="2898"/>
      <c r="C151" s="2899"/>
      <c r="D151" s="2900"/>
      <c r="E151" s="2901"/>
      <c r="F151" s="2902"/>
      <c r="G151" s="2910"/>
      <c r="H151" s="2911"/>
      <c r="I151" s="2904"/>
      <c r="J151" s="2905">
        <f>IFERROR(VLOOKUP(B151,DG!A:F,6,0),3000)</f>
        <v>3000</v>
      </c>
      <c r="K151" s="2906">
        <f>IF(AND(OR(H151&gt;0,I151&gt;0),J151&lt;2000),COUNTIF($B$2:B151,B151),0)</f>
        <v>0</v>
      </c>
      <c r="L151" s="1300"/>
      <c r="M151" s="1375"/>
      <c r="O151" s="1375"/>
    </row>
    <row r="152" spans="1:15" s="1208" customFormat="1" ht="25.15" customHeight="1">
      <c r="A152" s="2897">
        <f>COUNTIF($K$1:K152,1)</f>
        <v>63</v>
      </c>
      <c r="B152" s="2912"/>
      <c r="C152" s="2913"/>
      <c r="D152" s="2914"/>
      <c r="E152" s="2915"/>
      <c r="F152" s="2916"/>
      <c r="G152" s="2910"/>
      <c r="H152" s="2911"/>
      <c r="I152" s="2925"/>
      <c r="J152" s="2905">
        <f>IFERROR(VLOOKUP(B152,DG!A:F,6,0),3000)</f>
        <v>3000</v>
      </c>
      <c r="K152" s="2906">
        <f>IF(AND(OR(H152&gt;0,I152&gt;0),J152&lt;2000),COUNTIF($B$2:B152,B152),0)</f>
        <v>0</v>
      </c>
      <c r="L152" s="1752"/>
      <c r="M152" s="1375"/>
      <c r="O152" s="1375"/>
    </row>
    <row r="153" spans="1:15" s="1208" customFormat="1" ht="25.15" customHeight="1">
      <c r="A153" s="2897">
        <f>COUNTIF($K$1:K153,1)</f>
        <v>63</v>
      </c>
      <c r="B153" s="2898"/>
      <c r="C153" s="2899"/>
      <c r="D153" s="2900"/>
      <c r="E153" s="2907"/>
      <c r="F153" s="2898"/>
      <c r="G153" s="2908"/>
      <c r="H153" s="2908"/>
      <c r="I153" s="2908"/>
      <c r="J153" s="2905">
        <f>IFERROR(VLOOKUP(B153,DG!A:F,6,0),3000)</f>
        <v>3000</v>
      </c>
      <c r="K153" s="2906">
        <f>IF(AND(OR(H153&gt;0,I153&gt;0),J153&lt;2000),COUNTIF($B$2:B153,B153),0)</f>
        <v>0</v>
      </c>
      <c r="L153" s="1300"/>
      <c r="M153" s="1375"/>
      <c r="O153" s="1375"/>
    </row>
    <row r="154" spans="1:15" s="1208" customFormat="1" ht="25.15" customHeight="1">
      <c r="A154" s="2897">
        <f>COUNTIF($K$1:K154,1)</f>
        <v>63</v>
      </c>
      <c r="B154" s="2898"/>
      <c r="C154" s="2899"/>
      <c r="D154" s="2900"/>
      <c r="E154" s="2901"/>
      <c r="F154" s="2902"/>
      <c r="G154" s="2910"/>
      <c r="H154" s="2911"/>
      <c r="I154" s="2925"/>
      <c r="J154" s="2905">
        <f>IFERROR(VLOOKUP(B154,DG!A:F,6,0),3000)</f>
        <v>3000</v>
      </c>
      <c r="K154" s="2906">
        <f>IF(AND(OR(H154&gt;0,I154&gt;0),J154&lt;2000),COUNTIF($B$2:B154,B154),0)</f>
        <v>0</v>
      </c>
      <c r="L154" s="1300"/>
      <c r="M154" s="1753"/>
      <c r="N154" s="1754"/>
      <c r="O154" s="1753"/>
    </row>
    <row r="155" spans="1:15" s="1208" customFormat="1" ht="25.15" customHeight="1">
      <c r="A155" s="2897">
        <f>COUNTIF($K$1:K155,1)</f>
        <v>63</v>
      </c>
      <c r="B155" s="2898"/>
      <c r="C155" s="2899"/>
      <c r="D155" s="2900"/>
      <c r="E155" s="2901"/>
      <c r="F155" s="2902"/>
      <c r="G155" s="2903"/>
      <c r="H155" s="2904"/>
      <c r="I155" s="2904"/>
      <c r="J155" s="2905">
        <f>IFERROR(VLOOKUP(B155,DG!A:F,6,0),3000)</f>
        <v>3000</v>
      </c>
      <c r="K155" s="2906">
        <f>IF(AND(OR(H155&gt;0,I155&gt;0),J155&lt;2000),COUNTIF($B$2:B155,B155),0)</f>
        <v>0</v>
      </c>
      <c r="L155" s="1300"/>
      <c r="M155" s="1375"/>
      <c r="O155" s="1375"/>
    </row>
    <row r="156" spans="1:15" s="1208" customFormat="1" ht="25.15" customHeight="1">
      <c r="A156" s="2897">
        <f>COUNTIF($K$1:K156,1)</f>
        <v>63</v>
      </c>
      <c r="B156" s="2898"/>
      <c r="C156" s="2899"/>
      <c r="D156" s="2900"/>
      <c r="E156" s="2901"/>
      <c r="F156" s="2902"/>
      <c r="G156" s="2903"/>
      <c r="H156" s="2904"/>
      <c r="I156" s="2904"/>
      <c r="J156" s="2905">
        <f>IFERROR(VLOOKUP(B156,DG!A:F,6,0),3000)</f>
        <v>3000</v>
      </c>
      <c r="K156" s="2906">
        <f>IF(AND(OR(H156&gt;0,I156&gt;0),J156&lt;2000),COUNTIF($B$2:B156,B156),0)</f>
        <v>0</v>
      </c>
      <c r="L156" s="1300"/>
      <c r="M156" s="1375"/>
      <c r="O156" s="1375"/>
    </row>
    <row r="157" spans="1:15" s="1208" customFormat="1" ht="25.15" customHeight="1">
      <c r="A157" s="2897">
        <f>COUNTIF($K$1:K157,1)</f>
        <v>63</v>
      </c>
      <c r="B157" s="2898"/>
      <c r="C157" s="2899"/>
      <c r="D157" s="2900"/>
      <c r="E157" s="2907"/>
      <c r="F157" s="2898"/>
      <c r="G157" s="2908"/>
      <c r="H157" s="2908"/>
      <c r="I157" s="2909"/>
      <c r="J157" s="2905">
        <f>IFERROR(VLOOKUP(B157,DG!A:F,6,0),3000)</f>
        <v>3000</v>
      </c>
      <c r="K157" s="2906">
        <f>IF(AND(OR(H157&gt;0,I157&gt;0),J157&lt;2000),COUNTIF($B$2:B157,B157),0)</f>
        <v>0</v>
      </c>
      <c r="L157" s="1297"/>
      <c r="M157" s="1375"/>
      <c r="O157" s="1375"/>
    </row>
    <row r="158" spans="1:15" s="1208" customFormat="1" ht="25.15" customHeight="1">
      <c r="A158" s="2897">
        <f>COUNTIF($K$1:K158,1)</f>
        <v>63</v>
      </c>
      <c r="B158" s="2898"/>
      <c r="C158" s="2899"/>
      <c r="D158" s="2900"/>
      <c r="E158" s="2901"/>
      <c r="F158" s="2902"/>
      <c r="G158" s="2903"/>
      <c r="H158" s="2904"/>
      <c r="I158" s="2904"/>
      <c r="J158" s="2905">
        <f>IFERROR(VLOOKUP(B158,DG!A:F,6,0),3000)</f>
        <v>3000</v>
      </c>
      <c r="K158" s="2906">
        <f>IF(AND(OR(H158&gt;0,I158&gt;0),J158&lt;2000),COUNTIF($B$2:B158,B158),0)</f>
        <v>0</v>
      </c>
      <c r="L158" s="1752"/>
      <c r="M158" s="1375"/>
      <c r="O158" s="1375"/>
    </row>
    <row r="159" spans="1:15" s="1208" customFormat="1" ht="25.15" customHeight="1">
      <c r="A159" s="2897">
        <f>COUNTIF($K$1:K159,1)</f>
        <v>63</v>
      </c>
      <c r="B159" s="2898"/>
      <c r="C159" s="2899"/>
      <c r="D159" s="2900"/>
      <c r="E159" s="2907"/>
      <c r="F159" s="2898"/>
      <c r="G159" s="2908"/>
      <c r="H159" s="2908"/>
      <c r="I159" s="2908"/>
      <c r="J159" s="2905">
        <f>IFERROR(VLOOKUP(B159,DG!A:F,6,0),3000)</f>
        <v>3000</v>
      </c>
      <c r="K159" s="2906">
        <f>IF(AND(OR(H159&gt;0,I159&gt;0),J159&lt;2000),COUNTIF($B$2:B159,B159),0)</f>
        <v>0</v>
      </c>
      <c r="L159" s="1297"/>
      <c r="M159" s="1375"/>
      <c r="O159" s="1375"/>
    </row>
    <row r="160" spans="1:15" s="1208" customFormat="1" ht="25.15" customHeight="1">
      <c r="A160" s="2897">
        <f>COUNTIF($K$1:K160,1)</f>
        <v>63</v>
      </c>
      <c r="B160" s="2898"/>
      <c r="C160" s="2899"/>
      <c r="D160" s="2900"/>
      <c r="E160" s="2901"/>
      <c r="F160" s="2902"/>
      <c r="G160" s="2903"/>
      <c r="H160" s="2904"/>
      <c r="I160" s="2904"/>
      <c r="J160" s="2905">
        <f>IFERROR(VLOOKUP(B160,DG!A:F,6,0),3000)</f>
        <v>3000</v>
      </c>
      <c r="K160" s="2906">
        <f>IF(AND(OR(H160&gt;0,I160&gt;0),J160&lt;2000),COUNTIF($B$2:B160,B160),0)</f>
        <v>0</v>
      </c>
      <c r="L160" s="1752"/>
      <c r="M160" s="1375"/>
      <c r="O160" s="1375"/>
    </row>
    <row r="161" spans="1:15" s="1208" customFormat="1" ht="25.15" customHeight="1">
      <c r="A161" s="2897">
        <f>COUNTIF($K$1:K161,1)</f>
        <v>63</v>
      </c>
      <c r="B161" s="2898"/>
      <c r="C161" s="2899"/>
      <c r="D161" s="2900"/>
      <c r="E161" s="2907"/>
      <c r="F161" s="2898"/>
      <c r="G161" s="2908"/>
      <c r="H161" s="2908"/>
      <c r="I161" s="2908"/>
      <c r="J161" s="2905">
        <f>IFERROR(VLOOKUP(B161,DG!A:F,6,0),3000)</f>
        <v>3000</v>
      </c>
      <c r="K161" s="2906">
        <f>IF(AND(OR(H161&gt;0,I161&gt;0),J161&lt;2000),COUNTIF($B$2:B161,B161),0)</f>
        <v>0</v>
      </c>
      <c r="L161" s="1297"/>
      <c r="M161" s="1375"/>
      <c r="O161" s="1375"/>
    </row>
    <row r="162" spans="1:15" s="1208" customFormat="1" ht="25.15" customHeight="1">
      <c r="A162" s="2897">
        <f>COUNTIF($K$1:K162,1)</f>
        <v>63</v>
      </c>
      <c r="B162" s="2898"/>
      <c r="C162" s="2899"/>
      <c r="D162" s="2900"/>
      <c r="E162" s="2901"/>
      <c r="F162" s="2902"/>
      <c r="G162" s="2903"/>
      <c r="H162" s="2904"/>
      <c r="I162" s="2904"/>
      <c r="J162" s="2905">
        <f>IFERROR(VLOOKUP(B162,DG!A:F,6,0),3000)</f>
        <v>3000</v>
      </c>
      <c r="K162" s="2906">
        <f>IF(AND(OR(H162&gt;0,I162&gt;0),J162&lt;2000),COUNTIF($B$2:B162,B162),0)</f>
        <v>0</v>
      </c>
      <c r="L162" s="1300"/>
      <c r="M162" s="1375"/>
      <c r="O162" s="1375"/>
    </row>
    <row r="163" spans="1:15" s="1208" customFormat="1" ht="25.15" customHeight="1">
      <c r="A163" s="2897">
        <f>COUNTIF($K$1:K163,1)</f>
        <v>63</v>
      </c>
      <c r="B163" s="2898"/>
      <c r="C163" s="2899"/>
      <c r="D163" s="2900"/>
      <c r="E163" s="2907"/>
      <c r="F163" s="2898"/>
      <c r="G163" s="2908"/>
      <c r="H163" s="2908"/>
      <c r="I163" s="2908"/>
      <c r="J163" s="2905">
        <f>IFERROR(VLOOKUP(B163,DG!A:F,6,0),3000)</f>
        <v>3000</v>
      </c>
      <c r="K163" s="2906">
        <f>IF(AND(OR(H163&gt;0,I163&gt;0),J163&lt;2000),COUNTIF($B$2:B163,B163),0)</f>
        <v>0</v>
      </c>
      <c r="L163" s="1297"/>
      <c r="M163" s="1375"/>
      <c r="O163" s="1375"/>
    </row>
    <row r="164" spans="1:15" s="1208" customFormat="1" ht="25.15" customHeight="1">
      <c r="A164" s="2897">
        <f>COUNTIF($K$1:K164,1)</f>
        <v>63</v>
      </c>
      <c r="B164" s="2917"/>
      <c r="C164" s="2918"/>
      <c r="D164" s="2919"/>
      <c r="E164" s="2920"/>
      <c r="F164" s="2917"/>
      <c r="G164" s="2909"/>
      <c r="H164" s="2909"/>
      <c r="I164" s="2909"/>
      <c r="J164" s="2905">
        <f>IFERROR(VLOOKUP(B164,DG!A:F,6,0),3000)</f>
        <v>3000</v>
      </c>
      <c r="K164" s="2906">
        <f>IF(AND(OR(H164&gt;0,I164&gt;0),J164&lt;2000),COUNTIF($B$2:B164,B164),0)</f>
        <v>0</v>
      </c>
      <c r="L164" s="1297"/>
      <c r="M164" s="1375"/>
      <c r="O164" s="1375"/>
    </row>
    <row r="165" spans="1:15" s="1208" customFormat="1" ht="25.15" customHeight="1">
      <c r="A165" s="2897">
        <f>COUNTIF($K$1:K165,1)</f>
        <v>63</v>
      </c>
      <c r="B165" s="2898"/>
      <c r="C165" s="2899"/>
      <c r="D165" s="2900"/>
      <c r="E165" s="2901"/>
      <c r="F165" s="2902"/>
      <c r="G165" s="2903"/>
      <c r="H165" s="2904"/>
      <c r="I165" s="2904"/>
      <c r="J165" s="2905">
        <f>IFERROR(VLOOKUP(B165,DG!A:F,6,0),3000)</f>
        <v>3000</v>
      </c>
      <c r="K165" s="2906">
        <f>IF(AND(OR(H165&gt;0,I165&gt;0),J165&lt;2000),COUNTIF($B$2:B165,B165),0)</f>
        <v>0</v>
      </c>
      <c r="L165" s="1752"/>
      <c r="M165" s="1375"/>
      <c r="O165" s="1375"/>
    </row>
    <row r="166" spans="1:15" s="1208" customFormat="1" ht="25.15" customHeight="1">
      <c r="A166" s="2897">
        <f>COUNTIF($K$1:K166,1)</f>
        <v>63</v>
      </c>
      <c r="B166" s="2912"/>
      <c r="C166" s="2913"/>
      <c r="D166" s="2914"/>
      <c r="E166" s="2915"/>
      <c r="F166" s="2916"/>
      <c r="G166" s="2910"/>
      <c r="H166" s="2911"/>
      <c r="I166" s="2904"/>
      <c r="J166" s="2905">
        <f>IFERROR(VLOOKUP(B166,DG!A:F,6,0),3000)</f>
        <v>3000</v>
      </c>
      <c r="K166" s="2906">
        <f>IF(AND(OR(H166&gt;0,I166&gt;0),J166&lt;2000),COUNTIF($B$2:B166,B166),0)</f>
        <v>0</v>
      </c>
      <c r="L166" s="1300"/>
      <c r="M166" s="1753"/>
      <c r="N166" s="1754"/>
      <c r="O166" s="1753"/>
    </row>
    <row r="167" spans="1:15" s="1208" customFormat="1" ht="25.15" customHeight="1">
      <c r="A167" s="2897">
        <f>COUNTIF($K$1:K167,1)</f>
        <v>63</v>
      </c>
      <c r="B167" s="2898"/>
      <c r="C167" s="2899"/>
      <c r="D167" s="2900"/>
      <c r="E167" s="2901"/>
      <c r="F167" s="2902"/>
      <c r="G167" s="2903"/>
      <c r="H167" s="2904"/>
      <c r="I167" s="2904"/>
      <c r="J167" s="2905">
        <f>IFERROR(VLOOKUP(B167,DG!A:F,6,0),3000)</f>
        <v>3000</v>
      </c>
      <c r="K167" s="2906">
        <f>IF(AND(OR(H167&gt;0,I167&gt;0),J167&lt;2000),COUNTIF($B$2:B167,B167),0)</f>
        <v>0</v>
      </c>
      <c r="L167" s="1752"/>
      <c r="M167" s="1375"/>
      <c r="O167" s="1375"/>
    </row>
    <row r="168" spans="1:15" s="1208" customFormat="1" ht="25.15" customHeight="1">
      <c r="A168" s="2897">
        <f>COUNTIF($K$1:K168,1)</f>
        <v>63</v>
      </c>
      <c r="B168" s="2898"/>
      <c r="C168" s="2899"/>
      <c r="D168" s="2900"/>
      <c r="E168" s="2907"/>
      <c r="F168" s="2898"/>
      <c r="G168" s="2908"/>
      <c r="H168" s="2908"/>
      <c r="I168" s="2908"/>
      <c r="J168" s="2905">
        <f>IFERROR(VLOOKUP(B168,DG!A:F,6,0),3000)</f>
        <v>3000</v>
      </c>
      <c r="K168" s="2906">
        <f>IF(AND(OR(H168&gt;0,I168&gt;0),J168&lt;2000),COUNTIF($B$2:B168,B168),0)</f>
        <v>0</v>
      </c>
      <c r="L168" s="1297"/>
      <c r="M168" s="1375"/>
      <c r="O168" s="1375"/>
    </row>
    <row r="169" spans="1:15" s="1208" customFormat="1" ht="25.15" customHeight="1">
      <c r="A169" s="2897">
        <f>COUNTIF($K$1:K169,1)</f>
        <v>63</v>
      </c>
      <c r="B169" s="2898"/>
      <c r="C169" s="2899"/>
      <c r="D169" s="2900"/>
      <c r="E169" s="2901"/>
      <c r="F169" s="2902"/>
      <c r="G169" s="2903"/>
      <c r="H169" s="2904"/>
      <c r="I169" s="2904"/>
      <c r="J169" s="2905">
        <f>IFERROR(VLOOKUP(B169,DG!A:F,6,0),3000)</f>
        <v>3000</v>
      </c>
      <c r="K169" s="2906">
        <f>IF(AND(OR(H169&gt;0,I169&gt;0),J169&lt;2000),COUNTIF($B$2:B169,B169),0)</f>
        <v>0</v>
      </c>
      <c r="L169" s="1300"/>
      <c r="M169" s="1375"/>
      <c r="O169" s="1375"/>
    </row>
    <row r="170" spans="1:15" s="1208" customFormat="1" ht="25.15" customHeight="1">
      <c r="A170" s="2897">
        <f>COUNTIF($K$1:K170,1)</f>
        <v>63</v>
      </c>
      <c r="B170" s="2898"/>
      <c r="C170" s="2899"/>
      <c r="D170" s="2900"/>
      <c r="E170" s="2901"/>
      <c r="F170" s="2902"/>
      <c r="G170" s="2903"/>
      <c r="H170" s="2904"/>
      <c r="I170" s="2904"/>
      <c r="J170" s="2905">
        <f>IFERROR(VLOOKUP(B170,DG!A:F,6,0),3000)</f>
        <v>3000</v>
      </c>
      <c r="K170" s="2906">
        <f>IF(AND(OR(H170&gt;0,I170&gt;0),J170&lt;2000),COUNTIF($B$2:B170,B170),0)</f>
        <v>0</v>
      </c>
      <c r="L170" s="1752"/>
      <c r="M170" s="1375"/>
      <c r="O170" s="1375"/>
    </row>
    <row r="171" spans="1:15" s="1208" customFormat="1" ht="25.15" customHeight="1">
      <c r="A171" s="2897">
        <f>COUNTIF($K$1:K171,1)</f>
        <v>63</v>
      </c>
      <c r="B171" s="2912"/>
      <c r="C171" s="2913"/>
      <c r="D171" s="2914"/>
      <c r="E171" s="2915"/>
      <c r="F171" s="2916"/>
      <c r="G171" s="2910"/>
      <c r="H171" s="2911"/>
      <c r="I171" s="2925"/>
      <c r="J171" s="2905">
        <f>IFERROR(VLOOKUP(B171,DG!A:F,6,0),3000)</f>
        <v>3000</v>
      </c>
      <c r="K171" s="2906">
        <f>IF(AND(OR(H171&gt;0,I171&gt;0),J171&lt;2000),COUNTIF($B$2:B171,B171),0)</f>
        <v>0</v>
      </c>
      <c r="L171" s="1300"/>
      <c r="M171" s="1375"/>
      <c r="O171" s="1375"/>
    </row>
    <row r="172" spans="1:15" s="1208" customFormat="1" ht="25.15" customHeight="1">
      <c r="A172" s="2897">
        <f>COUNTIF($K$1:K172,1)</f>
        <v>63</v>
      </c>
      <c r="B172" s="2898"/>
      <c r="C172" s="2899"/>
      <c r="D172" s="2900"/>
      <c r="E172" s="2907"/>
      <c r="F172" s="2898"/>
      <c r="G172" s="2908"/>
      <c r="H172" s="2908"/>
      <c r="I172" s="2934"/>
      <c r="J172" s="2905">
        <f>IFERROR(VLOOKUP(B172,DG!A:F,6,0),3000)</f>
        <v>3000</v>
      </c>
      <c r="K172" s="2906">
        <f>IF(AND(OR(H172&gt;0,I172&gt;0),J172&lt;2000),COUNTIF($B$2:B172,B172),0)</f>
        <v>0</v>
      </c>
      <c r="L172" s="1297"/>
      <c r="M172" s="1375"/>
      <c r="O172" s="1375"/>
    </row>
    <row r="173" spans="1:15" s="1208" customFormat="1" ht="25.15" customHeight="1">
      <c r="A173" s="2897">
        <f>COUNTIF($K$1:K173,1)</f>
        <v>63</v>
      </c>
      <c r="B173" s="2898"/>
      <c r="C173" s="2899"/>
      <c r="D173" s="2900"/>
      <c r="E173" s="2901"/>
      <c r="F173" s="2902"/>
      <c r="G173" s="2903"/>
      <c r="H173" s="2904"/>
      <c r="I173" s="2904"/>
      <c r="J173" s="2905">
        <f>IFERROR(VLOOKUP(B173,DG!A:F,6,0),3000)</f>
        <v>3000</v>
      </c>
      <c r="K173" s="2906">
        <f>IF(AND(OR(H173&gt;0,I173&gt;0),J173&lt;2000),COUNTIF($B$2:B173,B173),0)</f>
        <v>0</v>
      </c>
      <c r="L173" s="1300"/>
      <c r="M173" s="1375"/>
      <c r="O173" s="1375"/>
    </row>
    <row r="174" spans="1:15" s="1208" customFormat="1" ht="25.15" customHeight="1">
      <c r="A174" s="2897">
        <f>COUNTIF($K$1:K174,1)</f>
        <v>63</v>
      </c>
      <c r="B174" s="2898"/>
      <c r="C174" s="2899"/>
      <c r="D174" s="2900"/>
      <c r="E174" s="2901"/>
      <c r="F174" s="2902"/>
      <c r="G174" s="2903"/>
      <c r="H174" s="2904"/>
      <c r="I174" s="2904"/>
      <c r="J174" s="2905">
        <f>IFERROR(VLOOKUP(B174,DG!A:F,6,0),3000)</f>
        <v>3000</v>
      </c>
      <c r="K174" s="2906">
        <f>IF(AND(OR(H174&gt;0,I174&gt;0),J174&lt;2000),COUNTIF($B$2:B174,B174),0)</f>
        <v>0</v>
      </c>
      <c r="L174" s="1300"/>
      <c r="M174" s="1375"/>
      <c r="O174" s="1375"/>
    </row>
    <row r="175" spans="1:15" s="1208" customFormat="1" ht="25.15" customHeight="1">
      <c r="A175" s="2897">
        <f>COUNTIF($K$1:K175,1)</f>
        <v>63</v>
      </c>
      <c r="B175" s="2898"/>
      <c r="C175" s="2899"/>
      <c r="D175" s="2900"/>
      <c r="E175" s="2901"/>
      <c r="F175" s="2902"/>
      <c r="G175" s="2903"/>
      <c r="H175" s="2904"/>
      <c r="I175" s="2904"/>
      <c r="J175" s="2905">
        <f>IFERROR(VLOOKUP(B175,DG!A:F,6,0),3000)</f>
        <v>3000</v>
      </c>
      <c r="K175" s="2906">
        <f>IF(AND(OR(H175&gt;0,I175&gt;0),J175&lt;2000),COUNTIF($B$2:B175,B175),0)</f>
        <v>0</v>
      </c>
      <c r="L175" s="1300"/>
      <c r="M175" s="1375"/>
      <c r="O175" s="1375"/>
    </row>
    <row r="176" spans="1:15" s="1208" customFormat="1" ht="25.15" customHeight="1">
      <c r="A176" s="2897">
        <f>COUNTIF($K$1:K176,1)</f>
        <v>63</v>
      </c>
      <c r="B176" s="2898"/>
      <c r="C176" s="2899"/>
      <c r="D176" s="2900"/>
      <c r="E176" s="2901"/>
      <c r="F176" s="2902"/>
      <c r="G176" s="2903"/>
      <c r="H176" s="2904"/>
      <c r="I176" s="2904"/>
      <c r="J176" s="2905">
        <f>IFERROR(VLOOKUP(B176,DG!A:F,6,0),3000)</f>
        <v>3000</v>
      </c>
      <c r="K176" s="2906">
        <f>IF(AND(OR(H176&gt;0,I176&gt;0),J176&lt;2000),COUNTIF($B$2:B176,B176),0)</f>
        <v>0</v>
      </c>
      <c r="L176" s="1300"/>
      <c r="M176" s="1375"/>
      <c r="O176" s="1375"/>
    </row>
    <row r="177" spans="1:15" s="1208" customFormat="1" ht="25.15" customHeight="1">
      <c r="A177" s="2897">
        <f>COUNTIF($K$1:K177,1)</f>
        <v>63</v>
      </c>
      <c r="B177" s="2898"/>
      <c r="C177" s="2899"/>
      <c r="D177" s="2900"/>
      <c r="E177" s="2901"/>
      <c r="F177" s="2902"/>
      <c r="G177" s="2921"/>
      <c r="H177" s="2922"/>
      <c r="I177" s="2922"/>
      <c r="J177" s="2905">
        <f>IFERROR(VLOOKUP(B177,DG!A:F,6,0),3000)</f>
        <v>3000</v>
      </c>
      <c r="K177" s="2906">
        <f>IF(AND(OR(H177&gt;0,I177&gt;0),J177&lt;2000),COUNTIF($B$2:B177,B177),0)</f>
        <v>0</v>
      </c>
      <c r="L177" s="1300"/>
      <c r="M177" s="1375"/>
      <c r="O177" s="1375"/>
    </row>
    <row r="178" spans="1:15" s="1208" customFormat="1" ht="25.15" customHeight="1">
      <c r="A178" s="2897">
        <f>COUNTIF($K$1:K178,1)</f>
        <v>63</v>
      </c>
      <c r="B178" s="2898"/>
      <c r="C178" s="2899"/>
      <c r="D178" s="2900"/>
      <c r="E178" s="2901"/>
      <c r="F178" s="2902"/>
      <c r="G178" s="2903"/>
      <c r="H178" s="2904"/>
      <c r="I178" s="2904"/>
      <c r="J178" s="2905">
        <f>IFERROR(VLOOKUP(B178,DG!A:F,6,0),3000)</f>
        <v>3000</v>
      </c>
      <c r="K178" s="2906">
        <f>IF(AND(OR(H178&gt;0,I178&gt;0),J178&lt;2000),COUNTIF($B$2:B178,B178),0)</f>
        <v>0</v>
      </c>
      <c r="L178" s="1952"/>
      <c r="M178" s="1375"/>
      <c r="O178" s="1375"/>
    </row>
    <row r="179" spans="1:15" s="1208" customFormat="1" ht="25.15" customHeight="1">
      <c r="A179" s="2897">
        <f>COUNTIF($K$1:K179,1)</f>
        <v>63</v>
      </c>
      <c r="B179" s="2898"/>
      <c r="C179" s="2899"/>
      <c r="D179" s="2900"/>
      <c r="E179" s="2901"/>
      <c r="F179" s="2902"/>
      <c r="G179" s="2903"/>
      <c r="H179" s="2904"/>
      <c r="I179" s="2904"/>
      <c r="J179" s="2905">
        <f>IFERROR(VLOOKUP(B179,DG!A:F,6,0),3000)</f>
        <v>3000</v>
      </c>
      <c r="K179" s="2906">
        <f>IF(AND(OR(H179&gt;0,I179&gt;0),J179&lt;2000),COUNTIF($B$2:B179,B179),0)</f>
        <v>0</v>
      </c>
      <c r="L179" s="1300"/>
      <c r="M179" s="1375"/>
      <c r="O179" s="1375"/>
    </row>
    <row r="180" spans="1:15" s="1208" customFormat="1" ht="25.15" customHeight="1">
      <c r="A180" s="2897">
        <f>COUNTIF($K$1:K180,1)</f>
        <v>63</v>
      </c>
      <c r="B180" s="2898"/>
      <c r="C180" s="2899"/>
      <c r="D180" s="2900"/>
      <c r="E180" s="2901"/>
      <c r="F180" s="2902"/>
      <c r="G180" s="2903"/>
      <c r="H180" s="2904"/>
      <c r="I180" s="2904"/>
      <c r="J180" s="2905">
        <f>IFERROR(VLOOKUP(B180,DG!A:F,6,0),3000)</f>
        <v>3000</v>
      </c>
      <c r="K180" s="2906">
        <f>IF(AND(OR(H180&gt;0,I180&gt;0),J180&lt;2000),COUNTIF($B$2:B180,B180),0)</f>
        <v>0</v>
      </c>
      <c r="L180" s="1300"/>
      <c r="M180" s="1375"/>
      <c r="O180" s="1375"/>
    </row>
    <row r="181" spans="1:15" s="1208" customFormat="1" ht="25.15" customHeight="1">
      <c r="A181" s="2897">
        <f>COUNTIF($K$1:K181,1)</f>
        <v>63</v>
      </c>
      <c r="B181" s="2912"/>
      <c r="C181" s="2913"/>
      <c r="D181" s="2914"/>
      <c r="E181" s="2926"/>
      <c r="F181" s="2912"/>
      <c r="G181" s="2927"/>
      <c r="H181" s="2927"/>
      <c r="I181" s="2908"/>
      <c r="J181" s="2905">
        <f>IFERROR(VLOOKUP(B181,DG!A:F,6,0),3000)</f>
        <v>3000</v>
      </c>
      <c r="K181" s="2906">
        <f>IF(AND(OR(H181&gt;0,I181&gt;0),J181&lt;2000),COUNTIF($B$2:B181,B181),0)</f>
        <v>0</v>
      </c>
      <c r="L181" s="1752"/>
      <c r="M181" s="1375"/>
      <c r="O181" s="1375"/>
    </row>
    <row r="182" spans="1:15" s="1208" customFormat="1" ht="25.15" customHeight="1">
      <c r="A182" s="2897">
        <f>COUNTIF($K$1:K182,1)</f>
        <v>63</v>
      </c>
      <c r="B182" s="2912"/>
      <c r="C182" s="2913"/>
      <c r="D182" s="2914"/>
      <c r="E182" s="2926"/>
      <c r="F182" s="2912"/>
      <c r="G182" s="2927"/>
      <c r="H182" s="2927"/>
      <c r="I182" s="2908"/>
      <c r="J182" s="2905">
        <f>IFERROR(VLOOKUP(B182,DG!A:F,6,0),3000)</f>
        <v>3000</v>
      </c>
      <c r="K182" s="2906">
        <f>IF(AND(OR(H182&gt;0,I182&gt;0),J182&lt;2000),COUNTIF($B$2:B182,B182),0)</f>
        <v>0</v>
      </c>
      <c r="L182" s="1297"/>
      <c r="M182" s="1375"/>
      <c r="O182" s="1375"/>
    </row>
    <row r="183" spans="1:15" s="1208" customFormat="1" ht="25.15" customHeight="1">
      <c r="A183" s="2897">
        <f>COUNTIF($K$1:K183,1)</f>
        <v>63</v>
      </c>
      <c r="B183" s="2898"/>
      <c r="C183" s="2899"/>
      <c r="D183" s="2900"/>
      <c r="E183" s="2901"/>
      <c r="F183" s="2902"/>
      <c r="G183" s="2903"/>
      <c r="H183" s="2904"/>
      <c r="I183" s="2904"/>
      <c r="J183" s="2905">
        <f>IFERROR(VLOOKUP(B183,DG!A:F,6,0),3000)</f>
        <v>3000</v>
      </c>
      <c r="K183" s="2906">
        <f>IF(AND(OR(H183&gt;0,I183&gt;0),J183&lt;2000),COUNTIF($B$2:B183,B183),0)</f>
        <v>0</v>
      </c>
      <c r="L183" s="1300"/>
      <c r="M183" s="1375"/>
      <c r="O183" s="1375"/>
    </row>
    <row r="184" spans="1:15" s="1208" customFormat="1" ht="25.15" customHeight="1">
      <c r="A184" s="2897">
        <f>COUNTIF($K$1:K184,1)</f>
        <v>63</v>
      </c>
      <c r="B184" s="2898"/>
      <c r="C184" s="2899"/>
      <c r="D184" s="2900"/>
      <c r="E184" s="2901"/>
      <c r="F184" s="2902"/>
      <c r="G184" s="2903"/>
      <c r="H184" s="2904"/>
      <c r="I184" s="2904"/>
      <c r="J184" s="2905">
        <f>IFERROR(VLOOKUP(B184,DG!A:F,6,0),3000)</f>
        <v>3000</v>
      </c>
      <c r="K184" s="2906">
        <f>IF(AND(OR(H184&gt;0,I184&gt;0),J184&lt;2000),COUNTIF($B$2:B184,B184),0)</f>
        <v>0</v>
      </c>
      <c r="L184" s="1300"/>
      <c r="M184" s="1753"/>
      <c r="N184" s="1754"/>
      <c r="O184" s="1753"/>
    </row>
    <row r="185" spans="1:15" s="1208" customFormat="1" ht="25.15" customHeight="1">
      <c r="A185" s="2897">
        <f>COUNTIF($K$1:K185,1)</f>
        <v>63</v>
      </c>
      <c r="B185" s="2912"/>
      <c r="C185" s="2913"/>
      <c r="D185" s="2914"/>
      <c r="E185" s="2915"/>
      <c r="F185" s="2916"/>
      <c r="G185" s="2910"/>
      <c r="H185" s="2904"/>
      <c r="I185" s="2904"/>
      <c r="J185" s="2905">
        <f>IFERROR(VLOOKUP(B185,DG!A:F,6,0),3000)</f>
        <v>3000</v>
      </c>
      <c r="K185" s="2906">
        <f>IF(AND(OR(H185&gt;0,I185&gt;0),J185&lt;2000),COUNTIF($B$2:B185,B185),0)</f>
        <v>0</v>
      </c>
      <c r="L185" s="1300"/>
      <c r="M185" s="1375"/>
      <c r="O185" s="1375"/>
    </row>
    <row r="186" spans="1:15" s="1208" customFormat="1" ht="25.15" customHeight="1">
      <c r="A186" s="2897">
        <f>COUNTIF($K$1:K186,1)</f>
        <v>63</v>
      </c>
      <c r="B186" s="2898"/>
      <c r="C186" s="2899"/>
      <c r="D186" s="2900"/>
      <c r="E186" s="2901"/>
      <c r="F186" s="2902"/>
      <c r="G186" s="2903"/>
      <c r="H186" s="2904"/>
      <c r="I186" s="2904"/>
      <c r="J186" s="2905">
        <f>IFERROR(VLOOKUP(B186,DG!A:F,6,0),3000)</f>
        <v>3000</v>
      </c>
      <c r="K186" s="2906">
        <f>IF(AND(OR(H186&gt;0,I186&gt;0),J186&lt;2000),COUNTIF($B$2:B186,B186),0)</f>
        <v>0</v>
      </c>
      <c r="L186" s="1300"/>
      <c r="M186" s="1375"/>
      <c r="O186" s="1375"/>
    </row>
    <row r="187" spans="1:15" s="1208" customFormat="1" ht="25.15" customHeight="1">
      <c r="A187" s="2897">
        <f>COUNTIF($K$1:K187,1)</f>
        <v>63</v>
      </c>
      <c r="B187" s="2898"/>
      <c r="C187" s="2899"/>
      <c r="D187" s="2900"/>
      <c r="E187" s="2907"/>
      <c r="F187" s="2898"/>
      <c r="G187" s="2908"/>
      <c r="H187" s="2908"/>
      <c r="I187" s="2908"/>
      <c r="J187" s="2905">
        <f>IFERROR(VLOOKUP(B187,DG!A:F,6,0),3000)</f>
        <v>3000</v>
      </c>
      <c r="K187" s="2906">
        <f>IF(AND(OR(H187&gt;0,I187&gt;0),J187&lt;2000),COUNTIF($B$2:B187,B187),0)</f>
        <v>0</v>
      </c>
      <c r="L187" s="1297"/>
      <c r="M187" s="1375"/>
      <c r="O187" s="1375"/>
    </row>
    <row r="188" spans="1:15" s="1208" customFormat="1" ht="25.15" customHeight="1">
      <c r="A188" s="2897">
        <f>COUNTIF($K$1:K188,1)</f>
        <v>63</v>
      </c>
      <c r="B188" s="2898"/>
      <c r="C188" s="2899"/>
      <c r="D188" s="2900"/>
      <c r="E188" s="2901"/>
      <c r="F188" s="2902"/>
      <c r="G188" s="2903"/>
      <c r="H188" s="2904"/>
      <c r="I188" s="2904"/>
      <c r="J188" s="2905">
        <f>IFERROR(VLOOKUP(B188,DG!A:F,6,0),3000)</f>
        <v>3000</v>
      </c>
      <c r="K188" s="2906">
        <f>IF(AND(OR(H188&gt;0,I188&gt;0),J188&lt;2000),COUNTIF($B$2:B188,B188),0)</f>
        <v>0</v>
      </c>
      <c r="L188" s="1300"/>
      <c r="M188" s="1375"/>
      <c r="O188" s="1375"/>
    </row>
    <row r="189" spans="1:15" s="1208" customFormat="1" ht="25.15" customHeight="1">
      <c r="A189" s="2897">
        <f>COUNTIF($K$1:K189,1)</f>
        <v>63</v>
      </c>
      <c r="B189" s="2898"/>
      <c r="C189" s="2899"/>
      <c r="D189" s="2900"/>
      <c r="E189" s="2901"/>
      <c r="F189" s="2902"/>
      <c r="G189" s="2903"/>
      <c r="H189" s="2904"/>
      <c r="I189" s="2904"/>
      <c r="J189" s="2905">
        <f>IFERROR(VLOOKUP(B189,DG!A:F,6,0),3000)</f>
        <v>3000</v>
      </c>
      <c r="K189" s="2906">
        <f>IF(AND(OR(H189&gt;0,I189&gt;0),J189&lt;2000),COUNTIF($B$2:B189,B189),0)</f>
        <v>0</v>
      </c>
      <c r="L189" s="1300"/>
      <c r="M189" s="1375"/>
      <c r="O189" s="1375"/>
    </row>
    <row r="190" spans="1:15" s="1208" customFormat="1" ht="25.15" customHeight="1">
      <c r="A190" s="2897">
        <f>COUNTIF($K$1:K190,1)</f>
        <v>63</v>
      </c>
      <c r="B190" s="2898"/>
      <c r="C190" s="2899"/>
      <c r="D190" s="2900"/>
      <c r="E190" s="2901"/>
      <c r="F190" s="2902"/>
      <c r="G190" s="2903"/>
      <c r="H190" s="2904"/>
      <c r="I190" s="2904"/>
      <c r="J190" s="2905">
        <f>IFERROR(VLOOKUP(B190,DG!A:F,6,0),3000)</f>
        <v>3000</v>
      </c>
      <c r="K190" s="2906">
        <f>IF(AND(OR(H190&gt;0,I190&gt;0),J190&lt;2000),COUNTIF($B$2:B190,B190),0)</f>
        <v>0</v>
      </c>
      <c r="L190" s="1300"/>
      <c r="M190" s="1375"/>
      <c r="O190" s="1375"/>
    </row>
    <row r="191" spans="1:15" s="1208" customFormat="1" ht="25.15" customHeight="1">
      <c r="A191" s="2897">
        <f>COUNTIF($K$1:K191,1)</f>
        <v>63</v>
      </c>
      <c r="B191" s="2898"/>
      <c r="C191" s="2899"/>
      <c r="D191" s="2900"/>
      <c r="E191" s="2901"/>
      <c r="F191" s="2902"/>
      <c r="G191" s="2903"/>
      <c r="H191" s="2904"/>
      <c r="I191" s="2904"/>
      <c r="J191" s="2905">
        <f>IFERROR(VLOOKUP(B191,DG!A:F,6,0),3000)</f>
        <v>3000</v>
      </c>
      <c r="K191" s="2906">
        <f>IF(AND(OR(H191&gt;0,I191&gt;0),J191&lt;2000),COUNTIF($B$2:B191,B191),0)</f>
        <v>0</v>
      </c>
      <c r="L191" s="1300"/>
      <c r="M191" s="1375"/>
      <c r="O191" s="1375"/>
    </row>
    <row r="192" spans="1:15" s="1208" customFormat="1" ht="25.15" customHeight="1">
      <c r="A192" s="2897">
        <f>COUNTIF($K$1:K192,1)</f>
        <v>63</v>
      </c>
      <c r="B192" s="2917"/>
      <c r="C192" s="2918"/>
      <c r="D192" s="2919"/>
      <c r="E192" s="2923"/>
      <c r="F192" s="2924"/>
      <c r="G192" s="2921"/>
      <c r="H192" s="2922"/>
      <c r="I192" s="2922"/>
      <c r="J192" s="2905">
        <f>IFERROR(VLOOKUP(B192,DG!A:F,6,0),3000)</f>
        <v>3000</v>
      </c>
      <c r="K192" s="2906">
        <f>IF(AND(OR(H192&gt;0,I192&gt;0),J192&lt;2000),COUNTIF($B$2:B192,B192),0)</f>
        <v>0</v>
      </c>
      <c r="L192" s="1300"/>
      <c r="M192" s="1375"/>
      <c r="O192" s="1375"/>
    </row>
    <row r="193" spans="1:15" s="1208" customFormat="1" ht="25.15" customHeight="1">
      <c r="A193" s="2897">
        <f>COUNTIF($K$1:K193,1)</f>
        <v>63</v>
      </c>
      <c r="B193" s="2898"/>
      <c r="C193" s="2899"/>
      <c r="D193" s="2900"/>
      <c r="E193" s="2907"/>
      <c r="F193" s="2898"/>
      <c r="G193" s="2908"/>
      <c r="H193" s="2908"/>
      <c r="I193" s="2908"/>
      <c r="J193" s="2905">
        <f>IFERROR(VLOOKUP(B193,DG!A:F,6,0),3000)</f>
        <v>3000</v>
      </c>
      <c r="K193" s="2906">
        <f>IF(AND(OR(H193&gt;0,I193&gt;0),J193&lt;2000),COUNTIF($B$2:B193,B193),0)</f>
        <v>0</v>
      </c>
      <c r="L193" s="1297"/>
      <c r="M193" s="1375"/>
      <c r="O193" s="1375"/>
    </row>
    <row r="194" spans="1:15" s="1208" customFormat="1" ht="25.15" customHeight="1">
      <c r="A194" s="2897">
        <f>COUNTIF($K$1:K194,1)</f>
        <v>63</v>
      </c>
      <c r="B194" s="2898"/>
      <c r="C194" s="2899"/>
      <c r="D194" s="2900"/>
      <c r="E194" s="2901"/>
      <c r="F194" s="2902"/>
      <c r="G194" s="2903"/>
      <c r="H194" s="2904"/>
      <c r="I194" s="2904"/>
      <c r="J194" s="2905">
        <f>IFERROR(VLOOKUP(B194,DG!A:F,6,0),3000)</f>
        <v>3000</v>
      </c>
      <c r="K194" s="2906">
        <f>IF(AND(OR(H194&gt;0,I194&gt;0),J194&lt;2000),COUNTIF($B$2:B194,B194),0)</f>
        <v>0</v>
      </c>
      <c r="L194" s="1300"/>
      <c r="M194" s="1375"/>
      <c r="O194" s="1375"/>
    </row>
    <row r="195" spans="1:15" s="1208" customFormat="1" ht="25.15" customHeight="1">
      <c r="A195" s="2897">
        <f>COUNTIF($K$1:K195,1)</f>
        <v>63</v>
      </c>
      <c r="B195" s="2898"/>
      <c r="C195" s="2899"/>
      <c r="D195" s="2900"/>
      <c r="E195" s="2907"/>
      <c r="F195" s="2898"/>
      <c r="G195" s="2908"/>
      <c r="H195" s="2908"/>
      <c r="I195" s="2934"/>
      <c r="J195" s="2905">
        <f>IFERROR(VLOOKUP(B195,DG!A:F,6,0),3000)</f>
        <v>3000</v>
      </c>
      <c r="K195" s="2906">
        <f>IF(AND(OR(H195&gt;0,I195&gt;0),J195&lt;2000),COUNTIF($B$2:B195,B195),0)</f>
        <v>0</v>
      </c>
      <c r="L195" s="1297"/>
      <c r="M195" s="1375"/>
      <c r="O195" s="1375"/>
    </row>
    <row r="196" spans="1:15" s="1208" customFormat="1" ht="25.15" customHeight="1">
      <c r="A196" s="2897">
        <f>COUNTIF($K$1:K196,1)</f>
        <v>63</v>
      </c>
      <c r="B196" s="2898"/>
      <c r="C196" s="2899"/>
      <c r="D196" s="2900"/>
      <c r="E196" s="2901"/>
      <c r="F196" s="2902"/>
      <c r="G196" s="2903"/>
      <c r="H196" s="2904"/>
      <c r="I196" s="2904"/>
      <c r="J196" s="2905">
        <f>IFERROR(VLOOKUP(B196,DG!A:F,6,0),3000)</f>
        <v>3000</v>
      </c>
      <c r="K196" s="2906">
        <f>IF(AND(OR(H196&gt;0,I196&gt;0),J196&lt;2000),COUNTIF($B$2:B196,B196),0)</f>
        <v>0</v>
      </c>
      <c r="L196" s="1297"/>
      <c r="M196" s="1375"/>
      <c r="O196" s="1375"/>
    </row>
    <row r="197" spans="1:15" s="1208" customFormat="1" ht="25.15" customHeight="1">
      <c r="A197" s="2897">
        <f>COUNTIF($K$1:K197,1)</f>
        <v>63</v>
      </c>
      <c r="B197" s="2898"/>
      <c r="C197" s="2899"/>
      <c r="D197" s="2900"/>
      <c r="E197" s="2901"/>
      <c r="F197" s="2902"/>
      <c r="G197" s="2903"/>
      <c r="H197" s="2904"/>
      <c r="I197" s="2904"/>
      <c r="J197" s="2905">
        <f>IFERROR(VLOOKUP(B197,DG!A:F,6,0),3000)</f>
        <v>3000</v>
      </c>
      <c r="K197" s="2906">
        <f>IF(AND(OR(H197&gt;0,I197&gt;0),J197&lt;2000),COUNTIF($B$2:B197,B197),0)</f>
        <v>0</v>
      </c>
      <c r="L197" s="1300"/>
      <c r="M197" s="1375"/>
      <c r="O197" s="1375"/>
    </row>
    <row r="198" spans="1:15" s="1208" customFormat="1" ht="25.15" customHeight="1">
      <c r="A198" s="2897">
        <f>COUNTIF($K$1:K198,1)</f>
        <v>63</v>
      </c>
      <c r="B198" s="2912"/>
      <c r="C198" s="2913"/>
      <c r="D198" s="2914"/>
      <c r="E198" s="2915"/>
      <c r="F198" s="2916"/>
      <c r="G198" s="2910"/>
      <c r="H198" s="2904"/>
      <c r="I198" s="2904"/>
      <c r="J198" s="2905">
        <f>IFERROR(VLOOKUP(B198,DG!A:F,6,0),3000)</f>
        <v>3000</v>
      </c>
      <c r="K198" s="2906">
        <f>IF(AND(OR(H198&gt;0,I198&gt;0),J198&lt;2000),COUNTIF($B$2:B198,B198),0)</f>
        <v>0</v>
      </c>
      <c r="L198" s="1300"/>
      <c r="M198" s="1375"/>
      <c r="O198" s="1375"/>
    </row>
    <row r="199" spans="1:15" s="1208" customFormat="1" ht="25.15" customHeight="1">
      <c r="A199" s="2897">
        <f>COUNTIF($K$1:K199,1)</f>
        <v>63</v>
      </c>
      <c r="B199" s="2898"/>
      <c r="C199" s="2899"/>
      <c r="D199" s="2900"/>
      <c r="E199" s="2901"/>
      <c r="F199" s="2902"/>
      <c r="G199" s="2903"/>
      <c r="H199" s="2904"/>
      <c r="I199" s="2904"/>
      <c r="J199" s="2905">
        <f>IFERROR(VLOOKUP(B199,DG!A:F,6,0),3000)</f>
        <v>3000</v>
      </c>
      <c r="K199" s="2906">
        <f>IF(AND(OR(H199&gt;0,I199&gt;0),J199&lt;2000),COUNTIF($B$2:B199,B199),0)</f>
        <v>0</v>
      </c>
      <c r="L199" s="1300"/>
      <c r="M199" s="1375"/>
      <c r="O199" s="1375"/>
    </row>
    <row r="200" spans="1:15" s="1208" customFormat="1" ht="25.15" customHeight="1">
      <c r="A200" s="2897">
        <f>COUNTIF($K$1:K200,1)</f>
        <v>63</v>
      </c>
      <c r="B200" s="2898"/>
      <c r="C200" s="2899"/>
      <c r="D200" s="2900"/>
      <c r="E200" s="2901"/>
      <c r="F200" s="2902"/>
      <c r="G200" s="2903"/>
      <c r="H200" s="2904"/>
      <c r="I200" s="2904"/>
      <c r="J200" s="2905">
        <f>IFERROR(VLOOKUP(B200,DG!A:F,6,0),3000)</f>
        <v>3000</v>
      </c>
      <c r="K200" s="2906">
        <f>IF(AND(OR(H200&gt;0,I200&gt;0),J200&lt;2000),COUNTIF($B$2:B200,B200),0)</f>
        <v>0</v>
      </c>
      <c r="L200" s="1300"/>
      <c r="M200" s="1375"/>
      <c r="O200" s="1375"/>
    </row>
    <row r="201" spans="1:15" ht="25.15" customHeight="1">
      <c r="A201" s="2897">
        <f>COUNTIF($K$1:K201,1)</f>
        <v>63</v>
      </c>
      <c r="B201" s="2912"/>
      <c r="C201" s="2913"/>
      <c r="D201" s="2914"/>
      <c r="E201" s="2926"/>
      <c r="F201" s="2912"/>
      <c r="G201" s="2927"/>
      <c r="H201" s="2927"/>
      <c r="I201" s="2908"/>
      <c r="J201" s="2905">
        <f>IFERROR(VLOOKUP(B201,DG!A:F,6,0),3000)</f>
        <v>3000</v>
      </c>
      <c r="K201" s="2906">
        <f>IF(AND(OR(H201&gt;0,I201&gt;0),J201&lt;2000),COUNTIF($B$2:B201,B201),0)</f>
        <v>0</v>
      </c>
      <c r="N201" s="1208"/>
    </row>
    <row r="202" spans="1:15" ht="25.15" customHeight="1">
      <c r="A202" s="2897">
        <f>COUNTIF($K$1:K202,1)</f>
        <v>63</v>
      </c>
      <c r="B202" s="2898"/>
      <c r="C202" s="2899"/>
      <c r="D202" s="2900"/>
      <c r="E202" s="2901"/>
      <c r="F202" s="2902"/>
      <c r="G202" s="2903"/>
      <c r="H202" s="2904"/>
      <c r="I202" s="2904"/>
      <c r="J202" s="2905">
        <f>IFERROR(VLOOKUP(B202,DG!A:F,6,0),3000)</f>
        <v>3000</v>
      </c>
      <c r="K202" s="2906">
        <f>IF(AND(OR(H202&gt;0,I202&gt;0),J202&lt;2000),COUNTIF($B$2:B202,B202),0)</f>
        <v>0</v>
      </c>
      <c r="L202" s="1300"/>
      <c r="M202" s="1753"/>
      <c r="N202" s="1754"/>
      <c r="O202" s="1753"/>
    </row>
    <row r="203" spans="1:15" ht="25.15" customHeight="1">
      <c r="A203" s="2897">
        <f>COUNTIF($K$1:K203,1)</f>
        <v>63</v>
      </c>
      <c r="B203" s="2898"/>
      <c r="C203" s="2899"/>
      <c r="D203" s="2900"/>
      <c r="E203" s="2901"/>
      <c r="F203" s="2902"/>
      <c r="G203" s="2903"/>
      <c r="H203" s="2904"/>
      <c r="I203" s="2904"/>
      <c r="J203" s="2905">
        <f>IFERROR(VLOOKUP(B203,DG!A:F,6,0),3000)</f>
        <v>3000</v>
      </c>
      <c r="K203" s="2906">
        <f>IF(AND(OR(H203&gt;0,I203&gt;0),J203&lt;2000),COUNTIF($B$2:B203,B203),0)</f>
        <v>0</v>
      </c>
      <c r="L203" s="1752"/>
    </row>
    <row r="204" spans="1:15" ht="25.15" customHeight="1">
      <c r="A204" s="2897">
        <f>COUNTIF($K$1:K204,1)</f>
        <v>63</v>
      </c>
      <c r="B204" s="2898"/>
      <c r="C204" s="2899"/>
      <c r="D204" s="2900"/>
      <c r="E204" s="2907"/>
      <c r="F204" s="2898"/>
      <c r="G204" s="2908"/>
      <c r="H204" s="2908"/>
      <c r="I204" s="2908"/>
      <c r="J204" s="2905">
        <f>IFERROR(VLOOKUP(B204,DG!A:F,6,0),3000)</f>
        <v>3000</v>
      </c>
      <c r="K204" s="2906">
        <f>IF(AND(OR(H204&gt;0,I204&gt;0),J204&lt;2000),COUNTIF($B$2:B204,B204),0)</f>
        <v>0</v>
      </c>
      <c r="N204" s="1208"/>
    </row>
    <row r="205" spans="1:15" ht="25.15" customHeight="1">
      <c r="A205" s="2897">
        <f>COUNTIF($K$1:K205,1)</f>
        <v>63</v>
      </c>
      <c r="B205" s="2898"/>
      <c r="C205" s="2899"/>
      <c r="D205" s="2900"/>
      <c r="E205" s="2901"/>
      <c r="F205" s="2902"/>
      <c r="G205" s="2903"/>
      <c r="H205" s="2904"/>
      <c r="I205" s="2904"/>
      <c r="J205" s="2905">
        <f>IFERROR(VLOOKUP(B205,DG!A:F,6,0),3000)</f>
        <v>3000</v>
      </c>
      <c r="K205" s="2906">
        <f>IF(AND(OR(H205&gt;0,I205&gt;0),J205&lt;2000),COUNTIF($B$2:B205,B205),0)</f>
        <v>0</v>
      </c>
      <c r="L205" s="1300"/>
      <c r="N205" s="1208"/>
    </row>
    <row r="206" spans="1:15" ht="25.15" customHeight="1">
      <c r="A206" s="2897">
        <f>COUNTIF($K$1:K206,1)</f>
        <v>63</v>
      </c>
      <c r="B206" s="2898"/>
      <c r="C206" s="2899"/>
      <c r="D206" s="2900"/>
      <c r="E206" s="2901"/>
      <c r="F206" s="2902"/>
      <c r="G206" s="2903"/>
      <c r="H206" s="2904"/>
      <c r="I206" s="2904"/>
      <c r="J206" s="2905">
        <f>IFERROR(VLOOKUP(B206,DG!A:F,6,0),3000)</f>
        <v>3000</v>
      </c>
      <c r="K206" s="2906">
        <f>IF(AND(OR(H206&gt;0,I206&gt;0),J206&lt;2000),COUNTIF($B$2:B206,B206),0)</f>
        <v>0</v>
      </c>
      <c r="N206" s="1208"/>
    </row>
    <row r="207" spans="1:15" ht="25.15" customHeight="1">
      <c r="A207" s="2897">
        <f>COUNTIF($K$1:K207,1)</f>
        <v>63</v>
      </c>
      <c r="B207" s="2898"/>
      <c r="C207" s="2899"/>
      <c r="D207" s="2900"/>
      <c r="E207" s="2901"/>
      <c r="F207" s="2902"/>
      <c r="G207" s="2903"/>
      <c r="H207" s="2904"/>
      <c r="I207" s="2904"/>
      <c r="J207" s="2905">
        <f>IFERROR(VLOOKUP(B207,DG!A:F,6,0),3000)</f>
        <v>3000</v>
      </c>
      <c r="K207" s="2906">
        <f>IF(AND(OR(H207&gt;0,I207&gt;0),J207&lt;2000),COUNTIF($B$2:B207,B207),0)</f>
        <v>0</v>
      </c>
      <c r="L207" s="1300"/>
      <c r="N207" s="1208"/>
    </row>
    <row r="208" spans="1:15" ht="25.15" customHeight="1">
      <c r="A208" s="2897">
        <f>COUNTIF($K$1:K208,1)</f>
        <v>63</v>
      </c>
      <c r="B208" s="2898"/>
      <c r="C208" s="2899"/>
      <c r="D208" s="2900"/>
      <c r="E208" s="2901"/>
      <c r="F208" s="2902"/>
      <c r="G208" s="2903"/>
      <c r="H208" s="2904"/>
      <c r="I208" s="2904"/>
      <c r="J208" s="2905">
        <f>IFERROR(VLOOKUP(B208,DG!A:F,6,0),3000)</f>
        <v>3000</v>
      </c>
      <c r="K208" s="2906">
        <f>IF(AND(OR(H208&gt;0,I208&gt;0),J208&lt;2000),COUNTIF($B$2:B208,B208),0)</f>
        <v>0</v>
      </c>
      <c r="L208" s="1300"/>
    </row>
    <row r="209" spans="1:15" ht="25.15" customHeight="1">
      <c r="A209" s="2897">
        <f>COUNTIF($K$1:K209,1)</f>
        <v>63</v>
      </c>
      <c r="B209" s="2912"/>
      <c r="C209" s="2913"/>
      <c r="D209" s="2914"/>
      <c r="E209" s="2926"/>
      <c r="F209" s="2912"/>
      <c r="G209" s="2927"/>
      <c r="H209" s="2927"/>
      <c r="I209" s="2908"/>
      <c r="J209" s="2905">
        <f>IFERROR(VLOOKUP(B209,DG!A:F,6,0),3000)</f>
        <v>3000</v>
      </c>
      <c r="K209" s="2906">
        <f>IF(AND(OR(H209&gt;0,I209&gt;0),J209&lt;2000),COUNTIF($B$2:B209,B209),0)</f>
        <v>0</v>
      </c>
    </row>
    <row r="210" spans="1:15" ht="25.15" customHeight="1">
      <c r="A210" s="2897">
        <f>COUNTIF($K$1:K210,1)</f>
        <v>63</v>
      </c>
      <c r="B210" s="2898"/>
      <c r="C210" s="2899"/>
      <c r="D210" s="2900"/>
      <c r="E210" s="2907"/>
      <c r="F210" s="2898"/>
      <c r="G210" s="2908"/>
      <c r="H210" s="2908"/>
      <c r="I210" s="2908"/>
      <c r="J210" s="2905">
        <f>IFERROR(VLOOKUP(B210,DG!A:F,6,0),3000)</f>
        <v>3000</v>
      </c>
      <c r="K210" s="2906">
        <f>IF(AND(OR(H210&gt;0,I210&gt;0),J210&lt;2000),COUNTIF($B$2:B210,B210),0)</f>
        <v>0</v>
      </c>
      <c r="M210" s="1753"/>
      <c r="N210" s="1754"/>
      <c r="O210" s="1753"/>
    </row>
    <row r="211" spans="1:15" ht="25.15" customHeight="1">
      <c r="A211" s="2897">
        <f>COUNTIF($K$1:K211,1)</f>
        <v>63</v>
      </c>
      <c r="B211" s="2898"/>
      <c r="C211" s="2899"/>
      <c r="D211" s="2900"/>
      <c r="E211" s="2907"/>
      <c r="F211" s="2898"/>
      <c r="G211" s="2908"/>
      <c r="H211" s="2908"/>
      <c r="I211" s="2908"/>
      <c r="J211" s="2905">
        <f>IFERROR(VLOOKUP(B211,DG!A:F,6,0),3000)</f>
        <v>3000</v>
      </c>
      <c r="K211" s="2906">
        <f>IF(AND(OR(H211&gt;0,I211&gt;0),J211&lt;2000),COUNTIF($B$2:B211,B211),0)</f>
        <v>0</v>
      </c>
    </row>
    <row r="212" spans="1:15" ht="25.15" customHeight="1">
      <c r="A212" s="2897">
        <f>COUNTIF($K$1:K212,1)</f>
        <v>63</v>
      </c>
      <c r="B212" s="2898"/>
      <c r="C212" s="2899"/>
      <c r="D212" s="2900"/>
      <c r="E212" s="2901"/>
      <c r="F212" s="2902"/>
      <c r="G212" s="2903"/>
      <c r="H212" s="2904"/>
      <c r="I212" s="2904"/>
      <c r="J212" s="2905">
        <f>IFERROR(VLOOKUP(B212,DG!A:F,6,0),3000)</f>
        <v>3000</v>
      </c>
      <c r="K212" s="2906">
        <f>IF(AND(OR(H212&gt;0,I212&gt;0),J212&lt;2000),COUNTIF($B$2:B212,B212),0)</f>
        <v>0</v>
      </c>
      <c r="L212" s="1300"/>
      <c r="N212" s="1208"/>
    </row>
    <row r="213" spans="1:15" ht="25.15" customHeight="1">
      <c r="A213" s="2897">
        <f>COUNTIF($K$1:K213,1)</f>
        <v>63</v>
      </c>
      <c r="B213" s="2898"/>
      <c r="C213" s="2899"/>
      <c r="D213" s="2900"/>
      <c r="E213" s="2901"/>
      <c r="F213" s="2902"/>
      <c r="G213" s="2903"/>
      <c r="H213" s="2904"/>
      <c r="I213" s="2904"/>
      <c r="J213" s="2905">
        <f>IFERROR(VLOOKUP(B213,DG!A:F,6,0),3000)</f>
        <v>3000</v>
      </c>
      <c r="K213" s="2906">
        <f>IF(AND(OR(H213&gt;0,I213&gt;0),J213&lt;2000),COUNTIF($B$2:B213,B213),0)</f>
        <v>0</v>
      </c>
      <c r="L213" s="1300"/>
    </row>
    <row r="214" spans="1:15" ht="25.15" customHeight="1">
      <c r="A214" s="2897">
        <f>COUNTIF($K$1:K214,1)</f>
        <v>63</v>
      </c>
      <c r="B214" s="2898"/>
      <c r="C214" s="2899"/>
      <c r="D214" s="2900"/>
      <c r="E214" s="2901"/>
      <c r="F214" s="2902"/>
      <c r="G214" s="2903"/>
      <c r="H214" s="2904"/>
      <c r="I214" s="2904"/>
      <c r="J214" s="2905">
        <f>IFERROR(VLOOKUP(B214,DG!A:F,6,0),3000)</f>
        <v>3000</v>
      </c>
      <c r="K214" s="2906">
        <f>IF(AND(OR(H214&gt;0,I214&gt;0),J214&lt;2000),COUNTIF($B$2:B214,B214),0)</f>
        <v>0</v>
      </c>
      <c r="L214" s="1752"/>
      <c r="N214" s="1208"/>
    </row>
    <row r="215" spans="1:15" ht="25.15" customHeight="1">
      <c r="A215" s="2897">
        <f>COUNTIF($K$1:K215,1)</f>
        <v>63</v>
      </c>
      <c r="B215" s="2912"/>
      <c r="C215" s="2913"/>
      <c r="D215" s="2914"/>
      <c r="E215" s="2915"/>
      <c r="F215" s="2916"/>
      <c r="G215" s="2903"/>
      <c r="H215" s="2904"/>
      <c r="I215" s="2904"/>
      <c r="J215" s="2905">
        <f>IFERROR(VLOOKUP(B215,DG!A:F,6,0),3000)</f>
        <v>3000</v>
      </c>
      <c r="K215" s="2906">
        <f>IF(AND(OR(H215&gt;0,I215&gt;0),J215&lt;2000),COUNTIF($B$2:B215,B215),0)</f>
        <v>0</v>
      </c>
      <c r="L215" s="1300"/>
      <c r="N215" s="1208"/>
    </row>
    <row r="216" spans="1:15" ht="25.15" customHeight="1">
      <c r="A216" s="2897">
        <f>COUNTIF($K$1:K216,1)</f>
        <v>63</v>
      </c>
      <c r="B216" s="2898"/>
      <c r="C216" s="2899"/>
      <c r="D216" s="2900"/>
      <c r="E216" s="2901"/>
      <c r="F216" s="2902"/>
      <c r="G216" s="2903"/>
      <c r="H216" s="2904"/>
      <c r="I216" s="2904"/>
      <c r="J216" s="2905">
        <f>IFERROR(VLOOKUP(B216,DG!A:F,6,0),3000)</f>
        <v>3000</v>
      </c>
      <c r="K216" s="2906">
        <f>IF(AND(OR(H216&gt;0,I216&gt;0),J216&lt;2000),COUNTIF($B$2:B216,B216),0)</f>
        <v>0</v>
      </c>
      <c r="L216" s="1300"/>
    </row>
    <row r="217" spans="1:15" ht="25.15" customHeight="1">
      <c r="A217" s="2897">
        <f>COUNTIF($K$1:K217,1)</f>
        <v>63</v>
      </c>
      <c r="B217" s="2898"/>
      <c r="C217" s="2899"/>
      <c r="D217" s="2900"/>
      <c r="E217" s="2907"/>
      <c r="F217" s="2898"/>
      <c r="G217" s="2908"/>
      <c r="H217" s="2908"/>
      <c r="I217" s="2908"/>
      <c r="J217" s="2905">
        <f>IFERROR(VLOOKUP(B217,DG!A:F,6,0),3000)</f>
        <v>3000</v>
      </c>
      <c r="K217" s="2906">
        <f>IF(AND(OR(H217&gt;0,I217&gt;0),J217&lt;2000),COUNTIF($B$2:B217,B217),0)</f>
        <v>0</v>
      </c>
      <c r="N217" s="1208"/>
    </row>
    <row r="218" spans="1:15" ht="25.15" customHeight="1">
      <c r="A218" s="2897">
        <f>COUNTIF($K$1:K218,1)</f>
        <v>63</v>
      </c>
      <c r="B218" s="2898"/>
      <c r="C218" s="2899"/>
      <c r="D218" s="2900"/>
      <c r="E218" s="2901"/>
      <c r="F218" s="2902"/>
      <c r="G218" s="2903"/>
      <c r="H218" s="2904"/>
      <c r="I218" s="2904"/>
      <c r="J218" s="2905">
        <f>IFERROR(VLOOKUP(B218,DG!A:F,6,0),3000)</f>
        <v>3000</v>
      </c>
      <c r="K218" s="2906">
        <f>IF(AND(OR(H218&gt;0,I218&gt;0),J218&lt;2000),COUNTIF($B$2:B218,B218),0)</f>
        <v>0</v>
      </c>
      <c r="L218" s="1300"/>
    </row>
    <row r="219" spans="1:15" ht="25.15" customHeight="1">
      <c r="A219" s="2897">
        <f>COUNTIF($K$1:K219,1)</f>
        <v>63</v>
      </c>
      <c r="B219" s="2898"/>
      <c r="C219" s="2899"/>
      <c r="D219" s="2900"/>
      <c r="E219" s="2901"/>
      <c r="F219" s="2902"/>
      <c r="G219" s="2903"/>
      <c r="H219" s="2904"/>
      <c r="I219" s="2904"/>
      <c r="J219" s="2905">
        <f>IFERROR(VLOOKUP(B219,DG!A:F,6,0),3000)</f>
        <v>3000</v>
      </c>
      <c r="K219" s="2906">
        <f>IF(AND(OR(H219&gt;0,I219&gt;0),J219&lt;2000),COUNTIF($B$2:B219,B219),0)</f>
        <v>0</v>
      </c>
      <c r="L219" s="1300"/>
    </row>
    <row r="220" spans="1:15" ht="25.15" customHeight="1">
      <c r="A220" s="2897">
        <f>COUNTIF($K$1:K220,1)</f>
        <v>63</v>
      </c>
      <c r="B220" s="2898"/>
      <c r="C220" s="2899"/>
      <c r="D220" s="2900"/>
      <c r="E220" s="2901"/>
      <c r="F220" s="2902"/>
      <c r="G220" s="2903"/>
      <c r="H220" s="2904"/>
      <c r="I220" s="2904"/>
      <c r="J220" s="2905">
        <f>IFERROR(VLOOKUP(B220,DG!A:F,6,0),3000)</f>
        <v>3000</v>
      </c>
      <c r="K220" s="2906">
        <f>IF(AND(OR(H220&gt;0,I220&gt;0),J220&lt;2000),COUNTIF($B$2:B220,B220),0)</f>
        <v>0</v>
      </c>
      <c r="L220" s="1300"/>
    </row>
    <row r="221" spans="1:15" ht="25.15" customHeight="1">
      <c r="A221" s="2897">
        <f>COUNTIF($K$1:K221,1)</f>
        <v>63</v>
      </c>
      <c r="B221" s="2898"/>
      <c r="C221" s="2899"/>
      <c r="D221" s="2900"/>
      <c r="E221" s="2901"/>
      <c r="F221" s="2902"/>
      <c r="G221" s="2910"/>
      <c r="H221" s="2911"/>
      <c r="I221" s="2904"/>
      <c r="J221" s="2905">
        <f>IFERROR(VLOOKUP(B221,DG!A:F,6,0),3000)</f>
        <v>3000</v>
      </c>
      <c r="K221" s="2906">
        <f>IF(AND(OR(H221&gt;0,I221&gt;0),J221&lt;2000),COUNTIF($B$2:B221,B221),0)</f>
        <v>0</v>
      </c>
      <c r="L221" s="1300"/>
      <c r="N221" s="1208"/>
    </row>
    <row r="222" spans="1:15" ht="25.15" customHeight="1">
      <c r="A222" s="2897">
        <f>COUNTIF($K$1:K222,1)</f>
        <v>63</v>
      </c>
      <c r="B222" s="2898"/>
      <c r="C222" s="2899"/>
      <c r="D222" s="2900"/>
      <c r="E222" s="2901"/>
      <c r="F222" s="2902"/>
      <c r="G222" s="2903"/>
      <c r="H222" s="2904"/>
      <c r="I222" s="2904"/>
      <c r="J222" s="2905">
        <f>IFERROR(VLOOKUP(B222,DG!A:F,6,0),3000)</f>
        <v>3000</v>
      </c>
      <c r="K222" s="2906">
        <f>IF(AND(OR(H222&gt;0,I222&gt;0),J222&lt;2000),COUNTIF($B$2:B222,B222),0)</f>
        <v>0</v>
      </c>
      <c r="L222" s="1300"/>
    </row>
    <row r="223" spans="1:15" ht="25.15" customHeight="1">
      <c r="A223" s="2897">
        <f>COUNTIF($K$1:K223,1)</f>
        <v>63</v>
      </c>
      <c r="B223" s="2912"/>
      <c r="C223" s="2913"/>
      <c r="D223" s="2914"/>
      <c r="E223" s="2915"/>
      <c r="F223" s="2916"/>
      <c r="G223" s="2910"/>
      <c r="H223" s="2904"/>
      <c r="I223" s="2904"/>
      <c r="J223" s="2905">
        <f>IFERROR(VLOOKUP(B223,DG!A:F,6,0),3000)</f>
        <v>3000</v>
      </c>
      <c r="K223" s="2906">
        <f>IF(AND(OR(H223&gt;0,I223&gt;0),J223&lt;2000),COUNTIF($B$2:B223,B223),0)</f>
        <v>0</v>
      </c>
      <c r="L223" s="1300"/>
    </row>
    <row r="224" spans="1:15" ht="25.15" customHeight="1">
      <c r="A224" s="2897">
        <f>COUNTIF($K$1:K224,1)</f>
        <v>63</v>
      </c>
      <c r="B224" s="2912"/>
      <c r="C224" s="2913"/>
      <c r="D224" s="2914"/>
      <c r="E224" s="2915"/>
      <c r="F224" s="2916"/>
      <c r="G224" s="2903"/>
      <c r="H224" s="2904"/>
      <c r="I224" s="2904"/>
      <c r="J224" s="2905">
        <f>IFERROR(VLOOKUP(B224,DG!A:F,6,0),3000)</f>
        <v>3000</v>
      </c>
      <c r="K224" s="2906">
        <f>IF(AND(OR(H224&gt;0,I224&gt;0),J224&lt;2000),COUNTIF($B$2:B224,B224),0)</f>
        <v>0</v>
      </c>
      <c r="L224" s="1300"/>
    </row>
    <row r="225" spans="1:15" ht="25.15" customHeight="1">
      <c r="A225" s="2897">
        <f>COUNTIF($K$1:K225,1)</f>
        <v>63</v>
      </c>
      <c r="B225" s="2912"/>
      <c r="C225" s="2913"/>
      <c r="D225" s="2914"/>
      <c r="E225" s="2926"/>
      <c r="F225" s="2912"/>
      <c r="G225" s="2927"/>
      <c r="H225" s="2927"/>
      <c r="I225" s="2909"/>
      <c r="J225" s="2905">
        <f>IFERROR(VLOOKUP(B225,DG!A:F,6,0),3000)</f>
        <v>3000</v>
      </c>
      <c r="K225" s="2906">
        <f>IF(AND(OR(H225&gt;0,I225&gt;0),J225&lt;2000),COUNTIF($B$2:B225,B225),0)</f>
        <v>0</v>
      </c>
    </row>
    <row r="226" spans="1:15" ht="25.15" customHeight="1">
      <c r="A226" s="2897">
        <f>COUNTIF($K$1:K226,1)</f>
        <v>63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15" customHeight="1">
      <c r="A227" s="2897">
        <f>COUNTIF($K$1:K227,1)</f>
        <v>63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15" customHeight="1">
      <c r="A228" s="2897">
        <f>COUNTIF($K$1:K228,1)</f>
        <v>63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15" customHeight="1">
      <c r="A229" s="2897">
        <f>COUNTIF($K$1:K229,1)</f>
        <v>63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15" customHeight="1">
      <c r="A230" s="2897">
        <f>COUNTIF($K$1:K230,1)</f>
        <v>63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15" customHeight="1">
      <c r="A231" s="2897">
        <f>COUNTIF($K$1:K231,1)</f>
        <v>63</v>
      </c>
      <c r="B231" s="2917"/>
      <c r="C231" s="2918"/>
      <c r="D231" s="2919"/>
      <c r="E231" s="2920"/>
      <c r="F231" s="2917"/>
      <c r="G231" s="2909"/>
      <c r="H231" s="2909"/>
      <c r="I231" s="2909"/>
      <c r="J231" s="2905">
        <f>IFERROR(VLOOKUP(B231,DG!A:F,6,0),3000)</f>
        <v>3000</v>
      </c>
      <c r="K231" s="2906">
        <f>IF(AND(OR(H231&gt;0,I231&gt;0),J231&lt;2000),COUNTIF($B$2:B231,B231),0)</f>
        <v>0</v>
      </c>
    </row>
    <row r="232" spans="1:15" ht="25.15" customHeight="1">
      <c r="A232" s="2897">
        <f>COUNTIF($K$1:K232,1)</f>
        <v>63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15" customHeight="1">
      <c r="A233" s="2897">
        <f>COUNTIF($K$1:K233,1)</f>
        <v>63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15" customHeight="1">
      <c r="A234" s="2897">
        <f>COUNTIF($K$1:K234,1)</f>
        <v>63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15" customHeight="1">
      <c r="A235" s="2897">
        <f>COUNTIF($K$1:K235,1)</f>
        <v>63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15" customHeight="1">
      <c r="A236" s="2897">
        <f>COUNTIF($K$1:K236,1)</f>
        <v>63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15" customHeight="1">
      <c r="A237" s="2897">
        <f>COUNTIF($K$1:K237,1)</f>
        <v>63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15" customHeight="1">
      <c r="A238" s="2897">
        <f>COUNTIF($K$1:K238,1)</f>
        <v>63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15" customHeight="1">
      <c r="A239" s="2897">
        <f>COUNTIF($K$1:K239,1)</f>
        <v>63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15" customHeight="1">
      <c r="A240" s="2897">
        <f>COUNTIF($K$1:K240,1)</f>
        <v>63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15" customHeight="1">
      <c r="A241" s="2897">
        <f>COUNTIF($K$1:K241,1)</f>
        <v>63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15" customHeight="1">
      <c r="A242" s="2897">
        <f>COUNTIF($K$1:K242,1)</f>
        <v>63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15" customHeight="1">
      <c r="A243" s="2897">
        <f>COUNTIF($K$1:K243,1)</f>
        <v>63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15" customHeight="1">
      <c r="A244" s="2897">
        <f>COUNTIF($K$1:K244,1)</f>
        <v>63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15" customHeight="1">
      <c r="A245" s="2897">
        <f>COUNTIF($K$1:K245,1)</f>
        <v>63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15" customHeight="1">
      <c r="A246" s="2897">
        <f>COUNTIF($K$1:K246,1)</f>
        <v>63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15" customHeight="1">
      <c r="A247" s="2897">
        <f>COUNTIF($K$1:K247,1)</f>
        <v>63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15" customHeight="1">
      <c r="A248" s="2897">
        <f>COUNTIF($K$1:K248,1)</f>
        <v>63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15" customHeight="1">
      <c r="A249" s="2897">
        <f>COUNTIF($K$1:K249,1)</f>
        <v>63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15" customHeight="1">
      <c r="A250" s="2897">
        <f>COUNTIF($K$1:K250,1)</f>
        <v>63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15" customHeight="1">
      <c r="A251" s="2897">
        <f>COUNTIF($K$1:K251,1)</f>
        <v>63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15" customHeight="1">
      <c r="A252" s="2897">
        <f>COUNTIF($K$1:K252,1)</f>
        <v>63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15" customHeight="1">
      <c r="A253" s="2897">
        <f>COUNTIF($K$1:K253,1)</f>
        <v>63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15" customHeight="1">
      <c r="A254" s="2897">
        <f>COUNTIF($K$1:K254,1)</f>
        <v>63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15" customHeight="1">
      <c r="A255" s="2897">
        <f>COUNTIF($K$1:K255,1)</f>
        <v>63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15" customHeight="1">
      <c r="A256" s="2897">
        <f>COUNTIF($K$1:K256,1)</f>
        <v>63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15" customHeight="1">
      <c r="A257" s="2897">
        <f>COUNTIF($K$1:K257,1)</f>
        <v>63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15" customHeight="1">
      <c r="A258" s="2897">
        <f>COUNTIF($K$1:K258,1)</f>
        <v>63</v>
      </c>
      <c r="B258" s="2898"/>
      <c r="C258" s="2899"/>
      <c r="D258" s="2900"/>
      <c r="E258" s="2907"/>
      <c r="F258" s="2898"/>
      <c r="G258" s="2908"/>
      <c r="H258" s="2908"/>
      <c r="I258" s="2908"/>
      <c r="J258" s="2905">
        <f>IFERROR(VLOOKUP(B258,DG!A:F,6,0),3000)</f>
        <v>3000</v>
      </c>
      <c r="K258" s="2906">
        <f>IF(AND(OR(H258&gt;0,I258&gt;0),J258&lt;2000),COUNTIF($B$2:B258,B258),0)</f>
        <v>0</v>
      </c>
    </row>
    <row r="259" spans="1:15" ht="25.15" customHeight="1">
      <c r="A259" s="2897">
        <f>COUNTIF($K$1:K259,1)</f>
        <v>63</v>
      </c>
      <c r="B259" s="2898"/>
      <c r="C259" s="2899"/>
      <c r="D259" s="2900"/>
      <c r="E259" s="2907"/>
      <c r="F259" s="2898"/>
      <c r="G259" s="2908"/>
      <c r="H259" s="2908"/>
      <c r="I259" s="2908"/>
      <c r="J259" s="2905">
        <f>IFERROR(VLOOKUP(B259,DG!A:F,6,0),3000)</f>
        <v>3000</v>
      </c>
      <c r="K259" s="2906">
        <f>IF(AND(OR(H259&gt;0,I259&gt;0),J259&lt;2000),COUNTIF($B$2:B259,B259),0)</f>
        <v>0</v>
      </c>
    </row>
    <row r="260" spans="1:15" ht="25.15" customHeight="1">
      <c r="A260" s="2897">
        <f>COUNTIF($K$1:K260,1)</f>
        <v>63</v>
      </c>
      <c r="B260" s="2917"/>
      <c r="C260" s="2918"/>
      <c r="D260" s="2919"/>
      <c r="E260" s="2920"/>
      <c r="F260" s="2917"/>
      <c r="G260" s="2909"/>
      <c r="H260" s="2909"/>
      <c r="I260" s="2909"/>
      <c r="J260" s="2905">
        <f>IFERROR(VLOOKUP(B260,DG!A:F,6,0),3000)</f>
        <v>3000</v>
      </c>
      <c r="K260" s="2906">
        <f>IF(AND(OR(H260&gt;0,I260&gt;0),J260&lt;2000),COUNTIF($B$2:B260,B260),0)</f>
        <v>0</v>
      </c>
    </row>
    <row r="261" spans="1:15" ht="25.15" customHeight="1">
      <c r="A261" s="2897">
        <f>COUNTIF($K$1:K261,1)</f>
        <v>63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15" customHeight="1">
      <c r="A262" s="2897">
        <f>COUNTIF($K$1:K262,1)</f>
        <v>63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15" customHeight="1">
      <c r="A263" s="2897">
        <f>COUNTIF($K$1:K263,1)</f>
        <v>63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15" customHeight="1">
      <c r="A264" s="2897">
        <f>COUNTIF($K$1:K264,1)</f>
        <v>63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15" customHeight="1">
      <c r="A265" s="2897">
        <f>COUNTIF($K$1:K265,1)</f>
        <v>63</v>
      </c>
      <c r="B265" s="2917"/>
      <c r="C265" s="2918"/>
      <c r="D265" s="2919"/>
      <c r="E265" s="2920"/>
      <c r="F265" s="2917"/>
      <c r="G265" s="2909"/>
      <c r="H265" s="2909"/>
      <c r="I265" s="2909"/>
      <c r="J265" s="2905">
        <f>IFERROR(VLOOKUP(B265,DG!A:F,6,0),3000)</f>
        <v>3000</v>
      </c>
      <c r="K265" s="2906">
        <f>IF(AND(OR(H265&gt;0,I265&gt;0),J265&lt;2000),COUNTIF($B$2:B265,B265),0)</f>
        <v>0</v>
      </c>
    </row>
    <row r="266" spans="1:15" ht="25.15" customHeight="1">
      <c r="A266" s="2897">
        <f>COUNTIF($K$1:K266,1)</f>
        <v>63</v>
      </c>
      <c r="B266" s="2917"/>
      <c r="C266" s="2918"/>
      <c r="D266" s="2919"/>
      <c r="E266" s="2920"/>
      <c r="F266" s="2917"/>
      <c r="G266" s="2909"/>
      <c r="H266" s="2909"/>
      <c r="I266" s="2909"/>
      <c r="J266" s="2905">
        <f>IFERROR(VLOOKUP(B266,DG!A:F,6,0),3000)</f>
        <v>3000</v>
      </c>
      <c r="K266" s="2906">
        <f>IF(AND(OR(H266&gt;0,I266&gt;0),J266&lt;2000),COUNTIF($B$2:B266,B266),0)</f>
        <v>0</v>
      </c>
    </row>
    <row r="267" spans="1:15" ht="25.15" customHeight="1">
      <c r="A267" s="2897">
        <f>COUNTIF($K$1:K267,1)</f>
        <v>63</v>
      </c>
      <c r="B267" s="2917"/>
      <c r="C267" s="2918"/>
      <c r="D267" s="2919"/>
      <c r="E267" s="2920"/>
      <c r="F267" s="2917"/>
      <c r="G267" s="2909"/>
      <c r="H267" s="2909"/>
      <c r="I267" s="2909"/>
      <c r="J267" s="2905">
        <f>IFERROR(VLOOKUP(B267,DG!A:F,6,0),3000)</f>
        <v>3000</v>
      </c>
      <c r="K267" s="2906">
        <f>IF(AND(OR(H267&gt;0,I267&gt;0),J267&lt;2000),COUNTIF($B$2:B267,B267),0)</f>
        <v>0</v>
      </c>
    </row>
    <row r="268" spans="1:15" ht="25.15" customHeight="1">
      <c r="A268" s="2897">
        <f>COUNTIF($K$1:K268,1)</f>
        <v>63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15" customHeight="1">
      <c r="A269" s="2897">
        <f>COUNTIF($K$1:K269,1)</f>
        <v>63</v>
      </c>
      <c r="B269" s="2917"/>
      <c r="C269" s="2918"/>
      <c r="D269" s="2919"/>
      <c r="E269" s="2920"/>
      <c r="F269" s="2917"/>
      <c r="G269" s="2909"/>
      <c r="H269" s="2909"/>
      <c r="I269" s="2909"/>
      <c r="J269" s="2905">
        <f>IFERROR(VLOOKUP(B269,DG!A:F,6,0),3000)</f>
        <v>3000</v>
      </c>
      <c r="K269" s="2906">
        <f>IF(AND(OR(H269&gt;0,I269&gt;0),J269&lt;2000),COUNTIF($B$2:B269,B269),0)</f>
        <v>0</v>
      </c>
    </row>
  </sheetData>
  <autoFilter ref="A1:L269">
    <sortState ref="A2:L269">
      <sortCondition ref="J1:J269"/>
    </sortState>
  </autoFilter>
  <sortState ref="B2:K203">
    <sortCondition ref="J2:J203"/>
    <sortCondition ref="B2:B203"/>
  </sortState>
  <conditionalFormatting sqref="E2:E3 E5:E1048576">
    <cfRule type="containsText" dxfId="65" priority="28" operator="containsText" text="phần">
      <formula>NOT(ISERROR(SEARCH("phần",E2)))</formula>
    </cfRule>
    <cfRule type="containsText" dxfId="64" priority="29" operator="containsText" text="bộ">
      <formula>NOT(ISERROR(SEARCH("bộ",E2)))</formula>
    </cfRule>
    <cfRule type="containsText" dxfId="63" priority="30" operator="containsText" text="đóng">
      <formula>NOT(ISERROR(SEARCH("đóng",E2)))</formula>
    </cfRule>
    <cfRule type="containsText" dxfId="62" priority="31" operator="containsText" text="kéo">
      <formula>NOT(ISERROR(SEARCH("kéo",E2)))</formula>
    </cfRule>
    <cfRule type="cellIs" dxfId="61" priority="32" operator="equal">
      <formula>"đóng"</formula>
    </cfRule>
    <cfRule type="containsText" dxfId="60" priority="33" operator="containsText" text="đổ">
      <formula>NOT(ISERROR(SEARCH("đổ",E2)))</formula>
    </cfRule>
    <cfRule type="containsText" dxfId="59" priority="34" operator="containsText" text="đắp">
      <formula>NOT(ISERROR(SEARCH("đắp",E2)))</formula>
    </cfRule>
    <cfRule type="containsText" dxfId="58" priority="35" operator="containsText" text="Đào">
      <formula>NOT(ISERROR(SEARCH("Đào",E2)))</formula>
    </cfRule>
  </conditionalFormatting>
  <conditionalFormatting sqref="F51:I52">
    <cfRule type="containsText" dxfId="57" priority="9" operator="containsText" text="phần">
      <formula>NOT(ISERROR(SEARCH("phần",F51)))</formula>
    </cfRule>
    <cfRule type="containsText" dxfId="56" priority="10" operator="containsText" text="bộ">
      <formula>NOT(ISERROR(SEARCH("bộ",F51)))</formula>
    </cfRule>
    <cfRule type="containsText" dxfId="55" priority="11" operator="containsText" text="đóng">
      <formula>NOT(ISERROR(SEARCH("đóng",F51)))</formula>
    </cfRule>
    <cfRule type="containsText" dxfId="54" priority="12" operator="containsText" text="kéo">
      <formula>NOT(ISERROR(SEARCH("kéo",F51)))</formula>
    </cfRule>
    <cfRule type="cellIs" dxfId="53" priority="13" operator="equal">
      <formula>"đóng"</formula>
    </cfRule>
    <cfRule type="containsText" dxfId="52" priority="14" operator="containsText" text="đổ">
      <formula>NOT(ISERROR(SEARCH("đổ",F51)))</formula>
    </cfRule>
    <cfRule type="containsText" dxfId="51" priority="15" operator="containsText" text="đắp">
      <formula>NOT(ISERROR(SEARCH("đắp",F51)))</formula>
    </cfRule>
    <cfRule type="containsText" dxfId="50" priority="16" operator="containsText" text="Đào">
      <formula>NOT(ISERROR(SEARCH("Đào",F51)))</formula>
    </cfRule>
  </conditionalFormatting>
  <conditionalFormatting sqref="E4">
    <cfRule type="containsText" dxfId="49" priority="1" operator="containsText" text="phần">
      <formula>NOT(ISERROR(SEARCH("phần",E4)))</formula>
    </cfRule>
    <cfRule type="containsText" dxfId="48" priority="2" operator="containsText" text="bộ">
      <formula>NOT(ISERROR(SEARCH("bộ",E4)))</formula>
    </cfRule>
    <cfRule type="containsText" dxfId="47" priority="3" operator="containsText" text="đóng">
      <formula>NOT(ISERROR(SEARCH("đóng",E4)))</formula>
    </cfRule>
    <cfRule type="containsText" dxfId="46" priority="4" operator="containsText" text="kéo">
      <formula>NOT(ISERROR(SEARCH("kéo",E4)))</formula>
    </cfRule>
    <cfRule type="cellIs" dxfId="45" priority="5" operator="equal">
      <formula>"đóng"</formula>
    </cfRule>
    <cfRule type="containsText" dxfId="44" priority="6" operator="containsText" text="đổ">
      <formula>NOT(ISERROR(SEARCH("đổ",E4)))</formula>
    </cfRule>
    <cfRule type="containsText" dxfId="43" priority="7" operator="containsText" text="đắp">
      <formula>NOT(ISERROR(SEARCH("đắp",E4)))</formula>
    </cfRule>
    <cfRule type="containsText" dxfId="42"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G1" zoomScale="90" zoomScaleNormal="90" workbookViewId="0">
      <pane ySplit="1" topLeftCell="A2" activePane="bottomLeft" state="frozen"/>
      <selection activeCell="F8" sqref="F8"/>
      <selection pane="bottomLeft" activeCell="N4" sqref="N4"/>
    </sheetView>
  </sheetViews>
  <sheetFormatPr defaultColWidth="8.88671875" defaultRowHeight="35.1" customHeight="1" outlineLevelCol="1"/>
  <cols>
    <col min="1" max="1" width="11.33203125" style="1938" customWidth="1"/>
    <col min="2" max="2" width="15.109375" style="1606" customWidth="1"/>
    <col min="3" max="3" width="11.6640625" style="1208" customWidth="1"/>
    <col min="4" max="4" width="6.21875" style="1938" customWidth="1"/>
    <col min="5" max="5" width="16.6640625" style="1938" customWidth="1"/>
    <col min="6" max="6" width="11.44140625" style="1208" customWidth="1"/>
    <col min="7" max="7" width="17.6640625" style="1747" customWidth="1"/>
    <col min="8" max="8" width="23.33203125" style="1837" customWidth="1"/>
    <col min="9" max="9" width="26.77734375" style="1837" customWidth="1" outlineLevel="1"/>
    <col min="10" max="10" width="14.33203125" style="1838" customWidth="1" outlineLevel="1"/>
    <col min="11" max="11" width="11.21875" style="1838" customWidth="1" outlineLevel="1"/>
    <col min="12" max="12" width="17.6640625" style="1838" customWidth="1"/>
    <col min="13" max="13" width="10.77734375" style="1321" customWidth="1"/>
    <col min="14" max="14" width="10.44140625" style="1208" customWidth="1"/>
    <col min="15" max="16" width="13.33203125" style="1747" customWidth="1"/>
    <col min="17" max="17" width="8.88671875" style="1938" customWidth="1"/>
    <col min="18" max="19" width="26" style="1203" customWidth="1" outlineLevel="1"/>
    <col min="20" max="20" width="13.88671875" style="1208" customWidth="1" outlineLevel="1"/>
    <col min="21" max="21" width="13.88671875" style="1361" customWidth="1" outlineLevel="1"/>
    <col min="22" max="23" width="13.109375" style="1208" customWidth="1" outlineLevel="1"/>
    <col min="24" max="25" width="8.88671875" style="1208"/>
    <col min="26" max="26" width="27.6640625" style="1208" customWidth="1"/>
    <col min="27" max="32" width="8.88671875" style="1208"/>
    <col min="33" max="33" width="8.88671875" style="1938"/>
    <col min="34" max="34" width="45.44140625" style="1938" customWidth="1"/>
    <col min="35" max="41" width="8.88671875" style="1938"/>
    <col min="42" max="42" width="21.6640625" style="1938" customWidth="1"/>
    <col min="43" max="45" width="8.88671875" style="1938"/>
    <col min="46" max="46" width="6" style="1938" customWidth="1"/>
    <col min="47" max="47" width="31.21875" style="1938" customWidth="1"/>
    <col min="48" max="48" width="7.21875" style="1938" customWidth="1"/>
    <col min="49" max="54" width="8.88671875" style="1938"/>
    <col min="55" max="55" width="22.5546875" style="1938" bestFit="1" customWidth="1"/>
    <col min="56" max="56" width="12.5546875" style="1938" customWidth="1"/>
    <col min="57" max="62" width="8.88671875" style="1938"/>
    <col min="63" max="63" width="22.21875" style="1938" customWidth="1"/>
    <col min="64" max="64" width="20.5546875" style="1938" customWidth="1"/>
    <col min="65" max="72" width="8.88671875" style="1938"/>
    <col min="73" max="73" width="28.77734375" style="1938" customWidth="1"/>
    <col min="74" max="74" width="8.88671875" style="1938"/>
    <col min="75" max="75" width="14.21875" style="1938" customWidth="1"/>
    <col min="76" max="16384" width="8.88671875" style="1938"/>
  </cols>
  <sheetData>
    <row r="1" spans="1:26" s="1918" customFormat="1" ht="35.1" customHeight="1" thickBot="1">
      <c r="A1" s="1971" t="s">
        <v>4406</v>
      </c>
      <c r="B1" s="3020" t="s">
        <v>4106</v>
      </c>
      <c r="C1" s="1972" t="s">
        <v>4415</v>
      </c>
      <c r="D1" s="1972"/>
      <c r="E1" s="1972" t="s">
        <v>4764</v>
      </c>
      <c r="F1" s="2943" t="s">
        <v>2063</v>
      </c>
      <c r="G1" s="1930">
        <f>'NT-VT'!A5</f>
        <v>0</v>
      </c>
      <c r="H1" s="1919" t="s">
        <v>4114</v>
      </c>
      <c r="I1" s="1919" t="s">
        <v>4115</v>
      </c>
      <c r="J1" s="1920" t="s">
        <v>4419</v>
      </c>
      <c r="K1" s="1920" t="s">
        <v>4119</v>
      </c>
      <c r="L1" s="1921" t="s">
        <v>4417</v>
      </c>
      <c r="M1" s="1922" t="s">
        <v>4119</v>
      </c>
      <c r="N1" s="1922" t="s">
        <v>4120</v>
      </c>
      <c r="O1" s="1947" t="s">
        <v>4700</v>
      </c>
      <c r="P1" s="1961">
        <v>44166</v>
      </c>
      <c r="Q1" s="1839" t="s">
        <v>2595</v>
      </c>
      <c r="R1" s="1923" t="s">
        <v>4114</v>
      </c>
      <c r="S1" s="1923" t="s">
        <v>4115</v>
      </c>
      <c r="T1" s="1924" t="s">
        <v>4419</v>
      </c>
      <c r="U1" s="1925" t="s">
        <v>4119</v>
      </c>
      <c r="V1" s="1926" t="s">
        <v>4417</v>
      </c>
      <c r="W1" s="1927" t="s">
        <v>4119</v>
      </c>
      <c r="Z1" s="1928" t="s">
        <v>4228</v>
      </c>
    </row>
    <row r="2" spans="1:26" ht="46.9" customHeight="1">
      <c r="A2" s="1985" t="s">
        <v>4765</v>
      </c>
      <c r="B2" s="3021" t="s">
        <v>510</v>
      </c>
      <c r="C2" s="1987"/>
      <c r="D2" s="1986">
        <v>1</v>
      </c>
      <c r="E2" s="1988">
        <v>43936</v>
      </c>
      <c r="F2" s="1989"/>
      <c r="G2" s="1930" t="s">
        <v>4440</v>
      </c>
      <c r="H2" s="1931" t="s">
        <v>4689</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4714</v>
      </c>
      <c r="U2" s="1937">
        <v>43864</v>
      </c>
      <c r="V2" s="1208" t="s">
        <v>4643</v>
      </c>
      <c r="W2" s="1361">
        <v>43462</v>
      </c>
      <c r="Z2" s="1321" t="s">
        <v>4408</v>
      </c>
    </row>
    <row r="3" spans="1:26" ht="35.1" customHeight="1">
      <c r="A3" s="1975" t="s">
        <v>3861</v>
      </c>
      <c r="B3" s="3022" t="str">
        <f ca="1">IF('2Mong'!G65&gt;0,"X","")</f>
        <v/>
      </c>
      <c r="C3" s="1976" t="str">
        <f t="shared" ref="C3:C11" ca="1" si="0">TEXT(B3,"00")</f>
        <v/>
      </c>
      <c r="D3" s="1977">
        <f ca="1">IF(B3="x",D2+1,D2)</f>
        <v>1</v>
      </c>
      <c r="E3" s="1973">
        <f>E2+F3</f>
        <v>43936</v>
      </c>
      <c r="F3" s="1974"/>
      <c r="G3" s="1930" t="s">
        <v>1648</v>
      </c>
      <c r="H3" s="1931" t="str">
        <f>IFERROR(VLOOKUP(G3,$Q:$U,2,0),"nt")</f>
        <v>Chance</v>
      </c>
      <c r="I3" s="1931" t="str">
        <f t="shared" ref="I3:I13" si="1">H3</f>
        <v>Chance</v>
      </c>
      <c r="J3" s="1939"/>
      <c r="K3" s="1940"/>
      <c r="L3" s="2946" t="str">
        <f t="shared" ref="L3:L20" si="2">IF(N3&gt;0,N3&amp;O3,IFERROR(VLOOKUP(G3,Q:U,4,0),""))</f>
        <v>29653/BB-FCO</v>
      </c>
      <c r="M3" s="1960">
        <f t="shared" ref="M3:M34" si="3">IF(N3&gt;0,$P$1,IFERROR(VLOOKUP(G3,Q:U,5,0),""))</f>
        <v>44166</v>
      </c>
      <c r="N3" s="1208">
        <v>29653</v>
      </c>
      <c r="O3" s="1747" t="str">
        <f t="shared" ref="O3:O34" si="4">VLOOKUP(G3,Q:X,8,0)</f>
        <v>/BB-FCO</v>
      </c>
      <c r="P3" s="1840"/>
      <c r="Q3" s="1935" t="s">
        <v>273</v>
      </c>
      <c r="R3" s="1941" t="s">
        <v>4131</v>
      </c>
      <c r="S3" s="1941" t="s">
        <v>4131</v>
      </c>
      <c r="T3" s="1932" t="s">
        <v>1012</v>
      </c>
      <c r="U3" s="1933" t="s">
        <v>1012</v>
      </c>
      <c r="X3" s="1208" t="s">
        <v>4701</v>
      </c>
      <c r="Z3" s="1942" t="s">
        <v>4453</v>
      </c>
    </row>
    <row r="4" spans="1:26" ht="35.1" customHeight="1">
      <c r="A4" s="1975" t="s">
        <v>2271</v>
      </c>
      <c r="B4" s="3022" t="str">
        <f ca="1">IF('3Tru'!F16,"X","")</f>
        <v/>
      </c>
      <c r="C4" s="1976" t="str">
        <f t="shared" ca="1" si="0"/>
        <v/>
      </c>
      <c r="D4" s="1977">
        <f t="shared" ref="D4:D11" ca="1" si="5">IF(B4="x",D3+1,D3)</f>
        <v>1</v>
      </c>
      <c r="E4" s="1973">
        <f t="shared" ref="E4:E11" si="6">E3+F4</f>
        <v>43940</v>
      </c>
      <c r="F4" s="1974">
        <v>4</v>
      </c>
      <c r="G4" s="1930" t="s">
        <v>1369</v>
      </c>
      <c r="H4" s="1931" t="str">
        <f>IFERROR(VLOOKUP(G4,$Q:$U,2,0),"nt")</f>
        <v>Cooper</v>
      </c>
      <c r="I4" s="1931" t="str">
        <f t="shared" si="1"/>
        <v>Cooper</v>
      </c>
      <c r="J4" s="1939"/>
      <c r="K4" s="1940"/>
      <c r="L4" s="2946" t="str">
        <f t="shared" si="2"/>
        <v>29655/BB-LA</v>
      </c>
      <c r="M4" s="1960">
        <f t="shared" si="3"/>
        <v>44166</v>
      </c>
      <c r="N4" s="1208">
        <v>29655</v>
      </c>
      <c r="O4" s="1747" t="str">
        <f t="shared" si="4"/>
        <v>/BB-LA</v>
      </c>
      <c r="P4" s="1840"/>
      <c r="Q4" s="1935" t="s">
        <v>1009</v>
      </c>
      <c r="R4" s="1941" t="s">
        <v>4131</v>
      </c>
      <c r="S4" s="1941" t="s">
        <v>4131</v>
      </c>
      <c r="T4" s="1943" t="s">
        <v>4559</v>
      </c>
      <c r="U4" s="1937">
        <v>43525</v>
      </c>
      <c r="X4" s="1208" t="s">
        <v>4701</v>
      </c>
      <c r="Z4" s="1942" t="s">
        <v>4121</v>
      </c>
    </row>
    <row r="5" spans="1:26" ht="35.1" customHeight="1">
      <c r="A5" s="1975" t="s">
        <v>4407</v>
      </c>
      <c r="B5" s="3022" t="str">
        <f>IF('5BT'!F18,"X","")</f>
        <v>X</v>
      </c>
      <c r="C5" s="1976" t="str">
        <f t="shared" si="0"/>
        <v>X</v>
      </c>
      <c r="D5" s="1977">
        <f t="shared" ca="1" si="5"/>
        <v>2</v>
      </c>
      <c r="E5" s="1973">
        <f t="shared" si="6"/>
        <v>43940</v>
      </c>
      <c r="F5" s="1974"/>
      <c r="G5" s="1930" t="s">
        <v>6361</v>
      </c>
      <c r="H5" s="1931" t="s">
        <v>7318</v>
      </c>
      <c r="I5" s="1931" t="str">
        <f t="shared" si="1"/>
        <v>Himel</v>
      </c>
      <c r="J5" s="1939" t="s">
        <v>4854</v>
      </c>
      <c r="K5" s="1940">
        <v>43955</v>
      </c>
      <c r="L5" s="2946" t="str">
        <f t="shared" si="2"/>
        <v>29654/BB-ACB</v>
      </c>
      <c r="M5" s="1960">
        <f t="shared" si="3"/>
        <v>44166</v>
      </c>
      <c r="N5" s="1208">
        <v>29654</v>
      </c>
      <c r="O5" s="1747" t="str">
        <f t="shared" si="4"/>
        <v>/BB-ACB</v>
      </c>
      <c r="Q5" s="1935" t="s">
        <v>694</v>
      </c>
      <c r="R5" s="1941" t="s">
        <v>4131</v>
      </c>
      <c r="S5" s="1941" t="s">
        <v>4131</v>
      </c>
      <c r="T5" s="1943" t="s">
        <v>4557</v>
      </c>
      <c r="U5" s="1937">
        <v>43494</v>
      </c>
      <c r="X5" s="1208" t="s">
        <v>4702</v>
      </c>
      <c r="Z5" s="1942" t="s">
        <v>4124</v>
      </c>
    </row>
    <row r="6" spans="1:26" ht="35.1" customHeight="1">
      <c r="A6" s="1978" t="s">
        <v>4409</v>
      </c>
      <c r="B6" s="3022" t="str">
        <f>IF('4Neo'!E33,"X","")</f>
        <v/>
      </c>
      <c r="C6" s="1976" t="str">
        <f t="shared" si="0"/>
        <v/>
      </c>
      <c r="D6" s="1977">
        <f t="shared" ca="1" si="5"/>
        <v>2</v>
      </c>
      <c r="E6" s="1973">
        <f t="shared" si="6"/>
        <v>43940</v>
      </c>
      <c r="F6" s="1974"/>
      <c r="G6" s="1930" t="s">
        <v>693</v>
      </c>
      <c r="H6" s="1931" t="s">
        <v>4129</v>
      </c>
      <c r="I6" s="1931" t="str">
        <f t="shared" si="1"/>
        <v>Minh Long</v>
      </c>
      <c r="J6" s="1939"/>
      <c r="K6" s="1940"/>
      <c r="L6" s="2946" t="str">
        <f t="shared" si="2"/>
        <v>29658/BB-SCĐ</v>
      </c>
      <c r="M6" s="1960">
        <f t="shared" si="3"/>
        <v>44166</v>
      </c>
      <c r="N6" s="1208">
        <v>29658</v>
      </c>
      <c r="O6" s="1747" t="str">
        <f t="shared" si="4"/>
        <v>/BB-SCĐ</v>
      </c>
      <c r="Q6" s="1935" t="s">
        <v>359</v>
      </c>
      <c r="R6" s="1941" t="s">
        <v>4131</v>
      </c>
      <c r="S6" s="1941" t="s">
        <v>4131</v>
      </c>
      <c r="T6" s="1943" t="s">
        <v>4556</v>
      </c>
      <c r="U6" s="1937">
        <v>43665</v>
      </c>
      <c r="X6" s="1208" t="s">
        <v>4702</v>
      </c>
      <c r="Z6" s="1942" t="s">
        <v>4229</v>
      </c>
    </row>
    <row r="7" spans="1:26" ht="35.1" customHeight="1">
      <c r="A7" s="1978" t="s">
        <v>4410</v>
      </c>
      <c r="B7" s="3022" t="s">
        <v>510</v>
      </c>
      <c r="C7" s="1976" t="str">
        <f t="shared" si="0"/>
        <v>x</v>
      </c>
      <c r="D7" s="1977">
        <f t="shared" ca="1" si="5"/>
        <v>3</v>
      </c>
      <c r="E7" s="1973">
        <f t="shared" si="6"/>
        <v>43943</v>
      </c>
      <c r="F7" s="1974">
        <v>3</v>
      </c>
      <c r="G7" s="1930" t="s">
        <v>4825</v>
      </c>
      <c r="H7" s="1931" t="str">
        <f t="shared" ref="H7:H38" si="7">IFERROR(VLOOKUP(G7,$Q:$U,2,0),"nt")</f>
        <v>Cty TNHHSX-TM Dây &amp; Cáp Điện Tài Trường Thành</v>
      </c>
      <c r="I7" s="1931" t="str">
        <f t="shared" si="1"/>
        <v>Cty TNHHSX-TM Dây &amp; Cáp Điện Tài Trường Thành</v>
      </c>
      <c r="J7" s="1939"/>
      <c r="K7" s="1940"/>
      <c r="L7" s="2946" t="str">
        <f t="shared" si="2"/>
        <v>29655/BB-MVC</v>
      </c>
      <c r="M7" s="1960">
        <f t="shared" si="3"/>
        <v>44166</v>
      </c>
      <c r="N7" s="2945">
        <v>29655</v>
      </c>
      <c r="O7" s="1747" t="str">
        <f t="shared" si="4"/>
        <v>/BB-MVC</v>
      </c>
      <c r="Q7" s="1935" t="s">
        <v>103</v>
      </c>
      <c r="R7" s="1941" t="s">
        <v>4131</v>
      </c>
      <c r="S7" s="1941" t="s">
        <v>4131</v>
      </c>
      <c r="T7" s="1943" t="s">
        <v>6316</v>
      </c>
      <c r="U7" s="1937">
        <v>43721</v>
      </c>
      <c r="V7" s="1208" t="s">
        <v>4647</v>
      </c>
      <c r="W7" s="1361">
        <v>43522</v>
      </c>
      <c r="Z7" s="1942" t="s">
        <v>4127</v>
      </c>
    </row>
    <row r="8" spans="1:26" ht="35.1" customHeight="1">
      <c r="A8" s="1975" t="s">
        <v>4772</v>
      </c>
      <c r="B8" s="3022" t="str">
        <f ca="1">IF('7day'!F5,"X","")</f>
        <v/>
      </c>
      <c r="C8" s="1976" t="str">
        <f t="shared" ca="1" si="0"/>
        <v/>
      </c>
      <c r="D8" s="1977">
        <f t="shared" ca="1" si="5"/>
        <v>3</v>
      </c>
      <c r="E8" s="1973">
        <f t="shared" si="6"/>
        <v>43943</v>
      </c>
      <c r="F8" s="1974"/>
      <c r="G8" s="1930" t="s">
        <v>1567</v>
      </c>
      <c r="H8" s="1931" t="str">
        <f t="shared" si="7"/>
        <v>Cty TNHHSX-TM Dây &amp; Cáp Điện Tài Trường Thành</v>
      </c>
      <c r="I8" s="1931" t="str">
        <f t="shared" si="1"/>
        <v>Cty TNHHSX-TM Dây &amp; Cáp Điện Tài Trường Thành</v>
      </c>
      <c r="J8" s="1939" t="s">
        <v>4855</v>
      </c>
      <c r="K8" s="1940">
        <v>43957</v>
      </c>
      <c r="L8" s="2946" t="str">
        <f t="shared" si="2"/>
        <v>29656/BB-LVC</v>
      </c>
      <c r="M8" s="1960">
        <f t="shared" si="3"/>
        <v>44166</v>
      </c>
      <c r="N8" s="2945">
        <v>29656</v>
      </c>
      <c r="O8" s="1747" t="str">
        <f t="shared" si="4"/>
        <v>/BB-LVC</v>
      </c>
      <c r="Q8" s="1938" t="s">
        <v>2270</v>
      </c>
      <c r="R8" s="1941" t="s">
        <v>4131</v>
      </c>
      <c r="S8" s="1941" t="s">
        <v>4131</v>
      </c>
      <c r="T8" s="1943" t="s">
        <v>4558</v>
      </c>
      <c r="U8" s="1937">
        <v>43494</v>
      </c>
      <c r="X8" s="1208" t="s">
        <v>4701</v>
      </c>
      <c r="Z8" s="1942" t="s">
        <v>4133</v>
      </c>
    </row>
    <row r="9" spans="1:26" ht="35.1" customHeight="1">
      <c r="A9" s="1979" t="s">
        <v>4062</v>
      </c>
      <c r="B9" s="3022" t="s">
        <v>510</v>
      </c>
      <c r="C9" s="1976" t="str">
        <f t="shared" si="0"/>
        <v>x</v>
      </c>
      <c r="D9" s="1977">
        <f t="shared" ca="1" si="5"/>
        <v>4</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29657/BB-LVC</v>
      </c>
      <c r="M9" s="1960">
        <f t="shared" si="3"/>
        <v>44166</v>
      </c>
      <c r="N9" s="2945">
        <v>29657</v>
      </c>
      <c r="O9" s="1747" t="str">
        <f t="shared" si="4"/>
        <v>/BB-LVC</v>
      </c>
      <c r="Q9" s="1935" t="s">
        <v>88</v>
      </c>
      <c r="R9" s="1941" t="s">
        <v>4131</v>
      </c>
      <c r="S9" s="1941" t="s">
        <v>4131</v>
      </c>
      <c r="T9" s="1943" t="s">
        <v>4645</v>
      </c>
      <c r="U9" s="1937">
        <v>43665</v>
      </c>
      <c r="V9" s="1208" t="s">
        <v>4644</v>
      </c>
      <c r="W9" s="1361">
        <v>42387</v>
      </c>
      <c r="Z9" s="1942" t="s">
        <v>4403</v>
      </c>
    </row>
    <row r="10" spans="1:26" ht="35.1" customHeight="1">
      <c r="A10" s="1979" t="s">
        <v>4414</v>
      </c>
      <c r="B10" s="3022" t="s">
        <v>510</v>
      </c>
      <c r="C10" s="1976" t="str">
        <f t="shared" si="0"/>
        <v>x</v>
      </c>
      <c r="D10" s="1977">
        <f t="shared" ca="1" si="5"/>
        <v>5</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4859</v>
      </c>
      <c r="K10" s="1940">
        <v>43959</v>
      </c>
      <c r="L10" s="2946" t="str">
        <f t="shared" si="2"/>
        <v>TTT - 061KCS0718/112</v>
      </c>
      <c r="M10" s="1960">
        <f t="shared" si="3"/>
        <v>43721</v>
      </c>
      <c r="N10" s="2945"/>
      <c r="O10" s="1747">
        <f t="shared" si="4"/>
        <v>0</v>
      </c>
      <c r="Q10" s="1935" t="s">
        <v>1355</v>
      </c>
      <c r="R10" s="1941" t="s">
        <v>4131</v>
      </c>
      <c r="S10" s="1941" t="s">
        <v>4131</v>
      </c>
      <c r="T10" s="1943" t="s">
        <v>4555</v>
      </c>
      <c r="U10" s="1937">
        <v>43665</v>
      </c>
      <c r="V10" s="1208" t="s">
        <v>4646</v>
      </c>
      <c r="W10" s="1361">
        <v>42445</v>
      </c>
      <c r="Z10" s="1942" t="s">
        <v>4131</v>
      </c>
    </row>
    <row r="11" spans="1:26" ht="35.1" customHeight="1" thickBot="1">
      <c r="A11" s="1980" t="s">
        <v>4426</v>
      </c>
      <c r="B11" s="3022" t="s">
        <v>510</v>
      </c>
      <c r="C11" s="1981" t="str">
        <f t="shared" si="0"/>
        <v>x</v>
      </c>
      <c r="D11" s="1977">
        <f t="shared" ca="1" si="5"/>
        <v>6</v>
      </c>
      <c r="E11" s="1982">
        <f t="shared" si="6"/>
        <v>43948</v>
      </c>
      <c r="F11" s="1983">
        <v>5</v>
      </c>
      <c r="G11" s="1930" t="str">
        <f>'NT-VT'!A15</f>
        <v>CHI40K</v>
      </c>
      <c r="H11" s="1931" t="str">
        <f t="shared" si="7"/>
        <v>Cty TNHH MTV Đại Thiên An</v>
      </c>
      <c r="I11" s="1931" t="str">
        <f t="shared" si="1"/>
        <v>Cty TNHH MTV Đại Thiên An</v>
      </c>
      <c r="J11" s="1939" t="s">
        <v>4858</v>
      </c>
      <c r="K11" s="1940">
        <v>43959</v>
      </c>
      <c r="L11" s="2946" t="str">
        <f t="shared" si="2"/>
        <v>10.2020/BBXX/DTA-TL</v>
      </c>
      <c r="M11" s="1960">
        <f t="shared" si="3"/>
        <v>44114</v>
      </c>
      <c r="N11" s="2945"/>
      <c r="O11" s="1747">
        <f t="shared" si="4"/>
        <v>0</v>
      </c>
      <c r="Q11" s="2943" t="str">
        <f>F1</f>
        <v>CHI40K</v>
      </c>
      <c r="R11" s="1941" t="s">
        <v>4124</v>
      </c>
      <c r="S11" s="1941" t="s">
        <v>4124</v>
      </c>
      <c r="T11" s="1932" t="s">
        <v>7334</v>
      </c>
      <c r="U11" s="1933">
        <v>44114</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4553</v>
      </c>
      <c r="S13" s="1945" t="s">
        <v>4553</v>
      </c>
      <c r="T13" s="1208" t="s">
        <v>1012</v>
      </c>
      <c r="U13" s="1361" t="s">
        <v>1012</v>
      </c>
      <c r="Z13" s="1942" t="s">
        <v>4126</v>
      </c>
    </row>
    <row r="14" spans="1:26" ht="35.1" customHeight="1">
      <c r="A14" s="1944"/>
      <c r="D14" s="1929"/>
      <c r="E14" s="1208"/>
      <c r="G14" s="1930" t="str">
        <f>'NT-VT'!A18</f>
        <v>B16250</v>
      </c>
      <c r="H14" s="1931"/>
      <c r="I14" s="1931"/>
      <c r="J14" s="1939" t="s">
        <v>4856</v>
      </c>
      <c r="K14" s="1940">
        <v>43959</v>
      </c>
      <c r="L14" s="2946" t="str">
        <f t="shared" si="2"/>
        <v/>
      </c>
      <c r="M14" s="1960" t="str">
        <f t="shared" si="3"/>
        <v/>
      </c>
      <c r="O14" s="1747" t="e">
        <f t="shared" si="4"/>
        <v>#N/A</v>
      </c>
      <c r="Q14" s="1938" t="s">
        <v>864</v>
      </c>
      <c r="R14" s="1945" t="s">
        <v>4553</v>
      </c>
      <c r="S14" s="1945" t="s">
        <v>4553</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4857</v>
      </c>
      <c r="K15" s="1940">
        <v>43959</v>
      </c>
      <c r="L15" s="2946" t="str">
        <f t="shared" si="2"/>
        <v/>
      </c>
      <c r="M15" s="1960" t="str">
        <f t="shared" si="3"/>
        <v/>
      </c>
      <c r="O15" s="1747" t="e">
        <f t="shared" si="4"/>
        <v>#N/A</v>
      </c>
      <c r="Q15" s="1938" t="s">
        <v>949</v>
      </c>
      <c r="R15" s="1941" t="s">
        <v>4126</v>
      </c>
      <c r="S15" s="1941" t="s">
        <v>4127</v>
      </c>
      <c r="T15" s="1208" t="s">
        <v>1012</v>
      </c>
      <c r="U15" s="1361">
        <v>43525</v>
      </c>
      <c r="X15" s="1208" t="s">
        <v>4703</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4642</v>
      </c>
      <c r="U16" s="1361">
        <v>43525</v>
      </c>
      <c r="X16" s="1208" t="s">
        <v>4704</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4648</v>
      </c>
      <c r="U17" s="1361">
        <v>43626</v>
      </c>
      <c r="X17" s="1208" t="s">
        <v>4701</v>
      </c>
      <c r="Z17" s="1942" t="s">
        <v>4467</v>
      </c>
    </row>
    <row r="18" spans="1:26" ht="35.1" customHeight="1">
      <c r="A18" s="1944"/>
      <c r="D18" s="1929"/>
      <c r="G18" s="1930" t="str">
        <f>'NT-VT'!A22</f>
        <v>sl75-2400</v>
      </c>
      <c r="H18" s="1931" t="str">
        <f t="shared" si="7"/>
        <v>nt</v>
      </c>
      <c r="I18" s="1931" t="str">
        <f t="shared" si="8"/>
        <v>nt</v>
      </c>
      <c r="J18" s="1939" t="s">
        <v>4860</v>
      </c>
      <c r="K18" s="1940">
        <v>43954</v>
      </c>
      <c r="L18" s="2946" t="str">
        <f t="shared" si="2"/>
        <v/>
      </c>
      <c r="M18" s="1960" t="str">
        <f t="shared" si="3"/>
        <v/>
      </c>
      <c r="O18" s="1747" t="e">
        <f t="shared" si="4"/>
        <v>#N/A</v>
      </c>
      <c r="Q18" s="1938" t="s">
        <v>1556</v>
      </c>
      <c r="R18" s="1203" t="s">
        <v>4126</v>
      </c>
      <c r="S18" s="1203" t="s">
        <v>4127</v>
      </c>
      <c r="T18" s="1208" t="s">
        <v>1012</v>
      </c>
      <c r="X18" s="1208" t="s">
        <v>4703</v>
      </c>
      <c r="Z18" s="1942" t="s">
        <v>4689</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4705</v>
      </c>
      <c r="U19" s="1361">
        <v>43356</v>
      </c>
      <c r="X19" s="1208" t="s">
        <v>4701</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4704</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4679</v>
      </c>
      <c r="R21" s="1941" t="s">
        <v>4131</v>
      </c>
      <c r="S21" s="1941" t="s">
        <v>4131</v>
      </c>
      <c r="T21" s="1208" t="s">
        <v>1012</v>
      </c>
      <c r="U21" s="1361" t="s">
        <v>1012</v>
      </c>
      <c r="X21" s="1208" t="s">
        <v>4701</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4692</v>
      </c>
      <c r="R22" s="1941" t="s">
        <v>4131</v>
      </c>
      <c r="S22" s="1941" t="s">
        <v>4131</v>
      </c>
      <c r="T22" s="1208" t="s">
        <v>1012</v>
      </c>
      <c r="U22" s="1361" t="s">
        <v>4693</v>
      </c>
      <c r="X22" s="1208" t="s">
        <v>4701</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4706</v>
      </c>
      <c r="R23" s="1941" t="s">
        <v>4131</v>
      </c>
      <c r="S23" s="1941" t="s">
        <v>4131</v>
      </c>
      <c r="T23" s="1208" t="s">
        <v>4707</v>
      </c>
      <c r="U23" s="1361">
        <v>43721</v>
      </c>
      <c r="X23" s="1208" t="s">
        <v>4701</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4708</v>
      </c>
      <c r="U24" s="1361">
        <v>43805</v>
      </c>
      <c r="X24" s="1208" t="s">
        <v>4701</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4709</v>
      </c>
      <c r="R25" s="1941" t="s">
        <v>4131</v>
      </c>
      <c r="S25" s="1941" t="s">
        <v>4131</v>
      </c>
      <c r="T25" s="1208" t="s">
        <v>4710</v>
      </c>
      <c r="U25" s="1361">
        <v>43668</v>
      </c>
      <c r="X25" s="1208" t="s">
        <v>4701</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4711</v>
      </c>
      <c r="U26" s="1361">
        <v>43356</v>
      </c>
      <c r="X26" s="1208" t="s">
        <v>4701</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4714</v>
      </c>
      <c r="U27" s="1937">
        <v>43864</v>
      </c>
      <c r="V27" s="1208" t="s">
        <v>4643</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4712</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4713</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4703</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4715</v>
      </c>
      <c r="U31" s="1361">
        <v>43805</v>
      </c>
      <c r="X31" s="1208" t="s">
        <v>4701</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4703</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4573</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4590</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5010</v>
      </c>
      <c r="R38" s="1941" t="s">
        <v>4131</v>
      </c>
      <c r="S38" s="1941" t="s">
        <v>4131</v>
      </c>
      <c r="U38" s="1361"/>
      <c r="X38" s="1208" t="s">
        <v>4702</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6178</v>
      </c>
      <c r="R39" s="1203" t="s">
        <v>6314</v>
      </c>
      <c r="S39" s="1203" t="s">
        <v>6314</v>
      </c>
      <c r="U39" s="1361"/>
      <c r="X39" s="1208" t="s">
        <v>6315</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6333</v>
      </c>
      <c r="R40" s="1941" t="s">
        <v>4131</v>
      </c>
      <c r="S40" s="1941" t="s">
        <v>4131</v>
      </c>
      <c r="U40" s="1361"/>
      <c r="X40" s="1208" t="s">
        <v>4702</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4703</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6416</v>
      </c>
      <c r="R42" s="1941" t="s">
        <v>4131</v>
      </c>
      <c r="S42" s="1941" t="s">
        <v>4131</v>
      </c>
      <c r="U42" s="1361"/>
      <c r="X42" s="1208" t="s">
        <v>4702</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6415</v>
      </c>
      <c r="R43" s="1941" t="s">
        <v>4131</v>
      </c>
      <c r="S43" s="1941" t="s">
        <v>4131</v>
      </c>
      <c r="U43" s="1361"/>
      <c r="X43" s="1208" t="s">
        <v>4702</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4825</v>
      </c>
      <c r="R44" s="1941" t="s">
        <v>4131</v>
      </c>
      <c r="S44" s="1941" t="s">
        <v>4131</v>
      </c>
      <c r="U44" s="1361"/>
      <c r="X44" s="1208" t="s">
        <v>4702</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6401</v>
      </c>
      <c r="R45" s="1941" t="s">
        <v>4131</v>
      </c>
      <c r="S45" s="1941" t="s">
        <v>4131</v>
      </c>
      <c r="U45" s="1361"/>
      <c r="X45" s="1208" t="s">
        <v>4702</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4712</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6361</v>
      </c>
      <c r="R48" s="1203" t="s">
        <v>6314</v>
      </c>
      <c r="S48" s="1203" t="s">
        <v>6314</v>
      </c>
      <c r="X48" s="1208" t="s">
        <v>6315</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6478</v>
      </c>
      <c r="R49" s="1941" t="s">
        <v>4131</v>
      </c>
      <c r="S49" s="1941" t="s">
        <v>4131</v>
      </c>
      <c r="X49" s="1208" t="s">
        <v>4702</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e">
        <f>'NT-VT'!A69</f>
        <v>#N/A</v>
      </c>
      <c r="H65" s="1931" t="str">
        <f t="shared" si="13"/>
        <v>nt</v>
      </c>
      <c r="I65" s="1931" t="str">
        <f t="shared" si="14"/>
        <v>nt</v>
      </c>
      <c r="J65" s="1939" t="str">
        <f t="shared" si="15"/>
        <v>nt</v>
      </c>
      <c r="K65" s="1940" t="str">
        <f t="shared" si="16"/>
        <v>nt</v>
      </c>
      <c r="L65" s="1838"/>
      <c r="M65" s="1960" t="str">
        <f t="shared" si="11"/>
        <v/>
      </c>
      <c r="O65" s="1747" t="e">
        <f t="shared" si="12"/>
        <v>#N/A</v>
      </c>
      <c r="P65" s="1747"/>
      <c r="Q65" s="1938"/>
      <c r="R65" s="1203"/>
      <c r="S65" s="1203"/>
      <c r="U65" s="1361"/>
    </row>
    <row r="66" spans="2:21" s="1208" customFormat="1" ht="35.1" customHeight="1">
      <c r="B66" s="1606"/>
      <c r="E66" s="1938"/>
      <c r="G66" s="1930" t="e">
        <f>'NT-VT'!A70</f>
        <v>#N/A</v>
      </c>
      <c r="H66" s="1931" t="str">
        <f t="shared" si="13"/>
        <v>nt</v>
      </c>
      <c r="I66" s="1931" t="str">
        <f t="shared" si="14"/>
        <v>nt</v>
      </c>
      <c r="J66" s="1939" t="str">
        <f t="shared" si="15"/>
        <v>nt</v>
      </c>
      <c r="K66" s="1940" t="str">
        <f t="shared" si="16"/>
        <v>nt</v>
      </c>
      <c r="L66" s="1838"/>
      <c r="M66" s="1960" t="str">
        <f t="shared" si="11"/>
        <v/>
      </c>
      <c r="O66" s="1747" t="e">
        <f t="shared" si="12"/>
        <v>#N/A</v>
      </c>
      <c r="P66" s="1747"/>
      <c r="Q66" s="1938"/>
      <c r="R66" s="1203"/>
      <c r="S66" s="1203"/>
      <c r="U66" s="1361"/>
    </row>
    <row r="67" spans="2:21" s="1208" customFormat="1" ht="35.1" customHeight="1">
      <c r="B67" s="1606"/>
      <c r="E67" s="1938"/>
      <c r="G67" s="1930" t="e">
        <f>'NT-VT'!A71</f>
        <v>#N/A</v>
      </c>
      <c r="H67" s="1931" t="str">
        <f t="shared" si="13"/>
        <v>nt</v>
      </c>
      <c r="I67" s="1931" t="str">
        <f t="shared" si="14"/>
        <v>nt</v>
      </c>
      <c r="J67" s="1939" t="str">
        <f t="shared" si="15"/>
        <v>nt</v>
      </c>
      <c r="K67" s="1940" t="str">
        <f t="shared" si="16"/>
        <v>nt</v>
      </c>
      <c r="L67" s="1838"/>
      <c r="M67" s="1960" t="str">
        <f t="shared" ref="M67:M98" si="17">IF(N67&gt;0,$P$1,IFERROR(VLOOKUP(G67,Q:U,5,0),""))</f>
        <v/>
      </c>
      <c r="O67" s="1747" t="e">
        <f t="shared" ref="O67:O83" si="18">VLOOKUP(G67,Q:X,8,0)</f>
        <v>#N/A</v>
      </c>
      <c r="P67" s="1747"/>
      <c r="Q67" s="1938"/>
      <c r="R67" s="1203"/>
      <c r="S67" s="1203"/>
      <c r="U67" s="1361"/>
    </row>
    <row r="68" spans="2:21" s="1208" customFormat="1" ht="35.1" customHeight="1">
      <c r="B68" s="1606"/>
      <c r="E68" s="1938"/>
      <c r="G68" s="1930" t="e">
        <f>'NT-VT'!A72</f>
        <v>#N/A</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e">
        <f>'NT-VT'!A73</f>
        <v>#N/A</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e">
        <f>'NT-VT'!A74</f>
        <v>#N/A</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e">
        <f>'NT-VT'!A75</f>
        <v>#N/A</v>
      </c>
      <c r="H71" s="1931" t="str">
        <f t="shared" ref="H71:H102" si="19">IFERROR(VLOOKUP(G71,$Q:$U,2,0),"nt")</f>
        <v>nt</v>
      </c>
      <c r="I71" s="1931" t="str">
        <f t="shared" si="14"/>
        <v>nt</v>
      </c>
      <c r="J71" s="1939" t="str">
        <f t="shared" si="15"/>
        <v>nt</v>
      </c>
      <c r="K71" s="1940" t="str">
        <f t="shared" si="16"/>
        <v>nt</v>
      </c>
      <c r="L71" s="1838"/>
      <c r="M71" s="1960" t="str">
        <f t="shared" si="17"/>
        <v/>
      </c>
      <c r="O71" s="1747" t="e">
        <f t="shared" si="18"/>
        <v>#N/A</v>
      </c>
      <c r="P71" s="1747"/>
      <c r="Q71" s="1938"/>
      <c r="R71" s="1203"/>
      <c r="S71" s="1203"/>
      <c r="U71" s="1361"/>
    </row>
    <row r="72" spans="2:21" s="1208" customFormat="1" ht="35.1" customHeight="1">
      <c r="B72" s="1606"/>
      <c r="E72" s="1938"/>
      <c r="G72" s="1930" t="e">
        <f>'NT-VT'!A76</f>
        <v>#N/A</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e">
        <f>'NT-VT'!A77</f>
        <v>#N/A</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e">
        <f>'NT-VT'!A78</f>
        <v>#N/A</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e">
        <f>'NT-VT'!A79</f>
        <v>#N/A</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e">
        <f>'NT-VT'!A80</f>
        <v>#N/A</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e">
        <f>'NT-VT'!A81</f>
        <v>#N/A</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e">
        <f>'NT-VT'!A82</f>
        <v>#N/A</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e">
        <f>'NT-VT'!A83</f>
        <v>#N/A</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e">
        <f>'NT-VT'!A84</f>
        <v>#N/A</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e">
        <f>'NT-VT'!A85</f>
        <v>#N/A</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e">
        <f>'NT-VT'!A86</f>
        <v>#N/A</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e">
        <f>'NT-VT'!A87</f>
        <v>#N/A</v>
      </c>
      <c r="H83" s="1931" t="str">
        <f t="shared" si="19"/>
        <v>nt</v>
      </c>
      <c r="I83" s="1931" t="str">
        <f t="shared" si="20"/>
        <v>nt</v>
      </c>
      <c r="J83" s="1939" t="str">
        <f t="shared" si="15"/>
        <v>nt</v>
      </c>
      <c r="K83" s="1940" t="str">
        <f t="shared" si="16"/>
        <v>nt</v>
      </c>
      <c r="L83" s="1838"/>
      <c r="M83" s="1960" t="str">
        <f t="shared" si="17"/>
        <v/>
      </c>
      <c r="O83" s="1747" t="e">
        <f t="shared" si="18"/>
        <v>#N/A</v>
      </c>
      <c r="P83" s="1747"/>
      <c r="Q83" s="1938"/>
      <c r="R83" s="1203"/>
      <c r="S83" s="1203"/>
      <c r="U83" s="1361"/>
    </row>
    <row r="84" spans="2:21" s="1208" customFormat="1" ht="35.1" customHeight="1">
      <c r="B84" s="1606"/>
      <c r="E84" s="1938"/>
      <c r="G84" s="1930" t="e">
        <f>'NT-VT'!A88</f>
        <v>#N/A</v>
      </c>
      <c r="H84" s="1931" t="str">
        <f t="shared" si="19"/>
        <v>nt</v>
      </c>
      <c r="I84" s="1931" t="str">
        <f t="shared" si="20"/>
        <v>nt</v>
      </c>
      <c r="J84" s="1939" t="str">
        <f t="shared" si="15"/>
        <v>nt</v>
      </c>
      <c r="K84" s="1940" t="str">
        <f t="shared" si="16"/>
        <v>nt</v>
      </c>
      <c r="L84" s="1838"/>
      <c r="M84" s="1960" t="str">
        <f t="shared" si="17"/>
        <v/>
      </c>
      <c r="O84" s="1747"/>
      <c r="P84" s="1747"/>
      <c r="Q84" s="1938"/>
      <c r="R84" s="1203"/>
      <c r="S84" s="1203"/>
      <c r="U84" s="1361"/>
    </row>
    <row r="85" spans="2:21" s="1208" customFormat="1" ht="35.1" customHeight="1">
      <c r="B85" s="1606"/>
      <c r="E85" s="1938"/>
      <c r="G85" s="1930" t="e">
        <f>'NT-VT'!A89</f>
        <v>#N/A</v>
      </c>
      <c r="H85" s="1931" t="str">
        <f t="shared" si="19"/>
        <v>nt</v>
      </c>
      <c r="I85" s="1931" t="str">
        <f t="shared" si="20"/>
        <v>nt</v>
      </c>
      <c r="J85" s="1939" t="str">
        <f t="shared" si="15"/>
        <v>nt</v>
      </c>
      <c r="K85" s="1940" t="str">
        <f t="shared" si="16"/>
        <v>nt</v>
      </c>
      <c r="L85" s="1838"/>
      <c r="M85" s="1960" t="str">
        <f t="shared" si="17"/>
        <v/>
      </c>
      <c r="O85" s="1747"/>
      <c r="P85" s="1747"/>
      <c r="Q85" s="1938"/>
      <c r="R85" s="1203"/>
      <c r="S85" s="1203"/>
      <c r="U85" s="1361"/>
    </row>
    <row r="86" spans="2:21" s="1208" customFormat="1" ht="35.1" customHeight="1">
      <c r="B86" s="1606"/>
      <c r="E86" s="1938"/>
      <c r="G86" s="1930" t="e">
        <f>'NT-VT'!A90</f>
        <v>#N/A</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e">
        <f>'NT-VT'!A91</f>
        <v>#N/A</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e">
        <f>'NT-VT'!A92</f>
        <v>#N/A</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e">
        <f>'NT-VT'!A93</f>
        <v>#N/A</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e">
        <f>'NT-VT'!A94</f>
        <v>#N/A</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e">
        <f>'NT-VT'!A95</f>
        <v>#N/A</v>
      </c>
      <c r="H91" s="1931" t="str">
        <f t="shared" si="19"/>
        <v>nt</v>
      </c>
      <c r="I91" s="1931" t="str">
        <f t="shared" si="20"/>
        <v>nt</v>
      </c>
      <c r="J91" s="1939" t="str">
        <f t="shared" si="21"/>
        <v>nt</v>
      </c>
      <c r="K91" s="1940" t="str">
        <f t="shared" si="22"/>
        <v>nt</v>
      </c>
      <c r="L91" s="1838"/>
      <c r="M91" s="1960" t="str">
        <f t="shared" si="17"/>
        <v/>
      </c>
      <c r="O91" s="1747"/>
      <c r="P91" s="1747"/>
      <c r="Q91" s="1938"/>
      <c r="R91" s="1203"/>
      <c r="S91" s="1203"/>
      <c r="U91" s="1361"/>
    </row>
    <row r="92" spans="2:21" s="1208" customFormat="1" ht="35.1" customHeight="1">
      <c r="B92" s="1606"/>
      <c r="E92" s="1938"/>
      <c r="G92" s="1930" t="e">
        <f>'NT-VT'!A96</f>
        <v>#N/A</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e">
        <f>'NT-VT'!A97</f>
        <v>#N/A</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e">
        <f>'NT-VT'!A98</f>
        <v>#N/A</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e">
        <f>'NT-VT'!A99</f>
        <v>#N/A</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e">
        <f>'NT-VT'!A100</f>
        <v>#N/A</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e">
        <f>'NT-VT'!A101</f>
        <v>#N/A</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e">
        <f>'NT-VT'!A102</f>
        <v>#N/A</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e">
        <f>'NT-VT'!A103</f>
        <v>#N/A</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e">
        <f>'NT-VT'!A104</f>
        <v>#N/A</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e">
        <f>'NT-VT'!A105</f>
        <v>#N/A</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e">
        <f>'NT-VT'!A106</f>
        <v>#N/A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e">
        <f>'NT-VT'!A107</f>
        <v>#N/A</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e">
        <f>'NT-VT'!A108</f>
        <v>#N/A</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e">
        <f>'NT-VT'!A109</f>
        <v>#N/A</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e">
        <f>'NT-VT'!A110</f>
        <v>#N/A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e">
        <f>'NT-VT'!A111</f>
        <v>#N/A</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e">
        <f>'NT-VT'!A112</f>
        <v>#N/A</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e">
        <f>'NT-VT'!A113</f>
        <v>#N/A</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e">
        <f>'NT-VT'!A114</f>
        <v>#N/A</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e">
        <f>'NT-VT'!A115</f>
        <v>#N/A</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e">
        <f>'NT-VT'!A116</f>
        <v>#N/A</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e">
        <f>'NT-VT'!A117</f>
        <v>#N/A</v>
      </c>
      <c r="H113" s="1931" t="str">
        <f t="shared" si="24"/>
        <v>nt</v>
      </c>
      <c r="I113" s="1931" t="str">
        <f t="shared" si="25"/>
        <v>nt</v>
      </c>
      <c r="J113" s="1939" t="str">
        <f t="shared" si="21"/>
        <v>nt</v>
      </c>
      <c r="K113" s="1940" t="str">
        <f t="shared" si="22"/>
        <v>nt</v>
      </c>
      <c r="L113" s="1838"/>
      <c r="M113" s="1960" t="str">
        <f t="shared" si="23"/>
        <v/>
      </c>
      <c r="O113" s="1747"/>
      <c r="P113" s="1747"/>
      <c r="Q113" s="1938"/>
      <c r="R113" s="1203"/>
      <c r="S113" s="1203"/>
      <c r="U113" s="1361"/>
    </row>
    <row r="114" spans="2:21" s="1208" customFormat="1" ht="35.1" customHeight="1">
      <c r="B114" s="1606"/>
      <c r="E114" s="1938"/>
      <c r="G114" s="1930" t="e">
        <f>'NT-VT'!A118</f>
        <v>#N/A</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1" priority="30"/>
  </conditionalFormatting>
  <conditionalFormatting sqref="G44">
    <cfRule type="duplicateValues" dxfId="40" priority="29"/>
  </conditionalFormatting>
  <conditionalFormatting sqref="G47">
    <cfRule type="duplicateValues" dxfId="39" priority="28"/>
  </conditionalFormatting>
  <conditionalFormatting sqref="G52">
    <cfRule type="duplicateValues" dxfId="38" priority="27"/>
  </conditionalFormatting>
  <conditionalFormatting sqref="G53:G56">
    <cfRule type="duplicateValues" dxfId="37" priority="26"/>
  </conditionalFormatting>
  <conditionalFormatting sqref="G56:G58">
    <cfRule type="duplicateValues" dxfId="36" priority="25"/>
  </conditionalFormatting>
  <conditionalFormatting sqref="G43">
    <cfRule type="duplicateValues" dxfId="35" priority="24"/>
  </conditionalFormatting>
  <conditionalFormatting sqref="G203:G1048576 G149:G193 G1:G145">
    <cfRule type="duplicateValues" dxfId="34" priority="23"/>
  </conditionalFormatting>
  <conditionalFormatting sqref="Q23 Q33 Q1:Q10 Q35:Q39 Q42:Q45 Q47 Q25:Q30 Q12:Q21 Q50:Q1048576">
    <cfRule type="duplicateValues" dxfId="33" priority="22"/>
  </conditionalFormatting>
  <conditionalFormatting sqref="Q22">
    <cfRule type="duplicateValues" dxfId="32" priority="21"/>
  </conditionalFormatting>
  <conditionalFormatting sqref="Q24">
    <cfRule type="duplicateValues" dxfId="31" priority="20"/>
  </conditionalFormatting>
  <conditionalFormatting sqref="Q31">
    <cfRule type="duplicateValues" dxfId="30" priority="19"/>
  </conditionalFormatting>
  <conditionalFormatting sqref="Q32">
    <cfRule type="duplicateValues" dxfId="29" priority="18"/>
  </conditionalFormatting>
  <conditionalFormatting sqref="Q34">
    <cfRule type="duplicateValues" dxfId="28" priority="17"/>
  </conditionalFormatting>
  <conditionalFormatting sqref="Q41">
    <cfRule type="duplicateValues" dxfId="27" priority="15"/>
  </conditionalFormatting>
  <conditionalFormatting sqref="Q40">
    <cfRule type="duplicateValues" dxfId="26" priority="14"/>
  </conditionalFormatting>
  <conditionalFormatting sqref="Q46">
    <cfRule type="duplicateValues" dxfId="25" priority="13"/>
  </conditionalFormatting>
  <conditionalFormatting sqref="Q11">
    <cfRule type="duplicateValues" dxfId="24" priority="12"/>
  </conditionalFormatting>
  <conditionalFormatting sqref="Q11">
    <cfRule type="duplicateValues" dxfId="23" priority="11"/>
  </conditionalFormatting>
  <conditionalFormatting sqref="Q48">
    <cfRule type="duplicateValues" dxfId="22" priority="10"/>
  </conditionalFormatting>
  <conditionalFormatting sqref="G1:G135">
    <cfRule type="duplicateValues" dxfId="21" priority="9"/>
  </conditionalFormatting>
  <conditionalFormatting sqref="Q49">
    <cfRule type="duplicateValues" dxfId="20" priority="8"/>
  </conditionalFormatting>
  <conditionalFormatting sqref="G45">
    <cfRule type="duplicateValues" dxfId="19" priority="7"/>
  </conditionalFormatting>
  <conditionalFormatting sqref="G48">
    <cfRule type="duplicateValues" dxfId="18" priority="6"/>
  </conditionalFormatting>
  <conditionalFormatting sqref="G53">
    <cfRule type="duplicateValues" dxfId="17" priority="5"/>
  </conditionalFormatting>
  <conditionalFormatting sqref="G44">
    <cfRule type="duplicateValues" dxfId="16" priority="4"/>
  </conditionalFormatting>
  <conditionalFormatting sqref="F1">
    <cfRule type="duplicateValues" dxfId="15" priority="3"/>
  </conditionalFormatting>
  <conditionalFormatting sqref="F1">
    <cfRule type="duplicateValues" dxfId="14" priority="2"/>
  </conditionalFormatting>
  <conditionalFormatting sqref="F1">
    <cfRule type="duplicateValues" dxfId="13"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F2454" sqref="F2454"/>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7"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90"/>
      <c r="B1" s="3245" t="s">
        <v>4109</v>
      </c>
      <c r="C1" s="3245"/>
      <c r="D1" s="3245"/>
      <c r="E1" s="3245"/>
      <c r="F1" s="3245"/>
      <c r="G1" s="3245"/>
      <c r="H1" s="3245"/>
      <c r="I1" s="3245"/>
      <c r="J1" s="3245"/>
      <c r="K1" s="3246"/>
      <c r="L1" s="3245"/>
      <c r="M1" s="3245"/>
      <c r="N1" s="3245"/>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ADE Garnet</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7" t="str">
        <f>WORD!Z2&amp;", ngày            tháng           năm 2020"</f>
        <v>Xuân Thành, ngày            tháng           năm 2020</v>
      </c>
      <c r="C3" s="3247"/>
      <c r="D3" s="3247"/>
      <c r="E3" s="3247"/>
      <c r="F3" s="3247"/>
      <c r="G3" s="3247"/>
      <c r="H3" s="3248"/>
      <c r="I3" s="3248"/>
      <c r="J3" s="3247"/>
      <c r="K3" s="3249"/>
      <c r="L3" s="3247"/>
      <c r="M3" s="3247"/>
      <c r="N3" s="3247"/>
      <c r="O3" s="936"/>
      <c r="P3" s="936"/>
      <c r="Q3" s="1359"/>
      <c r="R3" s="1200"/>
      <c r="S3" s="1200"/>
      <c r="T3" s="1200"/>
      <c r="U3" s="1200"/>
      <c r="V3" s="1200"/>
      <c r="W3" s="1200"/>
      <c r="X3" s="1200"/>
      <c r="Y3" s="1200"/>
      <c r="Z3" s="1200"/>
      <c r="AA3" s="1200"/>
    </row>
    <row r="4" spans="1:27" s="823" customFormat="1" ht="44.25" customHeight="1">
      <c r="A4" s="1346"/>
      <c r="B4" s="3244" t="s">
        <v>1704</v>
      </c>
      <c r="C4" s="3244" t="s">
        <v>4111</v>
      </c>
      <c r="D4" s="3244" t="s">
        <v>4112</v>
      </c>
      <c r="E4" s="3244" t="s">
        <v>4113</v>
      </c>
      <c r="F4" s="3244" t="s">
        <v>4114</v>
      </c>
      <c r="G4" s="3244" t="s">
        <v>4115</v>
      </c>
      <c r="H4" s="3244" t="s">
        <v>4418</v>
      </c>
      <c r="I4" s="3244"/>
      <c r="J4" s="3244" t="s">
        <v>4116</v>
      </c>
      <c r="K4" s="3250"/>
      <c r="L4" s="3244" t="s">
        <v>6432</v>
      </c>
      <c r="M4" s="3244"/>
      <c r="N4" s="1342" t="s">
        <v>4117</v>
      </c>
      <c r="O4" s="1348"/>
      <c r="P4" s="1309" t="s">
        <v>4405</v>
      </c>
      <c r="Q4" s="1310"/>
      <c r="R4" s="1347"/>
      <c r="S4" s="822"/>
      <c r="T4" s="822"/>
      <c r="U4" s="822"/>
      <c r="V4" s="822"/>
      <c r="W4" s="822"/>
      <c r="X4" s="822"/>
      <c r="Y4" s="822"/>
      <c r="Z4" s="822"/>
      <c r="AA4" s="822"/>
    </row>
    <row r="5" spans="1:27" s="823" customFormat="1" ht="24.95" customHeight="1">
      <c r="A5" s="1346"/>
      <c r="B5" s="3244"/>
      <c r="C5" s="3244"/>
      <c r="D5" s="3244"/>
      <c r="E5" s="3244"/>
      <c r="F5" s="3244"/>
      <c r="G5" s="3244"/>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 customHeight="1">
      <c r="A7" s="1917" t="str">
        <f>VLOOKUP(ROW()-ROW($A$5),TongHopKL!A:B,2,0)</f>
        <v>FCO100-22</v>
      </c>
      <c r="B7" s="1592">
        <f>SUM($O$6:O7)</f>
        <v>2</v>
      </c>
      <c r="C7" s="1593" t="str">
        <f>(VLOOKUP(A7,TongHopKL!B:F,5,0))</f>
        <v>FCO 24kV - 100A</v>
      </c>
      <c r="D7" s="1594" t="str">
        <f>IFERROR(VLOOKUP(A7,DG!A:D,4,0),0)</f>
        <v>cái</v>
      </c>
      <c r="E7" s="1595">
        <f>SUMIF(TongHopKL!B:B,'NT-VT'!A7,ThiCong)</f>
        <v>3</v>
      </c>
      <c r="F7" s="1592" t="s">
        <v>4123</v>
      </c>
      <c r="G7" s="1592" t="str">
        <f>IFERROR(VLOOKUP(A7,Solieu!G:M,3,0),"")</f>
        <v>Chance</v>
      </c>
      <c r="H7" s="1735" t="s">
        <v>6433</v>
      </c>
      <c r="I7" s="1596">
        <v>44091</v>
      </c>
      <c r="J7" s="1597">
        <f>IFERROR(VLOOKUP(A7,Solieu!G:M,4,0),"")</f>
        <v>0</v>
      </c>
      <c r="K7" s="1598">
        <f>IFERROR(VLOOKUP(A7,Solieu!G:M,5,0),"")</f>
        <v>0</v>
      </c>
      <c r="L7" s="1735" t="str">
        <f>IFERROR(VLOOKUP(A7,Solieu!G:M,6,0),"")</f>
        <v>29653/BB-FCO</v>
      </c>
      <c r="M7" s="1596">
        <f>IFERROR(VLOOKUP(A7,Solieu!G:M,7,0),"")</f>
        <v>44166</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 customHeight="1">
      <c r="A8" s="1917" t="str">
        <f>VLOOKUP(ROW()-ROW($A$5),TongHopKL!A:B,2,0)</f>
        <v>LA18</v>
      </c>
      <c r="B8" s="1592">
        <f>SUM($O$6:O8)</f>
        <v>3</v>
      </c>
      <c r="C8" s="1593" t="str">
        <f>(VLOOKUP(A8,TongHopKL!B:F,5,0))</f>
        <v>Chống sét van LA-18KV-10KA</v>
      </c>
      <c r="D8" s="1594" t="str">
        <f>IFERROR(VLOOKUP(A8,DG!A:D,4,0),0)</f>
        <v>cái</v>
      </c>
      <c r="E8" s="1595">
        <f>SUMIF(TongHopKL!B:B,'NT-VT'!A8,ThiCong)</f>
        <v>6</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29655/BB-LA</v>
      </c>
      <c r="M8" s="1596">
        <f>IFERROR(VLOOKUP(A8,Solieu!G:M,7,0),"")</f>
        <v>44166</v>
      </c>
      <c r="N8" s="1191" t="s">
        <v>4122</v>
      </c>
      <c r="O8" s="1349">
        <f t="shared" si="0"/>
        <v>1</v>
      </c>
      <c r="P8" s="52" t="e">
        <f>VLOOKUP(A8,TongHopKL!D:M,8,0)</f>
        <v>#N/A</v>
      </c>
      <c r="Q8" s="1311"/>
      <c r="R8" s="1350"/>
      <c r="S8" s="824"/>
      <c r="T8" s="825"/>
      <c r="U8" s="822"/>
      <c r="V8" s="822"/>
      <c r="W8" s="822"/>
      <c r="X8" s="822"/>
      <c r="Y8" s="822"/>
      <c r="Z8" s="822"/>
      <c r="AA8" s="822"/>
    </row>
    <row r="9" spans="1:27" s="823" customFormat="1" ht="34.9"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29654/BB-ACB</v>
      </c>
      <c r="M9" s="1596">
        <f>IFERROR(VLOOKUP(A9,Solieu!G:M,7,0),"")</f>
        <v>44166</v>
      </c>
      <c r="N9" s="1191" t="s">
        <v>4122</v>
      </c>
      <c r="O9" s="1349">
        <f t="shared" si="0"/>
        <v>1</v>
      </c>
      <c r="P9" s="52" t="e">
        <f>VLOOKUP(A9,TongHopKL!D:M,8,0)</f>
        <v>#N/A</v>
      </c>
      <c r="Q9" s="1311"/>
      <c r="R9" s="1347"/>
      <c r="S9" s="822"/>
      <c r="T9" s="825"/>
      <c r="U9" s="822"/>
      <c r="V9" s="822"/>
      <c r="W9" s="822"/>
      <c r="X9" s="822"/>
      <c r="Y9" s="822"/>
      <c r="Z9" s="822"/>
      <c r="AA9" s="822"/>
    </row>
    <row r="10" spans="1:27" s="823" customFormat="1" ht="34.9"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6</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29658/BB-SCĐ</v>
      </c>
      <c r="M10" s="1596">
        <f>IFERROR(VLOOKUP(A10,Solieu!G:M,7,0),"")</f>
        <v>44166</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36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29655/BB-MVC</v>
      </c>
      <c r="M11" s="1596">
        <f>IFERROR(VLOOKUP(A11,Solieu!G:M,7,0),"")</f>
        <v>44166</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29656/BB-LVC</v>
      </c>
      <c r="M12" s="1596">
        <f>IFERROR(VLOOKUP(A12,Solieu!G:M,7,0),"")</f>
        <v>44166</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29657/BB-LVC</v>
      </c>
      <c r="M13" s="1596">
        <f>IFERROR(VLOOKUP(A13,Solieu!G:M,7,0),"")</f>
        <v>44166</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 customHeight="1">
      <c r="A14" s="1917" t="str">
        <f>VLOOKUP(ROW()-ROW($A$5),TongHopKL!A:B,2,0)</f>
        <v>M25</v>
      </c>
      <c r="B14" s="1592">
        <f>SUM($O$6:O14)</f>
        <v>9</v>
      </c>
      <c r="C14" s="1593" t="str">
        <f>(VLOOKUP(A14,TongHopKL!B:F,5,0))</f>
        <v>Cáp đồng trần M25mm2</v>
      </c>
      <c r="D14" s="1594" t="str">
        <f>IFERROR(VLOOKUP(A14,DG!A:D,4,0),0)</f>
        <v>kg</v>
      </c>
      <c r="E14" s="1595">
        <f>SUMIF(TongHopKL!B:B,'NT-VT'!A14,ThiCong)</f>
        <v>11.87</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10.2020/BBXX/DTA-TL</v>
      </c>
      <c r="M15" s="1596">
        <f>IFERROR(VLOOKUP(A15,Solieu!G:M,7,0),"")</f>
        <v>44114</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1</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1</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2</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2</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 customHeight="1">
      <c r="A22" s="1917" t="str">
        <f>VLOOKUP(ROW()-ROW($A$5),TongHopKL!A:B,2,0)</f>
        <v>sl75-2400</v>
      </c>
      <c r="B22" s="1592">
        <f>SUM($O$6:O22)</f>
        <v>17</v>
      </c>
      <c r="C22" s="1593" t="str">
        <f>(VLOOKUP(A22,TongHopKL!B:F,5,0))</f>
        <v>Sắt góc L75 x75 x8 x</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 customHeight="1">
      <c r="A23" s="1917" t="str">
        <f>VLOOKUP(ROW()-ROW($A$5),TongHopKL!A:B,2,0)</f>
        <v>sl50-920</v>
      </c>
      <c r="B23" s="1592">
        <f>SUM($O$6:O23)</f>
        <v>18</v>
      </c>
      <c r="C23" s="1593" t="str">
        <f>(VLOOKUP(A23,TongHopKL!B:F,5,0))</f>
        <v>Sắt góc L50 x50 x5 x</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8</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8</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10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11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 customHeight="1">
      <c r="A39" s="1917" t="str">
        <f>VLOOKUP(ROW()-ROW($A$5),TongHopKL!A:B,2,0)</f>
        <v>CSD</v>
      </c>
      <c r="B39" s="1592">
        <f>SUM($O$6:O39)</f>
        <v>34</v>
      </c>
      <c r="C39" s="1593" t="str">
        <f>(VLOOKUP(A39,TongHopKL!B:F,5,0))</f>
        <v>Chân sứ đứng D20</v>
      </c>
      <c r="D39" s="1594" t="str">
        <f>IFERROR(VLOOKUP(A39,DG!A:D,4,0),0)</f>
        <v>cái</v>
      </c>
      <c r="E39" s="1595">
        <f>SUMIF(TongHopKL!B:B,'NT-VT'!A39,ThiCong)</f>
        <v>6</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6</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5</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 customHeight="1">
      <c r="A58" s="1917" t="str">
        <f>VLOOKUP(ROW()-ROW($A$5),TongHopKL!A:B,2,0)</f>
        <v>PVC60</v>
      </c>
      <c r="B58" s="1592">
        <f>SUM($O$6:O58)</f>
        <v>53</v>
      </c>
      <c r="C58" s="1593" t="str">
        <f>(VLOOKUP(A58,TongHopKL!B:F,5,0))</f>
        <v>Ống PVC D60x2,8mm</v>
      </c>
      <c r="D58" s="1594" t="str">
        <f>IFERROR(VLOOKUP(A58,DG!A:D,4,0),0)</f>
        <v>m</v>
      </c>
      <c r="E58" s="1595">
        <f>SUMIF(TongHopKL!B:B,'NT-VT'!A58,ThiCong)</f>
        <v>18</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 customHeight="1">
      <c r="A60" s="1917" t="str">
        <f>VLOOKUP(ROW()-ROW($A$5),TongHopKL!A:B,2,0)</f>
        <v>CUT60</v>
      </c>
      <c r="B60" s="1592">
        <f>SUM($O$6:O60)</f>
        <v>55</v>
      </c>
      <c r="C60" s="1593" t="str">
        <f>(VLOOKUP(A60,TongHopKL!B:F,5,0))</f>
        <v>Co 90 độ PVC 60</v>
      </c>
      <c r="D60" s="1594" t="str">
        <f>IFERROR(VLOOKUP(A60,DG!A:D,4,0),0)</f>
        <v>cái</v>
      </c>
      <c r="E60" s="1595">
        <f>SUMIF(TongHopKL!B:B,'NT-VT'!A60,ThiCong)</f>
        <v>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 hidden="1" customHeight="1">
      <c r="A69" s="1917" t="e">
        <f>VLOOKUP(ROW()-ROW($A$5),TongHopKL!A:B,2,0)</f>
        <v>#N/A</v>
      </c>
      <c r="B69" s="1592">
        <f>SUM($O$6:O69)</f>
        <v>63</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35" t="str">
        <f>IFERROR(VLOOKUP(A69,Solieu!G:M,6,0),"")</f>
        <v/>
      </c>
      <c r="M69" s="1596" t="str">
        <f>IFERROR(VLOOKUP(A69,Solieu!G:M,7,0),"")</f>
        <v/>
      </c>
      <c r="N69" s="1191" t="s">
        <v>4122</v>
      </c>
      <c r="O69" s="1349" t="str">
        <f t="shared" si="0"/>
        <v/>
      </c>
      <c r="P69" s="1187"/>
      <c r="Q69" s="1308"/>
      <c r="R69" s="1350"/>
      <c r="S69" s="822"/>
      <c r="T69" s="822"/>
      <c r="U69" s="822"/>
      <c r="V69" s="822"/>
      <c r="W69" s="822"/>
      <c r="X69" s="822"/>
      <c r="Y69" s="822"/>
      <c r="Z69" s="822"/>
      <c r="AA69" s="822"/>
    </row>
    <row r="70" spans="1:27" s="823" customFormat="1" ht="34.9" hidden="1" customHeight="1">
      <c r="A70" s="1917" t="e">
        <f>VLOOKUP(ROW()-ROW($A$5),TongHopKL!A:B,2,0)</f>
        <v>#N/A</v>
      </c>
      <c r="B70" s="1592">
        <f>SUM($O$6:O70)</f>
        <v>63</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35" t="str">
        <f>IFERROR(VLOOKUP(A70,Solieu!G:M,6,0),"")</f>
        <v/>
      </c>
      <c r="M70" s="1596" t="str">
        <f>IFERROR(VLOOKUP(A70,Solieu!G:M,7,0),"")</f>
        <v/>
      </c>
      <c r="N70" s="1191" t="s">
        <v>4122</v>
      </c>
      <c r="O70" s="1349" t="str">
        <f t="shared" si="0"/>
        <v/>
      </c>
      <c r="P70" s="1187"/>
      <c r="Q70" s="1308"/>
      <c r="R70" s="1350"/>
      <c r="S70" s="822"/>
      <c r="T70" s="822"/>
      <c r="U70" s="822"/>
      <c r="V70" s="822"/>
      <c r="W70" s="822"/>
      <c r="X70" s="822"/>
      <c r="Y70" s="822"/>
      <c r="Z70" s="822"/>
      <c r="AA70" s="822"/>
    </row>
    <row r="71" spans="1:27" s="823" customFormat="1" ht="34.9" hidden="1" customHeight="1">
      <c r="A71" s="1917" t="e">
        <f>VLOOKUP(ROW()-ROW($A$5),TongHopKL!A:B,2,0)</f>
        <v>#N/A</v>
      </c>
      <c r="B71" s="1592">
        <f>SUM($O$6:O71)</f>
        <v>63</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35" t="str">
        <f>IFERROR(VLOOKUP(A71,Solieu!G:M,6,0),"")</f>
        <v/>
      </c>
      <c r="M71" s="1596" t="str">
        <f>IFERROR(VLOOKUP(A71,Solieu!G:M,7,0),"")</f>
        <v/>
      </c>
      <c r="N71" s="1191" t="s">
        <v>4122</v>
      </c>
      <c r="O71" s="1349" t="str">
        <f t="shared" ref="O71:O127" si="1">IF(ISERROR(C71),"",1)</f>
        <v/>
      </c>
      <c r="P71" s="1187"/>
      <c r="Q71" s="1308"/>
      <c r="R71" s="1350"/>
      <c r="S71" s="822"/>
      <c r="T71" s="822"/>
      <c r="U71" s="822"/>
      <c r="V71" s="822"/>
      <c r="W71" s="822"/>
      <c r="X71" s="822"/>
      <c r="Y71" s="822"/>
      <c r="Z71" s="822"/>
      <c r="AA71" s="822"/>
    </row>
    <row r="72" spans="1:27" s="823" customFormat="1" ht="34.9" hidden="1" customHeight="1">
      <c r="A72" s="1917" t="e">
        <f>VLOOKUP(ROW()-ROW($A$5),TongHopKL!A:B,2,0)</f>
        <v>#N/A</v>
      </c>
      <c r="B72" s="1592">
        <f>SUM($O$6:O72)</f>
        <v>63</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35" t="str">
        <f>IFERROR(VLOOKUP(A72,Solieu!G:M,6,0),"")</f>
        <v/>
      </c>
      <c r="M72" s="1596" t="str">
        <f>IFERROR(VLOOKUP(A72,Solieu!G:M,7,0),"")</f>
        <v/>
      </c>
      <c r="N72" s="1191" t="s">
        <v>4122</v>
      </c>
      <c r="O72" s="1349" t="str">
        <f t="shared" si="1"/>
        <v/>
      </c>
      <c r="P72" s="1187"/>
      <c r="Q72" s="1308"/>
      <c r="R72" s="1350"/>
      <c r="S72" s="822"/>
      <c r="T72" s="822"/>
      <c r="U72" s="822"/>
      <c r="V72" s="822"/>
      <c r="W72" s="822"/>
      <c r="X72" s="822"/>
      <c r="Y72" s="822"/>
      <c r="Z72" s="822"/>
      <c r="AA72" s="822"/>
    </row>
    <row r="73" spans="1:27" s="823" customFormat="1" ht="34.9" hidden="1" customHeight="1">
      <c r="A73" s="1917" t="e">
        <f>VLOOKUP(ROW()-ROW($A$5),TongHopKL!A:B,2,0)</f>
        <v>#N/A</v>
      </c>
      <c r="B73" s="1592">
        <f>SUM($O$6:O73)</f>
        <v>63</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35" t="str">
        <f>IFERROR(VLOOKUP(A73,Solieu!G:M,6,0),"")</f>
        <v/>
      </c>
      <c r="M73" s="1596" t="str">
        <f>IFERROR(VLOOKUP(A73,Solieu!G:M,7,0),"")</f>
        <v/>
      </c>
      <c r="N73" s="1191" t="s">
        <v>4122</v>
      </c>
      <c r="O73" s="1349" t="str">
        <f t="shared" si="1"/>
        <v/>
      </c>
      <c r="P73" s="1187"/>
      <c r="Q73" s="1308"/>
      <c r="R73" s="1350"/>
      <c r="S73" s="822"/>
      <c r="T73" s="822"/>
      <c r="U73" s="822"/>
      <c r="V73" s="822"/>
      <c r="W73" s="822"/>
      <c r="X73" s="822"/>
      <c r="Y73" s="822"/>
      <c r="Z73" s="822"/>
      <c r="AA73" s="822"/>
    </row>
    <row r="74" spans="1:27" s="823" customFormat="1" ht="34.9" hidden="1" customHeight="1">
      <c r="A74" s="1917" t="e">
        <f>VLOOKUP(ROW()-ROW($A$5),TongHopKL!A:B,2,0)</f>
        <v>#N/A</v>
      </c>
      <c r="B74" s="1592">
        <f>SUM($O$6:O74)</f>
        <v>63</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35" t="str">
        <f>IFERROR(VLOOKUP(A74,Solieu!G:M,6,0),"")</f>
        <v/>
      </c>
      <c r="M74" s="1596" t="str">
        <f>IFERROR(VLOOKUP(A74,Solieu!G:M,7,0),"")</f>
        <v/>
      </c>
      <c r="N74" s="1191" t="s">
        <v>4122</v>
      </c>
      <c r="O74" s="1349" t="str">
        <f t="shared" si="1"/>
        <v/>
      </c>
      <c r="P74" s="1187"/>
      <c r="Q74" s="1308"/>
      <c r="R74" s="1350"/>
      <c r="S74" s="822"/>
      <c r="T74" s="822"/>
      <c r="U74" s="822"/>
      <c r="V74" s="822"/>
      <c r="W74" s="822"/>
      <c r="X74" s="822"/>
      <c r="Y74" s="822"/>
      <c r="Z74" s="822"/>
      <c r="AA74" s="822"/>
    </row>
    <row r="75" spans="1:27" s="823" customFormat="1" ht="34.9" hidden="1" customHeight="1">
      <c r="A75" s="1917" t="e">
        <f>VLOOKUP(ROW()-ROW($A$5),TongHopKL!A:B,2,0)</f>
        <v>#N/A</v>
      </c>
      <c r="B75" s="1592">
        <f>SUM($O$6:O75)</f>
        <v>63</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35" t="str">
        <f>IFERROR(VLOOKUP(A75,Solieu!G:M,6,0),"")</f>
        <v/>
      </c>
      <c r="M75" s="1596" t="str">
        <f>IFERROR(VLOOKUP(A75,Solieu!G:M,7,0),"")</f>
        <v/>
      </c>
      <c r="N75" s="1191" t="s">
        <v>4122</v>
      </c>
      <c r="O75" s="1349" t="str">
        <f t="shared" si="1"/>
        <v/>
      </c>
      <c r="P75" s="1187"/>
      <c r="Q75" s="1308"/>
      <c r="R75" s="1350"/>
      <c r="S75" s="822"/>
      <c r="T75" s="822"/>
      <c r="U75" s="822"/>
      <c r="V75" s="822"/>
      <c r="W75" s="822"/>
      <c r="X75" s="822"/>
      <c r="Y75" s="822"/>
      <c r="Z75" s="822"/>
      <c r="AA75" s="822"/>
    </row>
    <row r="76" spans="1:27" s="823" customFormat="1" ht="34.9" hidden="1" customHeight="1">
      <c r="A76" s="1917" t="e">
        <f>VLOOKUP(ROW()-ROW($A$5),TongHopKL!A:B,2,0)</f>
        <v>#N/A</v>
      </c>
      <c r="B76" s="1592">
        <f>SUM($O$6:O76)</f>
        <v>63</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35" t="str">
        <f>IFERROR(VLOOKUP(A76,Solieu!G:M,6,0),"")</f>
        <v/>
      </c>
      <c r="M76" s="1596" t="str">
        <f>IFERROR(VLOOKUP(A76,Solieu!G:M,7,0),"")</f>
        <v/>
      </c>
      <c r="N76" s="1191" t="s">
        <v>4122</v>
      </c>
      <c r="O76" s="1349" t="str">
        <f t="shared" si="1"/>
        <v/>
      </c>
      <c r="P76" s="1187"/>
      <c r="Q76" s="1308"/>
      <c r="R76" s="1350"/>
      <c r="S76" s="822"/>
      <c r="T76" s="822"/>
      <c r="U76" s="822"/>
      <c r="V76" s="822"/>
      <c r="W76" s="822"/>
      <c r="X76" s="822"/>
      <c r="Y76" s="822"/>
      <c r="Z76" s="822"/>
      <c r="AA76" s="822"/>
    </row>
    <row r="77" spans="1:27" s="823" customFormat="1" ht="34.9" hidden="1" customHeight="1">
      <c r="A77" s="1917" t="e">
        <f>VLOOKUP(ROW()-ROW($A$5),TongHopKL!A:B,2,0)</f>
        <v>#N/A</v>
      </c>
      <c r="B77" s="1592">
        <f>SUM($O$6:O77)</f>
        <v>63</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35" t="str">
        <f>IFERROR(VLOOKUP(A77,Solieu!G:M,6,0),"")</f>
        <v/>
      </c>
      <c r="M77" s="1596" t="str">
        <f>IFERROR(VLOOKUP(A77,Solieu!G:M,7,0),"")</f>
        <v/>
      </c>
      <c r="N77" s="1191" t="s">
        <v>4122</v>
      </c>
      <c r="O77" s="1349" t="str">
        <f t="shared" si="1"/>
        <v/>
      </c>
      <c r="P77" s="1187"/>
      <c r="Q77" s="1308"/>
      <c r="R77" s="1351"/>
    </row>
    <row r="78" spans="1:27" s="823" customFormat="1" ht="34.9" hidden="1" customHeight="1">
      <c r="A78" s="1917" t="e">
        <f>VLOOKUP(ROW()-ROW($A$5),TongHopKL!A:B,2,0)</f>
        <v>#N/A</v>
      </c>
      <c r="B78" s="1592">
        <f>SUM($O$6:O78)</f>
        <v>63</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35" t="str">
        <f>IFERROR(VLOOKUP(A78,Solieu!G:M,6,0),"")</f>
        <v/>
      </c>
      <c r="M78" s="1596" t="str">
        <f>IFERROR(VLOOKUP(A78,Solieu!G:M,7,0),"")</f>
        <v/>
      </c>
      <c r="N78" s="1191" t="s">
        <v>4122</v>
      </c>
      <c r="O78" s="1349" t="str">
        <f t="shared" si="1"/>
        <v/>
      </c>
      <c r="P78" s="1187"/>
      <c r="Q78" s="1308"/>
      <c r="R78" s="1351"/>
    </row>
    <row r="79" spans="1:27" s="823" customFormat="1" ht="34.9" hidden="1" customHeight="1">
      <c r="A79" s="1917" t="e">
        <f>VLOOKUP(ROW()-ROW($A$5),TongHopKL!A:B,2,0)</f>
        <v>#N/A</v>
      </c>
      <c r="B79" s="1592">
        <f>SUM($O$6:O79)</f>
        <v>63</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35" t="str">
        <f>IFERROR(VLOOKUP(A79,Solieu!G:M,6,0),"")</f>
        <v/>
      </c>
      <c r="M79" s="1596" t="str">
        <f>IFERROR(VLOOKUP(A79,Solieu!G:M,7,0),"")</f>
        <v/>
      </c>
      <c r="N79" s="1191" t="s">
        <v>4122</v>
      </c>
      <c r="O79" s="1349" t="str">
        <f t="shared" si="1"/>
        <v/>
      </c>
      <c r="P79" s="1187"/>
      <c r="Q79" s="1308"/>
      <c r="R79" s="1351"/>
    </row>
    <row r="80" spans="1:27" s="823" customFormat="1" ht="34.9" hidden="1" customHeight="1">
      <c r="A80" s="1917" t="e">
        <f>VLOOKUP(ROW()-ROW($A$5),TongHopKL!A:B,2,0)</f>
        <v>#N/A</v>
      </c>
      <c r="B80" s="1592">
        <f>SUM($O$6:O80)</f>
        <v>63</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35" t="str">
        <f>IFERROR(VLOOKUP(A80,Solieu!G:M,6,0),"")</f>
        <v/>
      </c>
      <c r="M80" s="1596" t="str">
        <f>IFERROR(VLOOKUP(A80,Solieu!G:M,7,0),"")</f>
        <v/>
      </c>
      <c r="N80" s="1191" t="s">
        <v>4122</v>
      </c>
      <c r="O80" s="1349" t="str">
        <f t="shared" si="1"/>
        <v/>
      </c>
      <c r="P80" s="1187"/>
      <c r="Q80" s="1308"/>
      <c r="R80" s="1351"/>
    </row>
    <row r="81" spans="1:18" s="823" customFormat="1" ht="34.9" hidden="1" customHeight="1">
      <c r="A81" s="1917" t="e">
        <f>VLOOKUP(ROW()-ROW($A$5),TongHopKL!A:B,2,0)</f>
        <v>#N/A</v>
      </c>
      <c r="B81" s="1592">
        <f>SUM($O$6:O81)</f>
        <v>63</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35" t="str">
        <f>IFERROR(VLOOKUP(A81,Solieu!G:M,6,0),"")</f>
        <v/>
      </c>
      <c r="M81" s="1596" t="str">
        <f>IFERROR(VLOOKUP(A81,Solieu!G:M,7,0),"")</f>
        <v/>
      </c>
      <c r="N81" s="1191" t="s">
        <v>4122</v>
      </c>
      <c r="O81" s="1349" t="str">
        <f t="shared" si="1"/>
        <v/>
      </c>
      <c r="P81" s="1187"/>
      <c r="Q81" s="1308"/>
      <c r="R81" s="1351"/>
    </row>
    <row r="82" spans="1:18" s="823" customFormat="1" ht="34.9" hidden="1" customHeight="1">
      <c r="A82" s="1917" t="e">
        <f>VLOOKUP(ROW()-ROW($A$5),TongHopKL!A:B,2,0)</f>
        <v>#N/A</v>
      </c>
      <c r="B82" s="1592">
        <f>SUM($O$6:O82)</f>
        <v>63</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35" t="str">
        <f>IFERROR(VLOOKUP(A82,Solieu!G:M,6,0),"")</f>
        <v/>
      </c>
      <c r="M82" s="1596" t="str">
        <f>IFERROR(VLOOKUP(A82,Solieu!G:M,7,0),"")</f>
        <v/>
      </c>
      <c r="N82" s="1191" t="s">
        <v>4122</v>
      </c>
      <c r="O82" s="1349" t="str">
        <f t="shared" si="1"/>
        <v/>
      </c>
      <c r="P82" s="1187"/>
      <c r="Q82" s="1347"/>
      <c r="R82" s="1351"/>
    </row>
    <row r="83" spans="1:18" s="823" customFormat="1" ht="34.9" hidden="1" customHeight="1">
      <c r="A83" s="1917" t="e">
        <f>VLOOKUP(ROW()-ROW($A$5),TongHopKL!A:B,2,0)</f>
        <v>#N/A</v>
      </c>
      <c r="B83" s="1592">
        <f>SUM($O$6:O83)</f>
        <v>63</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35" t="str">
        <f>IFERROR(VLOOKUP(A83,Solieu!G:M,6,0),"")</f>
        <v/>
      </c>
      <c r="M83" s="1596" t="str">
        <f>IFERROR(VLOOKUP(A83,Solieu!G:M,7,0),"")</f>
        <v/>
      </c>
      <c r="N83" s="1191" t="s">
        <v>4122</v>
      </c>
      <c r="O83" s="1349" t="str">
        <f t="shared" si="1"/>
        <v/>
      </c>
      <c r="P83" s="1187"/>
      <c r="Q83" s="1347"/>
      <c r="R83" s="1351"/>
    </row>
    <row r="84" spans="1:18" s="823" customFormat="1" ht="34.9" hidden="1" customHeight="1">
      <c r="A84" s="1917" t="e">
        <f>VLOOKUP(ROW()-ROW($A$5),TongHopKL!A:B,2,0)</f>
        <v>#N/A</v>
      </c>
      <c r="B84" s="1592">
        <f>SUM($O$6:O84)</f>
        <v>63</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35" t="str">
        <f>IFERROR(VLOOKUP(A84,Solieu!G:M,6,0),"")</f>
        <v/>
      </c>
      <c r="M84" s="1596" t="str">
        <f>IFERROR(VLOOKUP(A84,Solieu!G:M,7,0),"")</f>
        <v/>
      </c>
      <c r="N84" s="1191" t="s">
        <v>4122</v>
      </c>
      <c r="O84" s="1349" t="str">
        <f t="shared" si="1"/>
        <v/>
      </c>
      <c r="P84" s="1187"/>
      <c r="Q84" s="1347"/>
      <c r="R84" s="1351"/>
    </row>
    <row r="85" spans="1:18" s="823" customFormat="1" ht="34.9" hidden="1" customHeight="1">
      <c r="A85" s="1917" t="e">
        <f>VLOOKUP(ROW()-ROW($A$5),TongHopKL!A:B,2,0)</f>
        <v>#N/A</v>
      </c>
      <c r="B85" s="1592">
        <f>SUM($O$6:O85)</f>
        <v>63</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35" t="str">
        <f>IFERROR(VLOOKUP(A85,Solieu!G:M,6,0),"")</f>
        <v/>
      </c>
      <c r="M85" s="1596" t="str">
        <f>IFERROR(VLOOKUP(A85,Solieu!G:M,7,0),"")</f>
        <v/>
      </c>
      <c r="N85" s="1191" t="s">
        <v>4122</v>
      </c>
      <c r="O85" s="1349" t="str">
        <f t="shared" si="1"/>
        <v/>
      </c>
      <c r="P85" s="1187"/>
      <c r="Q85" s="1347"/>
      <c r="R85" s="1351"/>
    </row>
    <row r="86" spans="1:18" s="823" customFormat="1" ht="34.9" hidden="1" customHeight="1">
      <c r="A86" s="1917" t="e">
        <f>VLOOKUP(ROW()-ROW($A$5),TongHopKL!A:B,2,0)</f>
        <v>#N/A</v>
      </c>
      <c r="B86" s="1592">
        <f>SUM($O$6:O86)</f>
        <v>63</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35" t="str">
        <f>IFERROR(VLOOKUP(A86,Solieu!G:M,6,0),"")</f>
        <v/>
      </c>
      <c r="M86" s="1596" t="str">
        <f>IFERROR(VLOOKUP(A86,Solieu!G:M,7,0),"")</f>
        <v/>
      </c>
      <c r="N86" s="1191" t="s">
        <v>4122</v>
      </c>
      <c r="O86" s="1349" t="str">
        <f t="shared" si="1"/>
        <v/>
      </c>
      <c r="P86" s="1187"/>
      <c r="Q86" s="1347"/>
      <c r="R86" s="1351"/>
    </row>
    <row r="87" spans="1:18" s="823" customFormat="1" ht="34.9" hidden="1" customHeight="1">
      <c r="A87" s="1917" t="e">
        <f>VLOOKUP(ROW()-ROW($A$5),TongHopKL!A:B,2,0)</f>
        <v>#N/A</v>
      </c>
      <c r="B87" s="1592">
        <f>SUM($O$6:O87)</f>
        <v>63</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35" t="str">
        <f>IFERROR(VLOOKUP(A87,Solieu!G:M,6,0),"")</f>
        <v/>
      </c>
      <c r="M87" s="1596" t="str">
        <f>IFERROR(VLOOKUP(A87,Solieu!G:M,7,0),"")</f>
        <v/>
      </c>
      <c r="N87" s="1191" t="s">
        <v>4122</v>
      </c>
      <c r="O87" s="1349" t="str">
        <f t="shared" si="1"/>
        <v/>
      </c>
      <c r="P87" s="1187"/>
      <c r="Q87" s="1347"/>
      <c r="R87" s="1351"/>
    </row>
    <row r="88" spans="1:18" s="823" customFormat="1" ht="35.1" hidden="1" customHeight="1">
      <c r="A88" s="1917" t="e">
        <f>VLOOKUP(ROW()-ROW($A$5),TongHopKL!A:B,2,0)</f>
        <v>#N/A</v>
      </c>
      <c r="B88" s="1592">
        <f>SUM($O$6:O88)</f>
        <v>63</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35" t="str">
        <f>IFERROR(VLOOKUP(A88,Solieu!G:M,6,0),"")</f>
        <v/>
      </c>
      <c r="M88" s="1596" t="str">
        <f>IFERROR(VLOOKUP(A88,Solieu!G:M,7,0),"")</f>
        <v/>
      </c>
      <c r="N88" s="1191" t="s">
        <v>4122</v>
      </c>
      <c r="O88" s="1349" t="str">
        <f t="shared" si="1"/>
        <v/>
      </c>
      <c r="P88" s="1187"/>
      <c r="Q88" s="1347"/>
      <c r="R88" s="1351"/>
    </row>
    <row r="89" spans="1:18" s="823" customFormat="1" ht="35.1" hidden="1" customHeight="1">
      <c r="A89" s="1917" t="e">
        <f>VLOOKUP(ROW()-ROW($A$5),TongHopKL!A:B,2,0)</f>
        <v>#N/A</v>
      </c>
      <c r="B89" s="1592">
        <f>SUM($O$6:O89)</f>
        <v>63</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35" t="str">
        <f>IFERROR(VLOOKUP(A89,Solieu!G:M,6,0),"")</f>
        <v/>
      </c>
      <c r="M89" s="1596" t="str">
        <f>IFERROR(VLOOKUP(A89,Solieu!G:M,7,0),"")</f>
        <v/>
      </c>
      <c r="N89" s="1191" t="s">
        <v>4122</v>
      </c>
      <c r="O89" s="1349" t="str">
        <f t="shared" si="1"/>
        <v/>
      </c>
      <c r="P89" s="1187"/>
      <c r="Q89" s="1347"/>
      <c r="R89" s="1351"/>
    </row>
    <row r="90" spans="1:18" s="823" customFormat="1" ht="35.1" hidden="1" customHeight="1">
      <c r="A90" s="1917" t="e">
        <f>VLOOKUP(ROW()-ROW($A$5),TongHopKL!A:B,2,0)</f>
        <v>#N/A</v>
      </c>
      <c r="B90" s="1592">
        <f>SUM($O$6:O90)</f>
        <v>63</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35" t="str">
        <f>IFERROR(VLOOKUP(A90,Solieu!G:M,6,0),"")</f>
        <v/>
      </c>
      <c r="M90" s="1596" t="str">
        <f>IFERROR(VLOOKUP(A90,Solieu!G:M,7,0),"")</f>
        <v/>
      </c>
      <c r="N90" s="1191" t="s">
        <v>4122</v>
      </c>
      <c r="O90" s="1349" t="str">
        <f t="shared" si="1"/>
        <v/>
      </c>
      <c r="P90" s="1187"/>
      <c r="Q90" s="1347"/>
      <c r="R90" s="1351"/>
    </row>
    <row r="91" spans="1:18" s="823" customFormat="1" ht="35.1" hidden="1" customHeight="1">
      <c r="A91" s="1917" t="e">
        <f>VLOOKUP(ROW()-ROW($A$5),TongHopKL!A:B,2,0)</f>
        <v>#N/A</v>
      </c>
      <c r="B91" s="1592">
        <f>SUM($O$6:O91)</f>
        <v>63</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35" t="str">
        <f>IFERROR(VLOOKUP(A91,Solieu!G:M,6,0),"")</f>
        <v/>
      </c>
      <c r="M91" s="1596" t="str">
        <f>IFERROR(VLOOKUP(A91,Solieu!G:M,7,0),"")</f>
        <v/>
      </c>
      <c r="N91" s="1191" t="s">
        <v>4122</v>
      </c>
      <c r="O91" s="1349" t="str">
        <f t="shared" si="1"/>
        <v/>
      </c>
      <c r="P91" s="1187"/>
      <c r="Q91" s="1347"/>
      <c r="R91" s="1351"/>
    </row>
    <row r="92" spans="1:18" s="823" customFormat="1" ht="35.1" hidden="1" customHeight="1">
      <c r="A92" s="1917" t="e">
        <f>VLOOKUP(ROW()-ROW($A$5),TongHopKL!A:B,2,0)</f>
        <v>#N/A</v>
      </c>
      <c r="B92" s="1592">
        <f>SUM($O$6:O92)</f>
        <v>63</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35" t="str">
        <f>IFERROR(VLOOKUP(A92,Solieu!G:M,6,0),"")</f>
        <v/>
      </c>
      <c r="M92" s="1596" t="str">
        <f>IFERROR(VLOOKUP(A92,Solieu!G:M,7,0),"")</f>
        <v/>
      </c>
      <c r="N92" s="1191" t="s">
        <v>4122</v>
      </c>
      <c r="O92" s="1349" t="str">
        <f t="shared" si="1"/>
        <v/>
      </c>
      <c r="P92" s="1187"/>
      <c r="Q92" s="1347"/>
      <c r="R92" s="1351"/>
    </row>
    <row r="93" spans="1:18" s="823" customFormat="1" ht="35.1" hidden="1" customHeight="1">
      <c r="A93" s="1917" t="e">
        <f>VLOOKUP(ROW()-ROW($A$5),TongHopKL!A:B,2,0)</f>
        <v>#N/A</v>
      </c>
      <c r="B93" s="1592">
        <f>SUM($O$6:O93)</f>
        <v>63</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35" t="str">
        <f>IFERROR(VLOOKUP(A93,Solieu!G:M,6,0),"")</f>
        <v/>
      </c>
      <c r="M93" s="1596" t="str">
        <f>IFERROR(VLOOKUP(A93,Solieu!G:M,7,0),"")</f>
        <v/>
      </c>
      <c r="N93" s="1191" t="s">
        <v>4122</v>
      </c>
      <c r="O93" s="1349" t="str">
        <f t="shared" si="1"/>
        <v/>
      </c>
      <c r="P93" s="1187"/>
      <c r="Q93" s="1347"/>
      <c r="R93" s="1351"/>
    </row>
    <row r="94" spans="1:18" s="823" customFormat="1" ht="35.1" hidden="1" customHeight="1">
      <c r="A94" s="1917" t="e">
        <f>VLOOKUP(ROW()-ROW($A$5),TongHopKL!A:B,2,0)</f>
        <v>#N/A</v>
      </c>
      <c r="B94" s="1592">
        <f>SUM($O$6:O94)</f>
        <v>63</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35" t="str">
        <f>IFERROR(VLOOKUP(A94,Solieu!G:M,6,0),"")</f>
        <v/>
      </c>
      <c r="M94" s="1596" t="str">
        <f>IFERROR(VLOOKUP(A94,Solieu!G:M,7,0),"")</f>
        <v/>
      </c>
      <c r="N94" s="1191" t="s">
        <v>4122</v>
      </c>
      <c r="O94" s="1349" t="str">
        <f t="shared" si="1"/>
        <v/>
      </c>
      <c r="P94" s="1187"/>
      <c r="Q94" s="1347"/>
      <c r="R94" s="1351"/>
    </row>
    <row r="95" spans="1:18" s="823" customFormat="1" ht="35.1" hidden="1" customHeight="1">
      <c r="A95" s="1917" t="e">
        <f>VLOOKUP(ROW()-ROW($A$5),TongHopKL!A:B,2,0)</f>
        <v>#N/A</v>
      </c>
      <c r="B95" s="1592">
        <f>SUM($O$6:O95)</f>
        <v>63</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35" t="str">
        <f>IFERROR(VLOOKUP(A95,Solieu!G:M,6,0),"")</f>
        <v/>
      </c>
      <c r="M95" s="1596" t="str">
        <f>IFERROR(VLOOKUP(A95,Solieu!G:M,7,0),"")</f>
        <v/>
      </c>
      <c r="N95" s="1191" t="s">
        <v>4122</v>
      </c>
      <c r="O95" s="1349" t="str">
        <f t="shared" si="1"/>
        <v/>
      </c>
      <c r="P95" s="1187"/>
      <c r="Q95" s="1347"/>
      <c r="R95" s="1351"/>
    </row>
    <row r="96" spans="1:18" s="823" customFormat="1" ht="35.1" hidden="1" customHeight="1">
      <c r="A96" s="1917" t="e">
        <f>VLOOKUP(ROW()-ROW($A$5),TongHopKL!A:B,2,0)</f>
        <v>#N/A</v>
      </c>
      <c r="B96" s="1592">
        <f>SUM($O$6:O96)</f>
        <v>63</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35" t="str">
        <f>IFERROR(VLOOKUP(A96,Solieu!G:M,6,0),"")</f>
        <v/>
      </c>
      <c r="M96" s="1596" t="str">
        <f>IFERROR(VLOOKUP(A96,Solieu!G:M,7,0),"")</f>
        <v/>
      </c>
      <c r="N96" s="1191" t="s">
        <v>4122</v>
      </c>
      <c r="O96" s="1349" t="str">
        <f t="shared" si="1"/>
        <v/>
      </c>
      <c r="P96" s="1187"/>
      <c r="Q96" s="1347"/>
      <c r="R96" s="1351"/>
    </row>
    <row r="97" spans="1:18" s="823" customFormat="1" ht="35.1" hidden="1" customHeight="1">
      <c r="A97" s="1917" t="e">
        <f>VLOOKUP(ROW()-ROW($A$5),TongHopKL!A:B,2,0)</f>
        <v>#N/A</v>
      </c>
      <c r="B97" s="1592">
        <f>SUM($O$6:O97)</f>
        <v>63</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35" t="str">
        <f>IFERROR(VLOOKUP(A97,Solieu!G:M,6,0),"")</f>
        <v/>
      </c>
      <c r="M97" s="1596" t="str">
        <f>IFERROR(VLOOKUP(A97,Solieu!G:M,7,0),"")</f>
        <v/>
      </c>
      <c r="N97" s="1191" t="s">
        <v>4122</v>
      </c>
      <c r="O97" s="1349" t="str">
        <f t="shared" si="1"/>
        <v/>
      </c>
      <c r="P97" s="1187"/>
      <c r="Q97" s="1347"/>
      <c r="R97" s="1351"/>
    </row>
    <row r="98" spans="1:18" s="823" customFormat="1" ht="35.1" hidden="1" customHeight="1">
      <c r="A98" s="1917" t="e">
        <f>VLOOKUP(ROW()-ROW($A$5),TongHopKL!A:B,2,0)</f>
        <v>#N/A</v>
      </c>
      <c r="B98" s="1592">
        <f>SUM($O$6:O98)</f>
        <v>63</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35" t="str">
        <f>IFERROR(VLOOKUP(A98,Solieu!G:M,6,0),"")</f>
        <v/>
      </c>
      <c r="M98" s="1596" t="str">
        <f>IFERROR(VLOOKUP(A98,Solieu!G:M,7,0),"")</f>
        <v/>
      </c>
      <c r="N98" s="1191" t="s">
        <v>4122</v>
      </c>
      <c r="O98" s="1349" t="str">
        <f t="shared" si="1"/>
        <v/>
      </c>
      <c r="P98" s="1187"/>
      <c r="Q98" s="1347"/>
      <c r="R98" s="1351"/>
    </row>
    <row r="99" spans="1:18" s="823" customFormat="1" ht="35.1" hidden="1" customHeight="1">
      <c r="A99" s="1917" t="e">
        <f>VLOOKUP(ROW()-ROW($A$5),TongHopKL!A:B,2,0)</f>
        <v>#N/A</v>
      </c>
      <c r="B99" s="1592">
        <f>SUM($O$6:O99)</f>
        <v>63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35" t="str">
        <f>IFERROR(VLOOKUP(A99,Solieu!G:M,6,0),"")</f>
        <v/>
      </c>
      <c r="M99" s="1596" t="str">
        <f>IFERROR(VLOOKUP(A99,Solieu!G:M,7,0),"")</f>
        <v/>
      </c>
      <c r="N99" s="1191" t="s">
        <v>4122</v>
      </c>
      <c r="O99" s="1349" t="str">
        <f t="shared" si="1"/>
        <v/>
      </c>
      <c r="P99" s="1187"/>
      <c r="Q99" s="1347"/>
      <c r="R99" s="1351"/>
    </row>
    <row r="100" spans="1:18" s="823" customFormat="1" ht="35.1" hidden="1" customHeight="1">
      <c r="A100" s="1917" t="e">
        <f>VLOOKUP(ROW()-ROW($A$5),TongHopKL!A:B,2,0)</f>
        <v>#N/A</v>
      </c>
      <c r="B100" s="1592">
        <f>SUM($O$6:O100)</f>
        <v>63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35" t="str">
        <f>IFERROR(VLOOKUP(A100,Solieu!G:M,6,0),"")</f>
        <v/>
      </c>
      <c r="M100" s="1596" t="str">
        <f>IFERROR(VLOOKUP(A100,Solieu!G:M,7,0),"")</f>
        <v/>
      </c>
      <c r="N100" s="1191" t="s">
        <v>4122</v>
      </c>
      <c r="O100" s="1349" t="str">
        <f t="shared" si="1"/>
        <v/>
      </c>
      <c r="P100" s="1187"/>
      <c r="Q100" s="1347"/>
      <c r="R100" s="1351"/>
    </row>
    <row r="101" spans="1:18" s="823" customFormat="1" ht="35.1" hidden="1" customHeight="1">
      <c r="A101" s="1917" t="e">
        <f>VLOOKUP(ROW()-ROW($A$5),TongHopKL!A:B,2,0)</f>
        <v>#N/A</v>
      </c>
      <c r="B101" s="1592">
        <f>SUM($O$6:O101)</f>
        <v>63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35" t="str">
        <f>IFERROR(VLOOKUP(A101,Solieu!G:M,6,0),"")</f>
        <v/>
      </c>
      <c r="M101" s="1596" t="str">
        <f>IFERROR(VLOOKUP(A101,Solieu!G:M,7,0),"")</f>
        <v/>
      </c>
      <c r="N101" s="1191" t="s">
        <v>4122</v>
      </c>
      <c r="O101" s="1349" t="str">
        <f t="shared" si="1"/>
        <v/>
      </c>
      <c r="P101" s="1187"/>
      <c r="Q101" s="1347"/>
      <c r="R101" s="1351"/>
    </row>
    <row r="102" spans="1:18" s="823" customFormat="1" ht="35.1" hidden="1" customHeight="1">
      <c r="A102" s="1917" t="e">
        <f>VLOOKUP(ROW()-ROW($A$5),TongHopKL!A:B,2,0)</f>
        <v>#N/A</v>
      </c>
      <c r="B102" s="1592">
        <f>SUM($O$6:O102)</f>
        <v>63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35" t="str">
        <f>IFERROR(VLOOKUP(A102,Solieu!G:M,6,0),"")</f>
        <v/>
      </c>
      <c r="M102" s="1596" t="str">
        <f>IFERROR(VLOOKUP(A102,Solieu!G:M,7,0),"")</f>
        <v/>
      </c>
      <c r="N102" s="1191" t="s">
        <v>4122</v>
      </c>
      <c r="O102" s="1349" t="str">
        <f t="shared" si="1"/>
        <v/>
      </c>
      <c r="P102" s="1187"/>
      <c r="Q102" s="1347"/>
      <c r="R102" s="1351"/>
    </row>
    <row r="103" spans="1:18" s="823" customFormat="1" ht="35.1" hidden="1" customHeight="1">
      <c r="A103" s="1917" t="e">
        <f>VLOOKUP(ROW()-ROW($A$5),TongHopKL!A:B,2,0)</f>
        <v>#N/A</v>
      </c>
      <c r="B103" s="1592">
        <f>SUM($O$6:O103)</f>
        <v>63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4122</v>
      </c>
      <c r="O103" s="1349" t="str">
        <f t="shared" si="1"/>
        <v/>
      </c>
      <c r="P103" s="1187"/>
      <c r="Q103" s="1347"/>
      <c r="R103" s="1351"/>
    </row>
    <row r="104" spans="1:18" s="823" customFormat="1" ht="35.1" hidden="1" customHeight="1">
      <c r="A104" s="1917" t="e">
        <f>VLOOKUP(ROW()-ROW($A$5),TongHopKL!A:B,2,0)</f>
        <v>#N/A</v>
      </c>
      <c r="B104" s="1592">
        <f>SUM($O$6:O104)</f>
        <v>63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4122</v>
      </c>
      <c r="O104" s="1349" t="str">
        <f t="shared" si="1"/>
        <v/>
      </c>
      <c r="P104" s="1187"/>
      <c r="Q104" s="1347"/>
      <c r="R104" s="1351"/>
    </row>
    <row r="105" spans="1:18" s="823" customFormat="1" ht="35.1" hidden="1" customHeight="1">
      <c r="A105" s="1917" t="e">
        <f>VLOOKUP(ROW()-ROW($A$5),TongHopKL!A:B,2,0)</f>
        <v>#N/A</v>
      </c>
      <c r="B105" s="1592">
        <f>SUM($O$6:O105)</f>
        <v>63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4122</v>
      </c>
      <c r="O105" s="1349" t="str">
        <f t="shared" si="1"/>
        <v/>
      </c>
      <c r="P105" s="1187"/>
      <c r="Q105" s="1347"/>
      <c r="R105" s="1351"/>
    </row>
    <row r="106" spans="1:18" s="823" customFormat="1" ht="35.1" hidden="1" customHeight="1">
      <c r="A106" s="1917" t="e">
        <f>VLOOKUP(ROW()-ROW($A$5),TongHopKL!A:B,2,0)</f>
        <v>#N/A</v>
      </c>
      <c r="B106" s="1592">
        <f>SUM($O$6:O106)</f>
        <v>63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4122</v>
      </c>
      <c r="O106" s="1349" t="str">
        <f t="shared" si="1"/>
        <v/>
      </c>
      <c r="P106" s="1187"/>
      <c r="Q106" s="1347"/>
      <c r="R106" s="1351"/>
    </row>
    <row r="107" spans="1:18" s="823" customFormat="1" ht="35.1" hidden="1" customHeight="1">
      <c r="A107" s="1917" t="e">
        <f>VLOOKUP(ROW()-ROW($A$5),TongHopKL!A:B,2,0)</f>
        <v>#N/A</v>
      </c>
      <c r="B107" s="1592">
        <f>SUM($O$6:O107)</f>
        <v>63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4122</v>
      </c>
      <c r="O107" s="1349" t="str">
        <f t="shared" si="1"/>
        <v/>
      </c>
      <c r="P107" s="1187"/>
      <c r="Q107" s="1347"/>
      <c r="R107" s="1351"/>
    </row>
    <row r="108" spans="1:18" s="823" customFormat="1" ht="35.1" hidden="1" customHeight="1">
      <c r="A108" s="1917" t="e">
        <f>VLOOKUP(ROW()-ROW($A$5),TongHopKL!A:B,2,0)</f>
        <v>#N/A</v>
      </c>
      <c r="B108" s="1592">
        <f>SUM($O$6:O108)</f>
        <v>63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4122</v>
      </c>
      <c r="O108" s="1349" t="str">
        <f t="shared" si="1"/>
        <v/>
      </c>
      <c r="P108" s="1187"/>
      <c r="Q108" s="1347"/>
      <c r="R108" s="1351"/>
    </row>
    <row r="109" spans="1:18" s="823" customFormat="1" ht="35.1" hidden="1" customHeight="1">
      <c r="A109" s="1917" t="e">
        <f>VLOOKUP(ROW()-ROW($A$5),TongHopKL!A:B,2,0)</f>
        <v>#N/A</v>
      </c>
      <c r="B109" s="1592">
        <f>SUM($O$6:O109)</f>
        <v>63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4122</v>
      </c>
      <c r="O109" s="1349" t="str">
        <f t="shared" si="1"/>
        <v/>
      </c>
      <c r="P109" s="1187"/>
      <c r="Q109" s="1347"/>
      <c r="R109" s="1351"/>
    </row>
    <row r="110" spans="1:18" s="823" customFormat="1" ht="35.1" hidden="1" customHeight="1">
      <c r="A110" s="1917" t="e">
        <f>VLOOKUP(ROW()-ROW($A$5),TongHopKL!A:B,2,0)</f>
        <v>#N/A</v>
      </c>
      <c r="B110" s="1592">
        <f>SUM($O$6:O110)</f>
        <v>63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4122</v>
      </c>
      <c r="O110" s="1349" t="str">
        <f t="shared" si="1"/>
        <v/>
      </c>
      <c r="P110" s="1187"/>
      <c r="Q110" s="1347"/>
      <c r="R110" s="1351"/>
    </row>
    <row r="111" spans="1:18" s="823" customFormat="1" ht="35.1" hidden="1" customHeight="1">
      <c r="A111" s="1917" t="e">
        <f>VLOOKUP(ROW()-ROW($A$5),TongHopKL!A:B,2,0)</f>
        <v>#N/A</v>
      </c>
      <c r="B111" s="1592">
        <f>SUM($O$6:O111)</f>
        <v>63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4122</v>
      </c>
      <c r="O111" s="1349" t="str">
        <f t="shared" si="1"/>
        <v/>
      </c>
      <c r="P111" s="1187"/>
      <c r="Q111" s="1347"/>
      <c r="R111" s="1351"/>
    </row>
    <row r="112" spans="1:18" s="823" customFormat="1" ht="35.1" hidden="1" customHeight="1">
      <c r="A112" s="1917" t="e">
        <f>VLOOKUP(ROW()-ROW($A$5),TongHopKL!A:B,2,0)</f>
        <v>#N/A</v>
      </c>
      <c r="B112" s="1592">
        <f>SUM($O$6:O112)</f>
        <v>63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4122</v>
      </c>
      <c r="O112" s="1349" t="str">
        <f t="shared" si="1"/>
        <v/>
      </c>
      <c r="P112" s="1187"/>
      <c r="Q112" s="1347"/>
      <c r="R112" s="1351"/>
    </row>
    <row r="113" spans="1:18" s="823" customFormat="1" ht="35.1" hidden="1" customHeight="1">
      <c r="A113" s="1917" t="e">
        <f>VLOOKUP(ROW()-ROW($A$5),TongHopKL!A:B,2,0)</f>
        <v>#N/A</v>
      </c>
      <c r="B113" s="1592">
        <f>SUM($O$6:O113)</f>
        <v>63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4122</v>
      </c>
      <c r="O113" s="1349" t="str">
        <f t="shared" si="1"/>
        <v/>
      </c>
      <c r="P113" s="1187"/>
      <c r="Q113" s="1347"/>
      <c r="R113" s="1351"/>
    </row>
    <row r="114" spans="1:18" s="823" customFormat="1" ht="35.1" hidden="1" customHeight="1">
      <c r="A114" s="1917" t="e">
        <f>VLOOKUP(ROW()-ROW($A$5),TongHopKL!A:B,2,0)</f>
        <v>#N/A</v>
      </c>
      <c r="B114" s="1592">
        <f>SUM($O$6:O114)</f>
        <v>63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4122</v>
      </c>
      <c r="O114" s="1349" t="str">
        <f t="shared" si="1"/>
        <v/>
      </c>
      <c r="P114" s="1187"/>
      <c r="Q114" s="1347"/>
      <c r="R114" s="1351"/>
    </row>
    <row r="115" spans="1:18" s="823" customFormat="1" ht="35.1" hidden="1" customHeight="1">
      <c r="A115" s="1917" t="e">
        <f>VLOOKUP(ROW()-ROW($A$5),TongHopKL!A:B,2,0)</f>
        <v>#N/A</v>
      </c>
      <c r="B115" s="1592">
        <f>SUM($O$6:O115)</f>
        <v>63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4122</v>
      </c>
      <c r="O115" s="1349" t="str">
        <f t="shared" si="1"/>
        <v/>
      </c>
      <c r="P115" s="1187"/>
      <c r="Q115" s="1347"/>
      <c r="R115" s="1351"/>
    </row>
    <row r="116" spans="1:18" s="823" customFormat="1" ht="35.1" hidden="1" customHeight="1">
      <c r="A116" s="1917" t="e">
        <f>VLOOKUP(ROW()-ROW($A$5),TongHopKL!A:B,2,0)</f>
        <v>#N/A</v>
      </c>
      <c r="B116" s="1592">
        <f>SUM($O$6:O116)</f>
        <v>63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4122</v>
      </c>
      <c r="O116" s="1349" t="str">
        <f t="shared" si="1"/>
        <v/>
      </c>
      <c r="P116" s="1187"/>
      <c r="Q116" s="1347"/>
      <c r="R116" s="1351"/>
    </row>
    <row r="117" spans="1:18" s="823" customFormat="1" ht="35.1" hidden="1" customHeight="1">
      <c r="A117" s="1917" t="e">
        <f>VLOOKUP(ROW()-ROW($A$5),TongHopKL!A:B,2,0)</f>
        <v>#N/A</v>
      </c>
      <c r="B117" s="1592">
        <f>SUM($O$6:O117)</f>
        <v>63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4122</v>
      </c>
      <c r="O117" s="1349" t="str">
        <f t="shared" si="1"/>
        <v/>
      </c>
      <c r="P117" s="1187"/>
      <c r="Q117" s="1347"/>
      <c r="R117" s="1351"/>
    </row>
    <row r="118" spans="1:18" s="823" customFormat="1" ht="35.1" hidden="1" customHeight="1">
      <c r="A118" s="1917" t="e">
        <f>VLOOKUP(ROW()-ROW($A$5),TongHopKL!A:B,2,0)</f>
        <v>#N/A</v>
      </c>
      <c r="B118" s="1592">
        <f>SUM($O$6:O118)</f>
        <v>63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4122</v>
      </c>
      <c r="O118" s="1349" t="str">
        <f t="shared" si="1"/>
        <v/>
      </c>
      <c r="P118" s="1187"/>
      <c r="Q118" s="1347"/>
      <c r="R118" s="1351"/>
    </row>
    <row r="119" spans="1:18" s="823" customFormat="1" ht="35.1" hidden="1" customHeight="1">
      <c r="A119" s="1917" t="e">
        <f>VLOOKUP(ROW()-ROW($A$5),TongHopKL!A:B,2,0)</f>
        <v>#N/A</v>
      </c>
      <c r="B119" s="1592">
        <f>SUM($O$6:O119)</f>
        <v>63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63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63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63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63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63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63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63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63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5"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5" customHeight="1">
      <c r="A130" s="816"/>
      <c r="B130" s="829"/>
      <c r="C130" s="1204"/>
      <c r="D130" s="1202"/>
      <c r="E130" s="1203"/>
      <c r="F130"/>
      <c r="G130"/>
      <c r="H130"/>
      <c r="I130" s="830"/>
      <c r="J130" s="826"/>
      <c r="L130" s="828"/>
      <c r="M130" s="833"/>
      <c r="N130" s="832"/>
      <c r="O130" s="829"/>
      <c r="P130" s="835"/>
      <c r="Q130" s="1307"/>
    </row>
    <row r="131" spans="1:27" s="821" customFormat="1" ht="24.95" customHeight="1">
      <c r="A131" s="816"/>
      <c r="B131" s="829"/>
      <c r="C131" s="1204"/>
      <c r="D131" s="1202"/>
      <c r="E131" s="1203"/>
      <c r="F131"/>
      <c r="G131"/>
      <c r="H131"/>
      <c r="I131" s="830"/>
      <c r="J131" s="826"/>
      <c r="L131" s="828"/>
      <c r="M131" s="833"/>
      <c r="N131" s="832"/>
      <c r="O131" s="829"/>
      <c r="P131" s="835"/>
      <c r="Q131" s="1307"/>
    </row>
    <row r="132" spans="1:27" s="821" customFormat="1" ht="24.95" customHeight="1">
      <c r="A132" s="816"/>
      <c r="B132" s="829"/>
      <c r="C132" s="1204"/>
      <c r="D132" s="1202"/>
      <c r="E132" s="1203"/>
      <c r="F132"/>
      <c r="G132"/>
      <c r="H132"/>
      <c r="I132" s="830"/>
      <c r="J132" s="826"/>
      <c r="L132" s="828"/>
      <c r="M132" s="833"/>
      <c r="N132" s="832"/>
      <c r="O132" s="829"/>
      <c r="P132" s="835"/>
      <c r="Q132" s="1307"/>
    </row>
    <row r="133" spans="1:27" s="821" customFormat="1" ht="24.95" customHeight="1">
      <c r="A133" s="816"/>
      <c r="B133" s="820"/>
      <c r="C133" s="938"/>
      <c r="D133" s="1205"/>
      <c r="E133" s="1203"/>
      <c r="F133"/>
      <c r="G133"/>
      <c r="H133"/>
      <c r="I133" s="830"/>
      <c r="J133" s="827"/>
      <c r="L133" s="836"/>
      <c r="M133" s="833"/>
      <c r="N133" s="837"/>
      <c r="O133" s="820"/>
      <c r="P133" s="835"/>
      <c r="Q133" s="1307"/>
    </row>
    <row r="134" spans="1:27" s="821" customFormat="1" ht="24.95" customHeight="1">
      <c r="A134" s="816"/>
      <c r="B134" s="820"/>
      <c r="C134" s="834"/>
      <c r="D134" s="834"/>
      <c r="E134"/>
      <c r="F134"/>
      <c r="G134"/>
      <c r="H134"/>
      <c r="I134" s="835"/>
      <c r="J134" s="826"/>
      <c r="K134" s="828"/>
      <c r="L134" s="827"/>
      <c r="M134" s="833"/>
      <c r="N134" s="820"/>
      <c r="O134" s="820"/>
      <c r="P134" s="835"/>
      <c r="Q134" s="1307"/>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5"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abSelected="1" workbookViewId="0">
      <selection activeCell="F2454" sqref="F2454"/>
    </sheetView>
  </sheetViews>
  <sheetFormatPr defaultColWidth="8.88671875" defaultRowHeight="34.9" customHeight="1"/>
  <cols>
    <col min="1" max="1" width="4.109375" style="815" customWidth="1"/>
    <col min="2" max="2" width="21.88671875" style="815" customWidth="1"/>
    <col min="3" max="3" width="5.44140625" style="819" customWidth="1"/>
    <col min="4" max="4" width="6" style="819" customWidth="1"/>
    <col min="5" max="6" width="22.21875" style="815" customWidth="1"/>
    <col min="7" max="7" width="5.21875" style="841" bestFit="1" customWidth="1"/>
    <col min="8" max="9" width="8.88671875" style="841"/>
    <col min="10" max="16384" width="8.88671875" style="808"/>
  </cols>
  <sheetData>
    <row r="1" spans="1:9" ht="34.9" customHeight="1">
      <c r="A1" s="3251" t="s">
        <v>4554</v>
      </c>
      <c r="B1" s="3251"/>
      <c r="C1" s="3251"/>
      <c r="D1" s="3251"/>
      <c r="E1" s="3251"/>
      <c r="F1" s="3251"/>
      <c r="G1" s="2631"/>
      <c r="H1" s="1208"/>
    </row>
    <row r="2" spans="1:9" s="809" customFormat="1" ht="34.9" customHeight="1">
      <c r="A2" s="1301" t="s">
        <v>4132</v>
      </c>
      <c r="B2" s="1301" t="s">
        <v>4111</v>
      </c>
      <c r="C2" s="1301" t="s">
        <v>4112</v>
      </c>
      <c r="D2" s="1301" t="s">
        <v>4113</v>
      </c>
      <c r="E2" s="1301" t="s">
        <v>4114</v>
      </c>
      <c r="F2" s="1301" t="s">
        <v>4115</v>
      </c>
      <c r="G2" s="1343" t="s">
        <v>1951</v>
      </c>
      <c r="H2" s="832"/>
      <c r="I2" s="842"/>
    </row>
    <row r="3" spans="1:9" ht="34.9"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9" customHeight="1">
      <c r="A4" s="1302">
        <f>SUM($G$3:G4)</f>
        <v>2</v>
      </c>
      <c r="B4" s="1303" t="str">
        <f>'NT-VT'!C7</f>
        <v>FCO 24kV - 100A</v>
      </c>
      <c r="C4" s="1304" t="str">
        <f>'NT-VT'!D7</f>
        <v>cái</v>
      </c>
      <c r="D4" s="1305">
        <f>'NT-VT'!E7</f>
        <v>3</v>
      </c>
      <c r="E4" s="1302" t="str">
        <f>'NT-VT'!F7</f>
        <v>Chance</v>
      </c>
      <c r="F4" s="1302" t="str">
        <f>'NT-VT'!G7</f>
        <v>Chance</v>
      </c>
      <c r="G4" s="835">
        <f t="shared" ref="G4:G66" si="0">IF(ISERROR(B4),"",1)</f>
        <v>1</v>
      </c>
      <c r="H4" s="844"/>
    </row>
    <row r="5" spans="1:9" ht="34.9" customHeight="1">
      <c r="A5" s="1302">
        <f>SUM($G$3:G5)</f>
        <v>3</v>
      </c>
      <c r="B5" s="1303" t="str">
        <f>'NT-VT'!C8</f>
        <v>Chống sét van LA-18KV-10KA</v>
      </c>
      <c r="C5" s="1304" t="str">
        <f>'NT-VT'!D8</f>
        <v>cái</v>
      </c>
      <c r="D5" s="1305">
        <f>'NT-VT'!E8</f>
        <v>6</v>
      </c>
      <c r="E5" s="1302" t="str">
        <f>'NT-VT'!F8</f>
        <v>Cooper</v>
      </c>
      <c r="F5" s="1302" t="str">
        <f>'NT-VT'!G8</f>
        <v>Cooper</v>
      </c>
      <c r="G5" s="835">
        <f t="shared" si="0"/>
        <v>1</v>
      </c>
      <c r="H5" s="844"/>
    </row>
    <row r="6" spans="1:9" ht="34.9"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9" customHeight="1">
      <c r="A7" s="1302">
        <f>SUM($G$3:G7)</f>
        <v>5</v>
      </c>
      <c r="B7" s="1303" t="str">
        <f>'NT-VT'!C10</f>
        <v xml:space="preserve">Sứ đứng 24KV </v>
      </c>
      <c r="C7" s="1304" t="str">
        <f>'NT-VT'!D10</f>
        <v>cái</v>
      </c>
      <c r="D7" s="1305">
        <f>'NT-VT'!E10</f>
        <v>6</v>
      </c>
      <c r="E7" s="1302" t="str">
        <f>'NT-VT'!F10</f>
        <v>Minh Long</v>
      </c>
      <c r="F7" s="1302" t="str">
        <f>'NT-VT'!G10</f>
        <v>Minh Long</v>
      </c>
      <c r="G7" s="835">
        <f t="shared" si="0"/>
        <v>1</v>
      </c>
      <c r="H7" s="843"/>
      <c r="I7" s="819"/>
    </row>
    <row r="8" spans="1:9" ht="34.9"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35">
        <f t="shared" si="0"/>
        <v>1</v>
      </c>
      <c r="H8" s="843"/>
      <c r="I8" s="819"/>
    </row>
    <row r="9" spans="1:9" ht="34.9"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9"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9" customHeight="1">
      <c r="A11" s="1302">
        <f>SUM($G$3:G11)</f>
        <v>9</v>
      </c>
      <c r="B11" s="1303" t="str">
        <f>'NT-VT'!C14</f>
        <v>Cáp đồng trần M25mm2</v>
      </c>
      <c r="C11" s="1304" t="str">
        <f>'NT-VT'!D14</f>
        <v>kg</v>
      </c>
      <c r="D11" s="1305">
        <f>'NT-VT'!E14</f>
        <v>11.87</v>
      </c>
      <c r="E11" s="1302" t="str">
        <f>'NT-VT'!F14</f>
        <v>Cty TNHHSX-TM Dây &amp; Cáp Điện Tài Trường Thành</v>
      </c>
      <c r="F11" s="1302" t="str">
        <f>'NT-VT'!G14</f>
        <v>Cty TNHHSX-TM Dây &amp; Cáp Điện Tài Trường Thành</v>
      </c>
      <c r="G11" s="835">
        <f t="shared" si="0"/>
        <v>1</v>
      </c>
      <c r="H11" s="844"/>
    </row>
    <row r="12" spans="1:9" ht="34.9"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9" customHeight="1">
      <c r="A13" s="1302">
        <f>SUM($G$3:G13)</f>
        <v>11</v>
      </c>
      <c r="B13" s="1303" t="str">
        <f>'NT-VT'!C16</f>
        <v>Xà composite 110x800x5 dài 2,4m</v>
      </c>
      <c r="C13" s="1304" t="str">
        <f>'NT-VT'!D16</f>
        <v>cái</v>
      </c>
      <c r="D13" s="1305">
        <f>'NT-VT'!E16</f>
        <v>1</v>
      </c>
      <c r="E13" s="1302" t="str">
        <f>'NT-VT'!F16</f>
        <v>nt</v>
      </c>
      <c r="F13" s="1302" t="str">
        <f>'NT-VT'!G16</f>
        <v>nt</v>
      </c>
      <c r="G13" s="835">
        <f t="shared" si="0"/>
        <v>1</v>
      </c>
      <c r="H13" s="843"/>
      <c r="I13" s="819"/>
    </row>
    <row r="14" spans="1:9" ht="34.9" customHeight="1">
      <c r="A14" s="1302">
        <f>SUM($G$3:G14)</f>
        <v>12</v>
      </c>
      <c r="B14" s="1303" t="str">
        <f>'NT-VT'!C17</f>
        <v>Chống composite 40x10x920</v>
      </c>
      <c r="C14" s="1304" t="str">
        <f>'NT-VT'!D17</f>
        <v>cái</v>
      </c>
      <c r="D14" s="1305">
        <f>'NT-VT'!E17</f>
        <v>1</v>
      </c>
      <c r="E14" s="1302" t="str">
        <f>'NT-VT'!F17</f>
        <v>nt</v>
      </c>
      <c r="F14" s="1302" t="str">
        <f>'NT-VT'!G17</f>
        <v>nt</v>
      </c>
      <c r="G14" s="835">
        <f t="shared" si="0"/>
        <v>1</v>
      </c>
      <c r="H14" s="843"/>
      <c r="I14" s="819"/>
    </row>
    <row r="15" spans="1:9" ht="34.9" customHeight="1">
      <c r="A15" s="1302">
        <f>SUM($G$3:G15)</f>
        <v>13</v>
      </c>
      <c r="B15" s="1303" t="str">
        <f>'NT-VT'!C18</f>
        <v>Boulon 16x250+ 2 long đền vuông D18-50x50x3/Zn</v>
      </c>
      <c r="C15" s="1304" t="str">
        <f>'NT-VT'!D18</f>
        <v>bộ</v>
      </c>
      <c r="D15" s="1305">
        <f>'NT-VT'!E18</f>
        <v>2</v>
      </c>
      <c r="E15" s="1302">
        <f>'NT-VT'!F18</f>
        <v>0</v>
      </c>
      <c r="F15" s="1302">
        <f>'NT-VT'!G18</f>
        <v>0</v>
      </c>
      <c r="G15" s="835">
        <f t="shared" si="0"/>
        <v>1</v>
      </c>
      <c r="H15" s="843"/>
      <c r="I15" s="819"/>
    </row>
    <row r="16" spans="1:9" ht="34.9" customHeight="1">
      <c r="A16" s="1302">
        <f>SUM($G$3:G16)</f>
        <v>14</v>
      </c>
      <c r="B16" s="1303" t="str">
        <f>'NT-VT'!C19</f>
        <v>Boulon 16x350+ 2 long đền vuông D18-50x50x3/Zn</v>
      </c>
      <c r="C16" s="1304" t="str">
        <f>'NT-VT'!D19</f>
        <v>bộ</v>
      </c>
      <c r="D16" s="1305">
        <f>'NT-VT'!E19</f>
        <v>2</v>
      </c>
      <c r="E16" s="1302" t="str">
        <f>'NT-VT'!F19</f>
        <v>nt</v>
      </c>
      <c r="F16" s="1302" t="str">
        <f>'NT-VT'!G19</f>
        <v>nt</v>
      </c>
      <c r="G16" s="835">
        <f t="shared" si="0"/>
        <v>1</v>
      </c>
      <c r="H16" s="843"/>
      <c r="I16" s="819"/>
    </row>
    <row r="17" spans="1:9" ht="34.9"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9"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9" customHeight="1">
      <c r="A19" s="1302">
        <f>SUM($G$3:G19)</f>
        <v>17</v>
      </c>
      <c r="B19" s="1303" t="str">
        <f>'NT-VT'!C22</f>
        <v>Sắt góc L75 x75 x8 x</v>
      </c>
      <c r="C19" s="1304" t="str">
        <f>'NT-VT'!D22</f>
        <v>cái</v>
      </c>
      <c r="D19" s="1305">
        <f>'NT-VT'!E22</f>
        <v>2</v>
      </c>
      <c r="E19" s="1302" t="str">
        <f>'NT-VT'!F22</f>
        <v>nt</v>
      </c>
      <c r="F19" s="1302" t="str">
        <f>'NT-VT'!G22</f>
        <v>nt</v>
      </c>
      <c r="G19" s="835">
        <f t="shared" si="0"/>
        <v>1</v>
      </c>
      <c r="H19" s="843"/>
      <c r="I19" s="845"/>
    </row>
    <row r="20" spans="1:9" ht="34.9" customHeight="1">
      <c r="A20" s="1302">
        <f>SUM($G$3:G20)</f>
        <v>18</v>
      </c>
      <c r="B20" s="1303" t="str">
        <f>'NT-VT'!C23</f>
        <v>Sắt góc L50 x50 x5 x</v>
      </c>
      <c r="C20" s="1304" t="str">
        <f>'NT-VT'!D23</f>
        <v>cái</v>
      </c>
      <c r="D20" s="1305">
        <f>'NT-VT'!E23</f>
        <v>2</v>
      </c>
      <c r="E20" s="1302" t="str">
        <f>'NT-VT'!F23</f>
        <v>nt</v>
      </c>
      <c r="F20" s="1302" t="str">
        <f>'NT-VT'!G23</f>
        <v>nt</v>
      </c>
      <c r="G20" s="835">
        <f t="shared" si="0"/>
        <v>1</v>
      </c>
      <c r="H20" s="844"/>
    </row>
    <row r="21" spans="1:9" ht="34.9" customHeight="1">
      <c r="A21" s="1302">
        <f>SUM($G$3:G21)</f>
        <v>19</v>
      </c>
      <c r="B21" s="1303" t="str">
        <f>'NT-VT'!C24</f>
        <v>Boulon 16x300+ 2 long đền vuông D18-50x50x3/Zn</v>
      </c>
      <c r="C21" s="1304" t="str">
        <f>'NT-VT'!D24</f>
        <v>bộ</v>
      </c>
      <c r="D21" s="1305">
        <f>'NT-VT'!E24</f>
        <v>4</v>
      </c>
      <c r="E21" s="1302" t="str">
        <f>'NT-VT'!F24</f>
        <v>nt</v>
      </c>
      <c r="F21" s="1302" t="str">
        <f>'NT-VT'!G24</f>
        <v>nt</v>
      </c>
      <c r="G21" s="835">
        <f t="shared" si="0"/>
        <v>1</v>
      </c>
      <c r="H21" s="843"/>
      <c r="I21" s="819"/>
    </row>
    <row r="22" spans="1:9" ht="34.9" customHeight="1">
      <c r="A22" s="1302">
        <f>SUM($G$3:G22)</f>
        <v>20</v>
      </c>
      <c r="B22" s="1303" t="str">
        <f>'NT-VT'!C25</f>
        <v>Boulon 16x50+ 2 long đền vuông D18-50x50x3/Zn</v>
      </c>
      <c r="C22" s="1304" t="str">
        <f>'NT-VT'!D25</f>
        <v>bộ</v>
      </c>
      <c r="D22" s="1305">
        <f>'NT-VT'!E25</f>
        <v>8</v>
      </c>
      <c r="E22" s="1302" t="str">
        <f>'NT-VT'!F25</f>
        <v>nt</v>
      </c>
      <c r="F22" s="1302" t="str">
        <f>'NT-VT'!G25</f>
        <v>nt</v>
      </c>
      <c r="G22" s="835">
        <f t="shared" si="0"/>
        <v>1</v>
      </c>
      <c r="H22" s="843"/>
      <c r="I22" s="819"/>
    </row>
    <row r="23" spans="1:9" ht="34.9" customHeight="1">
      <c r="A23" s="1302">
        <f>SUM($G$3:G23)</f>
        <v>21</v>
      </c>
      <c r="B23" s="1303" t="str">
        <f>'NT-VT'!C26</f>
        <v>Boulon 16x300VRS+ 4 long đền vuông D18-50x50x3/Zn</v>
      </c>
      <c r="C23" s="1304" t="str">
        <f>'NT-VT'!D26</f>
        <v>bộ</v>
      </c>
      <c r="D23" s="1305">
        <f>'NT-VT'!E26</f>
        <v>8</v>
      </c>
      <c r="E23" s="1302" t="str">
        <f>'NT-VT'!F26</f>
        <v>nt</v>
      </c>
      <c r="F23" s="1302" t="str">
        <f>'NT-VT'!G26</f>
        <v>nt</v>
      </c>
      <c r="G23" s="835">
        <f t="shared" si="0"/>
        <v>1</v>
      </c>
      <c r="H23" s="843"/>
      <c r="I23" s="845"/>
    </row>
    <row r="24" spans="1:9" ht="34.9" customHeight="1">
      <c r="A24" s="1302">
        <f>SUM($G$3:G24)</f>
        <v>22</v>
      </c>
      <c r="B24" s="1303" t="str">
        <f>'NT-VT'!C27</f>
        <v>Cọc tiếp đất Þ 16- 2,4m + kẹp cọc mạ đồng</v>
      </c>
      <c r="C24" s="1304" t="str">
        <f>'NT-VT'!D27</f>
        <v>bộ</v>
      </c>
      <c r="D24" s="1305">
        <f>'NT-VT'!E27</f>
        <v>10</v>
      </c>
      <c r="E24" s="1302" t="str">
        <f>'NT-VT'!F27</f>
        <v>nt</v>
      </c>
      <c r="F24" s="1302" t="str">
        <f>'NT-VT'!G27</f>
        <v>nt</v>
      </c>
      <c r="G24" s="835">
        <f t="shared" si="0"/>
        <v>1</v>
      </c>
      <c r="H24" s="843"/>
      <c r="I24" s="845"/>
    </row>
    <row r="25" spans="1:9" ht="34.9" customHeight="1">
      <c r="A25" s="1302">
        <f>SUM($G$3:G25)</f>
        <v>23</v>
      </c>
      <c r="B25" s="1303" t="str">
        <f>'NT-VT'!C28</f>
        <v>Kẹp ép WR cỡ dây 50mm2</v>
      </c>
      <c r="C25" s="1304" t="str">
        <f>'NT-VT'!D28</f>
        <v>cái</v>
      </c>
      <c r="D25" s="1305">
        <f>'NT-VT'!E28</f>
        <v>2</v>
      </c>
      <c r="E25" s="1302" t="str">
        <f>'NT-VT'!F28</f>
        <v>nt</v>
      </c>
      <c r="F25" s="1302" t="str">
        <f>'NT-VT'!G28</f>
        <v>nt</v>
      </c>
      <c r="G25" s="835">
        <f t="shared" si="0"/>
        <v>1</v>
      </c>
      <c r="H25" s="843"/>
      <c r="I25" s="819"/>
    </row>
    <row r="26" spans="1:9" ht="34.9" customHeight="1">
      <c r="A26" s="1302">
        <f>SUM($G$3:G26)</f>
        <v>24</v>
      </c>
      <c r="B26" s="1303" t="str">
        <f>'NT-VT'!C29</f>
        <v>Ốc siết cáp cỡ 25mm2</v>
      </c>
      <c r="C26" s="1304" t="str">
        <f>'NT-VT'!D29</f>
        <v>cái</v>
      </c>
      <c r="D26" s="1305">
        <f>'NT-VT'!E29</f>
        <v>11</v>
      </c>
      <c r="E26" s="1302" t="str">
        <f>'NT-VT'!F29</f>
        <v>nt</v>
      </c>
      <c r="F26" s="1302" t="str">
        <f>'NT-VT'!G29</f>
        <v>nt</v>
      </c>
      <c r="G26" s="835">
        <f t="shared" si="0"/>
        <v>1</v>
      </c>
      <c r="H26" s="843"/>
      <c r="I26" s="819"/>
    </row>
    <row r="27" spans="1:9" ht="34.9"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9"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9"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9"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9"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9"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9"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9"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9"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9" customHeight="1">
      <c r="A36" s="1302">
        <f>SUM($G$3:G36)</f>
        <v>34</v>
      </c>
      <c r="B36" s="1303" t="str">
        <f>'NT-VT'!C39</f>
        <v>Chân sứ đứng D20</v>
      </c>
      <c r="C36" s="1304" t="str">
        <f>'NT-VT'!D39</f>
        <v>cái</v>
      </c>
      <c r="D36" s="1305">
        <f>'NT-VT'!E39</f>
        <v>6</v>
      </c>
      <c r="E36" s="1302" t="str">
        <f>'NT-VT'!F39</f>
        <v>nt</v>
      </c>
      <c r="F36" s="1302" t="str">
        <f>'NT-VT'!G39</f>
        <v>nt</v>
      </c>
      <c r="G36" s="835">
        <f t="shared" si="0"/>
        <v>1</v>
      </c>
      <c r="H36" s="843"/>
      <c r="I36" s="845"/>
    </row>
    <row r="37" spans="1:9" ht="34.9" customHeight="1">
      <c r="A37" s="1302">
        <f>SUM($G$3:G37)</f>
        <v>35</v>
      </c>
      <c r="B37" s="1303" t="str">
        <f>'NT-VT'!C40</f>
        <v>Dây buộc đầu sứ cỡ dây 50mm2</v>
      </c>
      <c r="C37" s="1304" t="str">
        <f>'NT-VT'!D40</f>
        <v>cái</v>
      </c>
      <c r="D37" s="1305">
        <f>'NT-VT'!E40</f>
        <v>6</v>
      </c>
      <c r="E37" s="1302" t="str">
        <f>'NT-VT'!F40</f>
        <v>nt</v>
      </c>
      <c r="F37" s="1302" t="str">
        <f>'NT-VT'!G40</f>
        <v>nt</v>
      </c>
      <c r="G37" s="835">
        <f t="shared" si="0"/>
        <v>1</v>
      </c>
      <c r="H37" s="843"/>
      <c r="I37" s="845"/>
    </row>
    <row r="38" spans="1:9" ht="34.9"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9"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9"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9" customHeight="1">
      <c r="A41" s="1302">
        <f>SUM($G$3:G41)</f>
        <v>39</v>
      </c>
      <c r="B41" s="1303" t="str">
        <f>'NT-VT'!C44</f>
        <v>Keo silicon bít miệng ống:</v>
      </c>
      <c r="C41" s="1304" t="str">
        <f>'NT-VT'!D44</f>
        <v>ống</v>
      </c>
      <c r="D41" s="1305">
        <f>'NT-VT'!E44</f>
        <v>5</v>
      </c>
      <c r="E41" s="1302" t="str">
        <f>'NT-VT'!F44</f>
        <v>nt</v>
      </c>
      <c r="F41" s="1302" t="str">
        <f>'NT-VT'!G44</f>
        <v>nt</v>
      </c>
      <c r="G41" s="835">
        <f t="shared" si="0"/>
        <v>1</v>
      </c>
      <c r="H41" s="843"/>
      <c r="I41" s="845"/>
    </row>
    <row r="42" spans="1:9" ht="34.9"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9"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9"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9"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9"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9"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9"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9"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9"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9"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9"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9"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9"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9" customHeight="1">
      <c r="A55" s="1302">
        <f>SUM($G$3:G55)</f>
        <v>53</v>
      </c>
      <c r="B55" s="1303" t="str">
        <f>'NT-VT'!C58</f>
        <v>Ống PVC D60x2,8mm</v>
      </c>
      <c r="C55" s="1304" t="str">
        <f>'NT-VT'!D58</f>
        <v>m</v>
      </c>
      <c r="D55" s="1305">
        <f>'NT-VT'!E58</f>
        <v>18</v>
      </c>
      <c r="E55" s="1302" t="str">
        <f>'NT-VT'!F58</f>
        <v>nt</v>
      </c>
      <c r="F55" s="1302" t="str">
        <f>'NT-VT'!G58</f>
        <v>nt</v>
      </c>
      <c r="G55" s="835">
        <f t="shared" si="0"/>
        <v>1</v>
      </c>
      <c r="H55" s="843"/>
      <c r="I55" s="819"/>
    </row>
    <row r="56" spans="1:9" ht="34.9"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9" customHeight="1">
      <c r="A57" s="1302">
        <f>SUM($G$3:G57)</f>
        <v>55</v>
      </c>
      <c r="B57" s="1303" t="str">
        <f>'NT-VT'!C60</f>
        <v>Co 90 độ PVC 60</v>
      </c>
      <c r="C57" s="1304" t="str">
        <f>'NT-VT'!D60</f>
        <v>cái</v>
      </c>
      <c r="D57" s="1305">
        <f>'NT-VT'!E60</f>
        <v>6</v>
      </c>
      <c r="E57" s="1302" t="str">
        <f>'NT-VT'!F60</f>
        <v>nt</v>
      </c>
      <c r="F57" s="1302" t="str">
        <f>'NT-VT'!G60</f>
        <v>nt</v>
      </c>
      <c r="G57" s="835">
        <f t="shared" si="0"/>
        <v>1</v>
      </c>
      <c r="H57" s="843"/>
      <c r="I57" s="819"/>
    </row>
    <row r="58" spans="1:9" ht="34.9"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9"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9"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9"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9"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9"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9"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9"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75" hidden="1">
      <c r="A66" s="1302">
        <f>SUM($G$3:G66)</f>
        <v>63</v>
      </c>
      <c r="B66" s="1303" t="e">
        <f>'NT-VT'!C69</f>
        <v>#N/A</v>
      </c>
      <c r="C66" s="1304">
        <f>'NT-VT'!D69</f>
        <v>0</v>
      </c>
      <c r="D66" s="1305">
        <f>'NT-VT'!E69</f>
        <v>0</v>
      </c>
      <c r="E66" s="1302" t="str">
        <f>'NT-VT'!F69</f>
        <v/>
      </c>
      <c r="F66" s="1302" t="str">
        <f>'NT-VT'!G69</f>
        <v/>
      </c>
      <c r="G66" s="835" t="str">
        <f t="shared" si="0"/>
        <v/>
      </c>
      <c r="H66" s="843"/>
      <c r="I66" s="819"/>
    </row>
    <row r="67" spans="1:9" ht="15.75" hidden="1">
      <c r="A67" s="1302">
        <f>SUM($G$3:G67)</f>
        <v>63</v>
      </c>
      <c r="B67" s="1303" t="e">
        <f>'NT-VT'!C70</f>
        <v>#N/A</v>
      </c>
      <c r="C67" s="1304">
        <f>'NT-VT'!D70</f>
        <v>0</v>
      </c>
      <c r="D67" s="1305">
        <f>'NT-VT'!E70</f>
        <v>0</v>
      </c>
      <c r="E67" s="1302" t="str">
        <f>'NT-VT'!F70</f>
        <v/>
      </c>
      <c r="F67" s="1302" t="str">
        <f>'NT-VT'!G70</f>
        <v/>
      </c>
      <c r="G67" s="835" t="str">
        <f t="shared" ref="G67:G93" si="1">IF(ISERROR(B67),"",1)</f>
        <v/>
      </c>
      <c r="H67" s="843"/>
      <c r="I67" s="819"/>
    </row>
    <row r="68" spans="1:9" ht="15.75" hidden="1">
      <c r="A68" s="1302">
        <f>SUM($G$3:G68)</f>
        <v>63</v>
      </c>
      <c r="B68" s="1303" t="e">
        <f>'NT-VT'!C71</f>
        <v>#N/A</v>
      </c>
      <c r="C68" s="1304">
        <f>'NT-VT'!D71</f>
        <v>0</v>
      </c>
      <c r="D68" s="1305">
        <f>'NT-VT'!E71</f>
        <v>0</v>
      </c>
      <c r="E68" s="1302" t="str">
        <f>'NT-VT'!F71</f>
        <v/>
      </c>
      <c r="F68" s="1302" t="str">
        <f>'NT-VT'!G71</f>
        <v/>
      </c>
      <c r="G68" s="835" t="str">
        <f t="shared" si="1"/>
        <v/>
      </c>
      <c r="H68" s="843"/>
      <c r="I68" s="819"/>
    </row>
    <row r="69" spans="1:9" ht="15.75" hidden="1">
      <c r="A69" s="1302">
        <f>SUM($G$3:G69)</f>
        <v>63</v>
      </c>
      <c r="B69" s="1303" t="e">
        <f>'NT-VT'!C72</f>
        <v>#N/A</v>
      </c>
      <c r="C69" s="1304">
        <f>'NT-VT'!D72</f>
        <v>0</v>
      </c>
      <c r="D69" s="1305">
        <f>'NT-VT'!E72</f>
        <v>0</v>
      </c>
      <c r="E69" s="1302" t="str">
        <f>'NT-VT'!F72</f>
        <v/>
      </c>
      <c r="F69" s="1302" t="str">
        <f>'NT-VT'!G72</f>
        <v/>
      </c>
      <c r="G69" s="835" t="str">
        <f t="shared" si="1"/>
        <v/>
      </c>
      <c r="H69" s="843"/>
      <c r="I69" s="819"/>
    </row>
    <row r="70" spans="1:9" ht="15.75" hidden="1">
      <c r="A70" s="1302">
        <f>SUM($G$3:G70)</f>
        <v>63</v>
      </c>
      <c r="B70" s="1303" t="e">
        <f>'NT-VT'!C73</f>
        <v>#N/A</v>
      </c>
      <c r="C70" s="1304">
        <f>'NT-VT'!D73</f>
        <v>0</v>
      </c>
      <c r="D70" s="1305">
        <f>'NT-VT'!E73</f>
        <v>0</v>
      </c>
      <c r="E70" s="1302" t="str">
        <f>'NT-VT'!F73</f>
        <v/>
      </c>
      <c r="F70" s="1302" t="str">
        <f>'NT-VT'!G73</f>
        <v/>
      </c>
      <c r="G70" s="835" t="str">
        <f t="shared" si="1"/>
        <v/>
      </c>
      <c r="H70" s="843"/>
      <c r="I70" s="819"/>
    </row>
    <row r="71" spans="1:9" ht="15.75" hidden="1">
      <c r="A71" s="1302">
        <f>SUM($G$3:G71)</f>
        <v>63</v>
      </c>
      <c r="B71" s="1303" t="e">
        <f>'NT-VT'!C74</f>
        <v>#N/A</v>
      </c>
      <c r="C71" s="1304">
        <f>'NT-VT'!D74</f>
        <v>0</v>
      </c>
      <c r="D71" s="1305">
        <f>'NT-VT'!E74</f>
        <v>0</v>
      </c>
      <c r="E71" s="1302" t="str">
        <f>'NT-VT'!F74</f>
        <v/>
      </c>
      <c r="F71" s="1302" t="str">
        <f>'NT-VT'!G74</f>
        <v/>
      </c>
      <c r="G71" s="835" t="str">
        <f t="shared" si="1"/>
        <v/>
      </c>
      <c r="H71" s="843"/>
      <c r="I71" s="819"/>
    </row>
    <row r="72" spans="1:9" ht="15.75" hidden="1">
      <c r="A72" s="1302">
        <f>SUM($G$3:G72)</f>
        <v>63</v>
      </c>
      <c r="B72" s="1303" t="e">
        <f>'NT-VT'!C75</f>
        <v>#N/A</v>
      </c>
      <c r="C72" s="1304">
        <f>'NT-VT'!D75</f>
        <v>0</v>
      </c>
      <c r="D72" s="1305">
        <f>'NT-VT'!E75</f>
        <v>0</v>
      </c>
      <c r="E72" s="1302" t="str">
        <f>'NT-VT'!F75</f>
        <v/>
      </c>
      <c r="F72" s="1302" t="str">
        <f>'NT-VT'!G75</f>
        <v/>
      </c>
      <c r="G72" s="835" t="str">
        <f t="shared" si="1"/>
        <v/>
      </c>
      <c r="H72" s="843"/>
      <c r="I72" s="819"/>
    </row>
    <row r="73" spans="1:9" ht="15.75" hidden="1">
      <c r="A73" s="1302">
        <f>SUM($G$3:G73)</f>
        <v>63</v>
      </c>
      <c r="B73" s="1303" t="e">
        <f>'NT-VT'!C76</f>
        <v>#N/A</v>
      </c>
      <c r="C73" s="1304">
        <f>'NT-VT'!D76</f>
        <v>0</v>
      </c>
      <c r="D73" s="1305">
        <f>'NT-VT'!E76</f>
        <v>0</v>
      </c>
      <c r="E73" s="1302" t="str">
        <f>'NT-VT'!F76</f>
        <v/>
      </c>
      <c r="F73" s="1302" t="str">
        <f>'NT-VT'!G76</f>
        <v/>
      </c>
      <c r="G73" s="835" t="str">
        <f t="shared" si="1"/>
        <v/>
      </c>
      <c r="H73" s="843"/>
      <c r="I73" s="819"/>
    </row>
    <row r="74" spans="1:9" ht="15.75" hidden="1">
      <c r="A74" s="1302">
        <f>SUM($G$3:G74)</f>
        <v>63</v>
      </c>
      <c r="B74" s="1303" t="e">
        <f>'NT-VT'!C77</f>
        <v>#N/A</v>
      </c>
      <c r="C74" s="1304">
        <f>'NT-VT'!D77</f>
        <v>0</v>
      </c>
      <c r="D74" s="1305">
        <f>'NT-VT'!E77</f>
        <v>0</v>
      </c>
      <c r="E74" s="1302" t="str">
        <f>'NT-VT'!F77</f>
        <v/>
      </c>
      <c r="F74" s="1302" t="str">
        <f>'NT-VT'!G77</f>
        <v/>
      </c>
      <c r="G74" s="835" t="str">
        <f t="shared" si="1"/>
        <v/>
      </c>
      <c r="H74" s="843"/>
      <c r="I74" s="819"/>
    </row>
    <row r="75" spans="1:9" ht="15.75" hidden="1">
      <c r="A75" s="1302">
        <f>SUM($G$3:G75)</f>
        <v>63</v>
      </c>
      <c r="B75" s="1303" t="e">
        <f>'NT-VT'!C78</f>
        <v>#N/A</v>
      </c>
      <c r="C75" s="1304">
        <f>'NT-VT'!D78</f>
        <v>0</v>
      </c>
      <c r="D75" s="1305">
        <f>'NT-VT'!E78</f>
        <v>0</v>
      </c>
      <c r="E75" s="1302" t="str">
        <f>'NT-VT'!F78</f>
        <v/>
      </c>
      <c r="F75" s="1302" t="str">
        <f>'NT-VT'!G78</f>
        <v/>
      </c>
      <c r="G75" s="835" t="str">
        <f t="shared" si="1"/>
        <v/>
      </c>
      <c r="H75" s="843"/>
      <c r="I75" s="819"/>
    </row>
    <row r="76" spans="1:9" ht="15.75" hidden="1">
      <c r="A76" s="1302">
        <f>SUM($G$3:G76)</f>
        <v>63</v>
      </c>
      <c r="B76" s="1303" t="e">
        <f>'NT-VT'!C79</f>
        <v>#N/A</v>
      </c>
      <c r="C76" s="1304">
        <f>'NT-VT'!D79</f>
        <v>0</v>
      </c>
      <c r="D76" s="1305">
        <f>'NT-VT'!E79</f>
        <v>0</v>
      </c>
      <c r="E76" s="1302" t="str">
        <f>'NT-VT'!F79</f>
        <v/>
      </c>
      <c r="F76" s="1302" t="str">
        <f>'NT-VT'!G79</f>
        <v/>
      </c>
      <c r="G76" s="835" t="str">
        <f t="shared" si="1"/>
        <v/>
      </c>
      <c r="H76" s="843"/>
      <c r="I76" s="819"/>
    </row>
    <row r="77" spans="1:9" ht="15.75" hidden="1">
      <c r="A77" s="1302">
        <f>SUM($G$3:G77)</f>
        <v>63</v>
      </c>
      <c r="B77" s="1303" t="e">
        <f>'NT-VT'!C80</f>
        <v>#N/A</v>
      </c>
      <c r="C77" s="1304">
        <f>'NT-VT'!D80</f>
        <v>0</v>
      </c>
      <c r="D77" s="1305">
        <f>'NT-VT'!E80</f>
        <v>0</v>
      </c>
      <c r="E77" s="1302" t="str">
        <f>'NT-VT'!F80</f>
        <v/>
      </c>
      <c r="F77" s="1302" t="str">
        <f>'NT-VT'!G80</f>
        <v/>
      </c>
      <c r="G77" s="835" t="str">
        <f t="shared" si="1"/>
        <v/>
      </c>
      <c r="H77" s="843"/>
      <c r="I77" s="819"/>
    </row>
    <row r="78" spans="1:9" ht="15.75" hidden="1">
      <c r="A78" s="1302">
        <f>SUM($G$3:G78)</f>
        <v>63</v>
      </c>
      <c r="B78" s="1303" t="e">
        <f>'NT-VT'!C81</f>
        <v>#N/A</v>
      </c>
      <c r="C78" s="1304">
        <f>'NT-VT'!D81</f>
        <v>0</v>
      </c>
      <c r="D78" s="1305">
        <f>'NT-VT'!E81</f>
        <v>0</v>
      </c>
      <c r="E78" s="1302" t="str">
        <f>'NT-VT'!F81</f>
        <v/>
      </c>
      <c r="F78" s="1302" t="str">
        <f>'NT-VT'!G81</f>
        <v/>
      </c>
      <c r="G78" s="835" t="str">
        <f t="shared" si="1"/>
        <v/>
      </c>
      <c r="H78" s="843"/>
      <c r="I78" s="819"/>
    </row>
    <row r="79" spans="1:9" ht="15.75" hidden="1">
      <c r="A79" s="1302">
        <f>SUM($G$3:G79)</f>
        <v>63</v>
      </c>
      <c r="B79" s="1303" t="e">
        <f>'NT-VT'!C82</f>
        <v>#N/A</v>
      </c>
      <c r="C79" s="1304">
        <f>'NT-VT'!D82</f>
        <v>0</v>
      </c>
      <c r="D79" s="1305">
        <f>'NT-VT'!E82</f>
        <v>0</v>
      </c>
      <c r="E79" s="1302" t="str">
        <f>'NT-VT'!F82</f>
        <v/>
      </c>
      <c r="F79" s="1302" t="str">
        <f>'NT-VT'!G82</f>
        <v/>
      </c>
      <c r="G79" s="835" t="str">
        <f t="shared" si="1"/>
        <v/>
      </c>
      <c r="H79" s="843"/>
      <c r="I79" s="819"/>
    </row>
    <row r="80" spans="1:9" ht="15.75" hidden="1">
      <c r="A80" s="1302">
        <f>SUM($G$3:G80)</f>
        <v>63</v>
      </c>
      <c r="B80" s="1303" t="e">
        <f>'NT-VT'!C83</f>
        <v>#N/A</v>
      </c>
      <c r="C80" s="1304">
        <f>'NT-VT'!D83</f>
        <v>0</v>
      </c>
      <c r="D80" s="1305">
        <f>'NT-VT'!E83</f>
        <v>0</v>
      </c>
      <c r="E80" s="1302" t="str">
        <f>'NT-VT'!F83</f>
        <v/>
      </c>
      <c r="F80" s="1302" t="str">
        <f>'NT-VT'!G83</f>
        <v/>
      </c>
      <c r="G80" s="835" t="str">
        <f t="shared" si="1"/>
        <v/>
      </c>
      <c r="H80" s="843"/>
      <c r="I80" s="819"/>
    </row>
    <row r="81" spans="1:9" ht="15.75" hidden="1">
      <c r="A81" s="1302">
        <f>SUM($G$3:G81)</f>
        <v>63</v>
      </c>
      <c r="B81" s="1303" t="e">
        <f>'NT-VT'!C84</f>
        <v>#N/A</v>
      </c>
      <c r="C81" s="1304">
        <f>'NT-VT'!D84</f>
        <v>0</v>
      </c>
      <c r="D81" s="1305">
        <f>'NT-VT'!E84</f>
        <v>0</v>
      </c>
      <c r="E81" s="1302" t="str">
        <f>'NT-VT'!F84</f>
        <v/>
      </c>
      <c r="F81" s="1302" t="str">
        <f>'NT-VT'!G84</f>
        <v/>
      </c>
      <c r="G81" s="835" t="str">
        <f t="shared" si="1"/>
        <v/>
      </c>
      <c r="H81" s="843"/>
      <c r="I81" s="819"/>
    </row>
    <row r="82" spans="1:9" ht="15.75" hidden="1">
      <c r="A82" s="1302">
        <f>SUM($G$3:G82)</f>
        <v>63</v>
      </c>
      <c r="B82" s="1303" t="e">
        <f>'NT-VT'!C85</f>
        <v>#N/A</v>
      </c>
      <c r="C82" s="1304">
        <f>'NT-VT'!D85</f>
        <v>0</v>
      </c>
      <c r="D82" s="1305">
        <f>'NT-VT'!E85</f>
        <v>0</v>
      </c>
      <c r="E82" s="1302" t="str">
        <f>'NT-VT'!F85</f>
        <v/>
      </c>
      <c r="F82" s="1302" t="str">
        <f>'NT-VT'!G85</f>
        <v/>
      </c>
      <c r="G82" s="835" t="str">
        <f t="shared" si="1"/>
        <v/>
      </c>
      <c r="H82" s="843"/>
      <c r="I82" s="819"/>
    </row>
    <row r="83" spans="1:9" ht="15.75" hidden="1">
      <c r="A83" s="1302">
        <f>SUM($G$3:G83)</f>
        <v>63</v>
      </c>
      <c r="B83" s="1303" t="e">
        <f>'NT-VT'!C86</f>
        <v>#N/A</v>
      </c>
      <c r="C83" s="1304">
        <f>'NT-VT'!D86</f>
        <v>0</v>
      </c>
      <c r="D83" s="1305">
        <f>'NT-VT'!E86</f>
        <v>0</v>
      </c>
      <c r="E83" s="1302" t="str">
        <f>'NT-VT'!F86</f>
        <v/>
      </c>
      <c r="F83" s="1302" t="str">
        <f>'NT-VT'!G86</f>
        <v/>
      </c>
      <c r="G83" s="835" t="str">
        <f t="shared" si="1"/>
        <v/>
      </c>
      <c r="H83" s="843"/>
      <c r="I83" s="819"/>
    </row>
    <row r="84" spans="1:9" ht="15.75" hidden="1">
      <c r="A84" s="1302">
        <f>SUM($G$3:G84)</f>
        <v>63</v>
      </c>
      <c r="B84" s="1303" t="e">
        <f>'NT-VT'!C87</f>
        <v>#N/A</v>
      </c>
      <c r="C84" s="1304">
        <f>'NT-VT'!D87</f>
        <v>0</v>
      </c>
      <c r="D84" s="1305">
        <f>'NT-VT'!E87</f>
        <v>0</v>
      </c>
      <c r="E84" s="1302" t="str">
        <f>'NT-VT'!F87</f>
        <v/>
      </c>
      <c r="F84" s="1302" t="str">
        <f>'NT-VT'!G87</f>
        <v/>
      </c>
      <c r="G84" s="835" t="str">
        <f t="shared" si="1"/>
        <v/>
      </c>
      <c r="H84" s="843"/>
      <c r="I84" s="819"/>
    </row>
    <row r="85" spans="1:9" ht="15.75" hidden="1">
      <c r="A85" s="1302">
        <f>SUM($G$3:G85)</f>
        <v>63</v>
      </c>
      <c r="B85" s="1303" t="e">
        <f>'NT-VT'!C88</f>
        <v>#N/A</v>
      </c>
      <c r="C85" s="1304">
        <f>'NT-VT'!D88</f>
        <v>0</v>
      </c>
      <c r="D85" s="1305">
        <f>'NT-VT'!E88</f>
        <v>0</v>
      </c>
      <c r="E85" s="1302" t="str">
        <f>'NT-VT'!F88</f>
        <v/>
      </c>
      <c r="F85" s="1302" t="str">
        <f>'NT-VT'!G88</f>
        <v/>
      </c>
      <c r="G85" s="835" t="str">
        <f t="shared" si="1"/>
        <v/>
      </c>
      <c r="H85" s="843"/>
      <c r="I85" s="819"/>
    </row>
    <row r="86" spans="1:9" ht="15.75" hidden="1">
      <c r="A86" s="1302">
        <f>SUM($G$3:G86)</f>
        <v>63</v>
      </c>
      <c r="B86" s="1303" t="e">
        <f>'NT-VT'!C89</f>
        <v>#N/A</v>
      </c>
      <c r="C86" s="1304">
        <f>'NT-VT'!D89</f>
        <v>0</v>
      </c>
      <c r="D86" s="1305">
        <f>'NT-VT'!E89</f>
        <v>0</v>
      </c>
      <c r="E86" s="1302" t="str">
        <f>'NT-VT'!F89</f>
        <v/>
      </c>
      <c r="F86" s="1302" t="str">
        <f>'NT-VT'!G89</f>
        <v/>
      </c>
      <c r="G86" s="835" t="str">
        <f t="shared" si="1"/>
        <v/>
      </c>
      <c r="H86" s="843"/>
      <c r="I86" s="819"/>
    </row>
    <row r="87" spans="1:9" ht="15.75" hidden="1">
      <c r="A87" s="1302">
        <f>SUM($G$3:G87)</f>
        <v>63</v>
      </c>
      <c r="B87" s="1303" t="e">
        <f>'NT-VT'!C90</f>
        <v>#N/A</v>
      </c>
      <c r="C87" s="1304">
        <f>'NT-VT'!D90</f>
        <v>0</v>
      </c>
      <c r="D87" s="1305">
        <f>'NT-VT'!E90</f>
        <v>0</v>
      </c>
      <c r="E87" s="1302" t="str">
        <f>'NT-VT'!F90</f>
        <v/>
      </c>
      <c r="F87" s="1302" t="str">
        <f>'NT-VT'!G90</f>
        <v/>
      </c>
      <c r="G87" s="835" t="str">
        <f t="shared" si="1"/>
        <v/>
      </c>
      <c r="H87" s="843"/>
      <c r="I87" s="819"/>
    </row>
    <row r="88" spans="1:9" ht="15.75" hidden="1">
      <c r="A88" s="1302">
        <f>SUM($G$3:G88)</f>
        <v>63</v>
      </c>
      <c r="B88" s="1303" t="e">
        <f>'NT-VT'!C91</f>
        <v>#N/A</v>
      </c>
      <c r="C88" s="1304">
        <f>'NT-VT'!D91</f>
        <v>0</v>
      </c>
      <c r="D88" s="1305">
        <f>'NT-VT'!E91</f>
        <v>0</v>
      </c>
      <c r="E88" s="1302" t="str">
        <f>'NT-VT'!F91</f>
        <v/>
      </c>
      <c r="F88" s="1302" t="str">
        <f>'NT-VT'!G91</f>
        <v/>
      </c>
      <c r="G88" s="835" t="str">
        <f t="shared" si="1"/>
        <v/>
      </c>
      <c r="H88" s="843"/>
      <c r="I88" s="819"/>
    </row>
    <row r="89" spans="1:9" ht="15.75" hidden="1">
      <c r="A89" s="1302">
        <f>SUM($G$3:G89)</f>
        <v>63</v>
      </c>
      <c r="B89" s="1303" t="e">
        <f>'NT-VT'!C92</f>
        <v>#N/A</v>
      </c>
      <c r="C89" s="1304">
        <f>'NT-VT'!D92</f>
        <v>0</v>
      </c>
      <c r="D89" s="1305">
        <f>'NT-VT'!E92</f>
        <v>0</v>
      </c>
      <c r="E89" s="1302" t="str">
        <f>'NT-VT'!F92</f>
        <v/>
      </c>
      <c r="F89" s="1302" t="str">
        <f>'NT-VT'!G92</f>
        <v/>
      </c>
      <c r="G89" s="835" t="str">
        <f t="shared" si="1"/>
        <v/>
      </c>
      <c r="H89" s="843"/>
      <c r="I89" s="819"/>
    </row>
    <row r="90" spans="1:9" ht="15.75" hidden="1">
      <c r="A90" s="1302">
        <f>SUM($G$3:G90)</f>
        <v>63</v>
      </c>
      <c r="B90" s="1303" t="e">
        <f>'NT-VT'!C93</f>
        <v>#N/A</v>
      </c>
      <c r="C90" s="1304">
        <f>'NT-VT'!D93</f>
        <v>0</v>
      </c>
      <c r="D90" s="1305">
        <f>'NT-VT'!E93</f>
        <v>0</v>
      </c>
      <c r="E90" s="1302" t="str">
        <f>'NT-VT'!F93</f>
        <v/>
      </c>
      <c r="F90" s="1302" t="str">
        <f>'NT-VT'!G93</f>
        <v/>
      </c>
      <c r="G90" s="835" t="str">
        <f t="shared" si="1"/>
        <v/>
      </c>
      <c r="H90" s="843"/>
      <c r="I90" s="819"/>
    </row>
    <row r="91" spans="1:9" ht="15.75" hidden="1">
      <c r="A91" s="1302">
        <f>SUM($G$3:G91)</f>
        <v>63</v>
      </c>
      <c r="B91" s="1303" t="e">
        <f>'NT-VT'!C94</f>
        <v>#N/A</v>
      </c>
      <c r="C91" s="1304">
        <f>'NT-VT'!D94</f>
        <v>0</v>
      </c>
      <c r="D91" s="1305">
        <f>'NT-VT'!E94</f>
        <v>0</v>
      </c>
      <c r="E91" s="1302" t="str">
        <f>'NT-VT'!F94</f>
        <v/>
      </c>
      <c r="F91" s="1302" t="str">
        <f>'NT-VT'!G94</f>
        <v/>
      </c>
      <c r="G91" s="835" t="str">
        <f t="shared" si="1"/>
        <v/>
      </c>
      <c r="H91" s="843"/>
      <c r="I91" s="819"/>
    </row>
    <row r="92" spans="1:9" ht="15.75" hidden="1">
      <c r="A92" s="1302">
        <f>SUM($G$3:G92)</f>
        <v>63</v>
      </c>
      <c r="B92" s="1303" t="e">
        <f>'NT-VT'!C95</f>
        <v>#N/A</v>
      </c>
      <c r="C92" s="1304">
        <f>'NT-VT'!D95</f>
        <v>0</v>
      </c>
      <c r="D92" s="2632">
        <f>'NT-VT'!E95</f>
        <v>0</v>
      </c>
      <c r="E92" s="1302" t="str">
        <f>'NT-VT'!F95</f>
        <v/>
      </c>
      <c r="F92" s="1302" t="str">
        <f>'NT-VT'!G95</f>
        <v/>
      </c>
      <c r="G92" s="835" t="str">
        <f t="shared" si="1"/>
        <v/>
      </c>
      <c r="H92" s="843"/>
      <c r="I92" s="819"/>
    </row>
    <row r="93" spans="1:9" ht="15.75" hidden="1">
      <c r="A93" s="1302">
        <f>SUM($G$3:G93)</f>
        <v>63</v>
      </c>
      <c r="B93" s="1303" t="e">
        <f>'NT-VT'!C96</f>
        <v>#N/A</v>
      </c>
      <c r="C93" s="1304">
        <f>'NT-VT'!D96</f>
        <v>0</v>
      </c>
      <c r="D93" s="2632">
        <f>'NT-VT'!E96</f>
        <v>0</v>
      </c>
      <c r="E93" s="1302" t="str">
        <f>'NT-VT'!F96</f>
        <v/>
      </c>
      <c r="F93" s="1302" t="str">
        <f>'NT-VT'!G96</f>
        <v/>
      </c>
      <c r="G93" s="835" t="str">
        <f t="shared" si="1"/>
        <v/>
      </c>
      <c r="H93" s="843"/>
      <c r="I93" s="819"/>
    </row>
    <row r="94" spans="1:9" ht="15.75" hidden="1">
      <c r="A94" s="1302">
        <f>SUM($G$3:G94)</f>
        <v>63</v>
      </c>
      <c r="B94" s="1303" t="e">
        <f>'NT-VT'!C97</f>
        <v>#N/A</v>
      </c>
      <c r="C94" s="1304">
        <f>'NT-VT'!D97</f>
        <v>0</v>
      </c>
      <c r="D94" s="2632">
        <f>'NT-VT'!E97</f>
        <v>0</v>
      </c>
      <c r="E94" s="1302" t="str">
        <f>'NT-VT'!F97</f>
        <v/>
      </c>
      <c r="F94" s="1302" t="str">
        <f>'NT-VT'!G97</f>
        <v/>
      </c>
      <c r="G94" s="835" t="str">
        <f t="shared" ref="G94:G124" si="2">IF(ISERROR(B94),"",1)</f>
        <v/>
      </c>
      <c r="H94" s="843"/>
      <c r="I94" s="819"/>
    </row>
    <row r="95" spans="1:9" ht="15.75" hidden="1">
      <c r="A95" s="1302">
        <f>SUM($G$3:G95)</f>
        <v>63</v>
      </c>
      <c r="B95" s="1303" t="e">
        <f>'NT-VT'!C98</f>
        <v>#N/A</v>
      </c>
      <c r="C95" s="1304">
        <f>'NT-VT'!D98</f>
        <v>0</v>
      </c>
      <c r="D95" s="2030">
        <f>'NT-VT'!E98</f>
        <v>0</v>
      </c>
      <c r="E95" s="1302" t="str">
        <f>'NT-VT'!F98</f>
        <v/>
      </c>
      <c r="F95" s="1302" t="str">
        <f>'NT-VT'!G98</f>
        <v/>
      </c>
      <c r="G95" s="835" t="str">
        <f t="shared" si="2"/>
        <v/>
      </c>
      <c r="H95" s="843"/>
      <c r="I95" s="819"/>
    </row>
    <row r="96" spans="1:9" ht="15.75" hidden="1">
      <c r="A96" s="1302">
        <f>SUM($G$3:G96)</f>
        <v>63</v>
      </c>
      <c r="B96" s="1303" t="e">
        <f>'NT-VT'!C99</f>
        <v>#N/A</v>
      </c>
      <c r="C96" s="1304">
        <f>'NT-VT'!D99</f>
        <v>0</v>
      </c>
      <c r="D96" s="2030">
        <f>'NT-VT'!E99</f>
        <v>0</v>
      </c>
      <c r="E96" s="1302" t="str">
        <f>'NT-VT'!F99</f>
        <v/>
      </c>
      <c r="F96" s="1302" t="str">
        <f>'NT-VT'!G99</f>
        <v/>
      </c>
      <c r="G96" s="835" t="str">
        <f t="shared" si="2"/>
        <v/>
      </c>
      <c r="H96" s="843"/>
      <c r="I96" s="819"/>
    </row>
    <row r="97" spans="1:9" ht="15.75" hidden="1">
      <c r="A97" s="1302">
        <f>SUM($G$3:G97)</f>
        <v>63</v>
      </c>
      <c r="B97" s="1303" t="e">
        <f>'NT-VT'!C100</f>
        <v>#N/A</v>
      </c>
      <c r="C97" s="1304">
        <f>'NT-VT'!D100</f>
        <v>0</v>
      </c>
      <c r="D97" s="1305">
        <f>'NT-VT'!E100</f>
        <v>0</v>
      </c>
      <c r="E97" s="1302" t="str">
        <f>'NT-VT'!F100</f>
        <v/>
      </c>
      <c r="F97" s="1302" t="str">
        <f>'NT-VT'!G100</f>
        <v/>
      </c>
      <c r="G97" s="835" t="str">
        <f t="shared" si="2"/>
        <v/>
      </c>
      <c r="H97" s="843"/>
      <c r="I97" s="819"/>
    </row>
    <row r="98" spans="1:9" ht="15.75" hidden="1">
      <c r="A98" s="1302">
        <f>SUM($G$3:G98)</f>
        <v>63</v>
      </c>
      <c r="B98" s="1303" t="e">
        <f>'NT-VT'!C101</f>
        <v>#N/A</v>
      </c>
      <c r="C98" s="1304">
        <f>'NT-VT'!D101</f>
        <v>0</v>
      </c>
      <c r="D98" s="1305">
        <f>'NT-VT'!E101</f>
        <v>0</v>
      </c>
      <c r="E98" s="1302" t="str">
        <f>'NT-VT'!F101</f>
        <v/>
      </c>
      <c r="F98" s="1302" t="str">
        <f>'NT-VT'!G101</f>
        <v/>
      </c>
      <c r="G98" s="829" t="str">
        <f t="shared" si="2"/>
        <v/>
      </c>
      <c r="H98" s="843"/>
      <c r="I98" s="819"/>
    </row>
    <row r="99" spans="1:9" ht="15.75" hidden="1">
      <c r="A99" s="1302">
        <f>SUM($G$3:G99)</f>
        <v>63</v>
      </c>
      <c r="B99" s="1303" t="e">
        <f>'NT-VT'!C102</f>
        <v>#N/A</v>
      </c>
      <c r="C99" s="1304">
        <f>'NT-VT'!D102</f>
        <v>0</v>
      </c>
      <c r="D99" s="1305">
        <f>'NT-VT'!E102</f>
        <v>0</v>
      </c>
      <c r="E99" s="1302" t="str">
        <f>'NT-VT'!F102</f>
        <v/>
      </c>
      <c r="F99" s="1302" t="str">
        <f>'NT-VT'!G102</f>
        <v/>
      </c>
      <c r="G99" s="829" t="str">
        <f t="shared" si="2"/>
        <v/>
      </c>
      <c r="H99" s="843"/>
      <c r="I99" s="819"/>
    </row>
    <row r="100" spans="1:9" ht="15.75" hidden="1">
      <c r="A100" s="1302">
        <f>SUM($G$3:G100)</f>
        <v>63</v>
      </c>
      <c r="B100" s="1303" t="e">
        <f>'NT-VT'!C103</f>
        <v>#N/A</v>
      </c>
      <c r="C100" s="1304">
        <f>'NT-VT'!D103</f>
        <v>0</v>
      </c>
      <c r="D100" s="1305">
        <f>'NT-VT'!E103</f>
        <v>0</v>
      </c>
      <c r="E100" s="1302" t="str">
        <f>'NT-VT'!F103</f>
        <v/>
      </c>
      <c r="F100" s="1302" t="str">
        <f>'NT-VT'!G103</f>
        <v/>
      </c>
      <c r="G100" s="829" t="str">
        <f t="shared" si="2"/>
        <v/>
      </c>
      <c r="H100" s="843"/>
      <c r="I100" s="819"/>
    </row>
    <row r="101" spans="1:9" ht="15.75" hidden="1">
      <c r="A101" s="1302">
        <f>SUM($G$3:G101)</f>
        <v>63</v>
      </c>
      <c r="B101" s="1303" t="e">
        <f>'NT-VT'!C104</f>
        <v>#N/A</v>
      </c>
      <c r="C101" s="1304">
        <f>'NT-VT'!D104</f>
        <v>0</v>
      </c>
      <c r="D101" s="1305">
        <f>'NT-VT'!E104</f>
        <v>0</v>
      </c>
      <c r="E101" s="1302" t="str">
        <f>'NT-VT'!F104</f>
        <v/>
      </c>
      <c r="F101" s="1302" t="str">
        <f>'NT-VT'!G104</f>
        <v/>
      </c>
      <c r="G101" s="829" t="str">
        <f t="shared" si="2"/>
        <v/>
      </c>
      <c r="H101" s="843"/>
      <c r="I101" s="819"/>
    </row>
    <row r="102" spans="1:9" ht="15.75" hidden="1">
      <c r="A102" s="1302">
        <f>SUM($G$3:G102)</f>
        <v>63</v>
      </c>
      <c r="B102" s="1303" t="e">
        <f>'NT-VT'!C105</f>
        <v>#N/A</v>
      </c>
      <c r="C102" s="1304">
        <f>'NT-VT'!D105</f>
        <v>0</v>
      </c>
      <c r="D102" s="1305">
        <f>'NT-VT'!E105</f>
        <v>0</v>
      </c>
      <c r="E102" s="1302" t="str">
        <f>'NT-VT'!F105</f>
        <v/>
      </c>
      <c r="F102" s="1302" t="str">
        <f>'NT-VT'!G105</f>
        <v/>
      </c>
      <c r="G102" s="829" t="str">
        <f t="shared" si="2"/>
        <v/>
      </c>
      <c r="H102" s="843"/>
      <c r="I102" s="819"/>
    </row>
    <row r="103" spans="1:9" ht="15.75" hidden="1">
      <c r="A103" s="1302">
        <f>SUM($G$3:G103)</f>
        <v>63</v>
      </c>
      <c r="B103" s="1303" t="e">
        <f>'NT-VT'!C106</f>
        <v>#N/A</v>
      </c>
      <c r="C103" s="1304">
        <f>'NT-VT'!D106</f>
        <v>0</v>
      </c>
      <c r="D103" s="1305">
        <f>'NT-VT'!E106</f>
        <v>0</v>
      </c>
      <c r="E103" s="1302" t="str">
        <f>'NT-VT'!F106</f>
        <v/>
      </c>
      <c r="F103" s="1302" t="str">
        <f>'NT-VT'!G106</f>
        <v/>
      </c>
      <c r="G103" s="829" t="str">
        <f t="shared" si="2"/>
        <v/>
      </c>
      <c r="H103" s="843"/>
      <c r="I103" s="819"/>
    </row>
    <row r="104" spans="1:9" ht="15.75" hidden="1">
      <c r="A104" s="1302">
        <f>SUM($G$3:G104)</f>
        <v>63</v>
      </c>
      <c r="B104" s="1303" t="e">
        <f>'NT-VT'!C107</f>
        <v>#N/A</v>
      </c>
      <c r="C104" s="1304">
        <f>'NT-VT'!D107</f>
        <v>0</v>
      </c>
      <c r="D104" s="1305">
        <f>'NT-VT'!E107</f>
        <v>0</v>
      </c>
      <c r="E104" s="1302" t="str">
        <f>'NT-VT'!F107</f>
        <v/>
      </c>
      <c r="F104" s="1302" t="str">
        <f>'NT-VT'!G107</f>
        <v/>
      </c>
      <c r="G104" s="829" t="str">
        <f t="shared" si="2"/>
        <v/>
      </c>
      <c r="H104" s="843"/>
      <c r="I104" s="819"/>
    </row>
    <row r="105" spans="1:9" ht="15.75" hidden="1">
      <c r="A105" s="1302">
        <f>SUM($G$3:G105)</f>
        <v>63</v>
      </c>
      <c r="B105" s="1303" t="e">
        <f>'NT-VT'!C108</f>
        <v>#N/A</v>
      </c>
      <c r="C105" s="1304">
        <f>'NT-VT'!D108</f>
        <v>0</v>
      </c>
      <c r="D105" s="1305">
        <f>'NT-VT'!E108</f>
        <v>0</v>
      </c>
      <c r="E105" s="1302" t="str">
        <f>'NT-VT'!F108</f>
        <v/>
      </c>
      <c r="F105" s="1302" t="str">
        <f>'NT-VT'!G108</f>
        <v/>
      </c>
      <c r="G105" s="829" t="str">
        <f t="shared" si="2"/>
        <v/>
      </c>
      <c r="H105" s="843"/>
      <c r="I105" s="819"/>
    </row>
    <row r="106" spans="1:9" ht="15.75" hidden="1">
      <c r="A106" s="1302">
        <f>SUM($G$3:G106)</f>
        <v>63</v>
      </c>
      <c r="B106" s="1303" t="e">
        <f>'NT-VT'!C109</f>
        <v>#N/A</v>
      </c>
      <c r="C106" s="1304">
        <f>'NT-VT'!D109</f>
        <v>0</v>
      </c>
      <c r="D106" s="1305">
        <f>'NT-VT'!E109</f>
        <v>0</v>
      </c>
      <c r="E106" s="1302" t="str">
        <f>'NT-VT'!F109</f>
        <v/>
      </c>
      <c r="F106" s="1302" t="str">
        <f>'NT-VT'!G109</f>
        <v/>
      </c>
      <c r="G106" s="829" t="str">
        <f t="shared" si="2"/>
        <v/>
      </c>
      <c r="H106" s="843"/>
      <c r="I106" s="819"/>
    </row>
    <row r="107" spans="1:9" ht="15.75" hidden="1">
      <c r="A107" s="1302">
        <f>SUM($G$3:G107)</f>
        <v>63</v>
      </c>
      <c r="B107" s="1303" t="e">
        <f>'NT-VT'!C110</f>
        <v>#N/A</v>
      </c>
      <c r="C107" s="1304">
        <f>'NT-VT'!D110</f>
        <v>0</v>
      </c>
      <c r="D107" s="1305">
        <f>'NT-VT'!E110</f>
        <v>0</v>
      </c>
      <c r="E107" s="1302" t="str">
        <f>'NT-VT'!F110</f>
        <v/>
      </c>
      <c r="F107" s="1302" t="str">
        <f>'NT-VT'!G110</f>
        <v/>
      </c>
      <c r="G107" s="829" t="str">
        <f t="shared" si="2"/>
        <v/>
      </c>
      <c r="H107" s="843"/>
      <c r="I107" s="819"/>
    </row>
    <row r="108" spans="1:9" ht="15.75" hidden="1">
      <c r="A108" s="1302">
        <f>SUM($G$3:G108)</f>
        <v>63</v>
      </c>
      <c r="B108" s="1303" t="e">
        <f>'NT-VT'!C111</f>
        <v>#N/A</v>
      </c>
      <c r="C108" s="1304">
        <f>'NT-VT'!D111</f>
        <v>0</v>
      </c>
      <c r="D108" s="1305">
        <f>'NT-VT'!E111</f>
        <v>0</v>
      </c>
      <c r="E108" s="1302" t="str">
        <f>'NT-VT'!F111</f>
        <v/>
      </c>
      <c r="F108" s="1302" t="str">
        <f>'NT-VT'!G111</f>
        <v/>
      </c>
      <c r="G108" s="829" t="str">
        <f t="shared" si="2"/>
        <v/>
      </c>
      <c r="H108" s="843"/>
      <c r="I108" s="819"/>
    </row>
    <row r="109" spans="1:9" ht="15.75" hidden="1">
      <c r="A109" s="1302">
        <f>SUM($G$3:G109)</f>
        <v>63</v>
      </c>
      <c r="B109" s="1303" t="e">
        <f>'NT-VT'!C112</f>
        <v>#N/A</v>
      </c>
      <c r="C109" s="1304">
        <f>'NT-VT'!D112</f>
        <v>0</v>
      </c>
      <c r="D109" s="1305">
        <f>'NT-VT'!E112</f>
        <v>0</v>
      </c>
      <c r="E109" s="1302" t="str">
        <f>'NT-VT'!F112</f>
        <v/>
      </c>
      <c r="F109" s="1302" t="str">
        <f>'NT-VT'!G112</f>
        <v/>
      </c>
      <c r="G109" s="829" t="str">
        <f t="shared" si="2"/>
        <v/>
      </c>
      <c r="H109" s="843"/>
      <c r="I109" s="819"/>
    </row>
    <row r="110" spans="1:9" ht="15.75" hidden="1">
      <c r="A110" s="1302">
        <f>SUM($G$3:G110)</f>
        <v>63</v>
      </c>
      <c r="B110" s="1303" t="e">
        <f>'NT-VT'!C113</f>
        <v>#N/A</v>
      </c>
      <c r="C110" s="1304">
        <f>'NT-VT'!D113</f>
        <v>0</v>
      </c>
      <c r="D110" s="1305">
        <f>'NT-VT'!E113</f>
        <v>0</v>
      </c>
      <c r="E110" s="1302" t="str">
        <f>'NT-VT'!F113</f>
        <v/>
      </c>
      <c r="F110" s="1302" t="str">
        <f>'NT-VT'!G113</f>
        <v/>
      </c>
      <c r="G110" s="829" t="str">
        <f t="shared" si="2"/>
        <v/>
      </c>
      <c r="H110" s="843"/>
      <c r="I110" s="819"/>
    </row>
    <row r="111" spans="1:9" ht="15.75" hidden="1">
      <c r="A111" s="1302">
        <f>SUM($G$3:G111)</f>
        <v>63</v>
      </c>
      <c r="B111" s="1303" t="e">
        <f>'NT-VT'!C114</f>
        <v>#N/A</v>
      </c>
      <c r="C111" s="1304">
        <f>'NT-VT'!D114</f>
        <v>0</v>
      </c>
      <c r="D111" s="1305">
        <f>'NT-VT'!E114</f>
        <v>0</v>
      </c>
      <c r="E111" s="1302" t="str">
        <f>'NT-VT'!F114</f>
        <v/>
      </c>
      <c r="F111" s="1302" t="str">
        <f>'NT-VT'!G114</f>
        <v/>
      </c>
      <c r="G111" s="829" t="str">
        <f t="shared" si="2"/>
        <v/>
      </c>
      <c r="H111" s="843"/>
      <c r="I111" s="819"/>
    </row>
    <row r="112" spans="1:9" ht="15.75" hidden="1">
      <c r="A112" s="1302">
        <f>SUM($G$3:G112)</f>
        <v>63</v>
      </c>
      <c r="B112" s="1303" t="e">
        <f>'NT-VT'!C115</f>
        <v>#N/A</v>
      </c>
      <c r="C112" s="1304">
        <f>'NT-VT'!D115</f>
        <v>0</v>
      </c>
      <c r="D112" s="1305">
        <f>'NT-VT'!E115</f>
        <v>0</v>
      </c>
      <c r="E112" s="1302" t="str">
        <f>'NT-VT'!F115</f>
        <v/>
      </c>
      <c r="F112" s="1302" t="str">
        <f>'NT-VT'!G115</f>
        <v/>
      </c>
      <c r="G112" s="829" t="str">
        <f t="shared" si="2"/>
        <v/>
      </c>
      <c r="H112" s="843"/>
      <c r="I112" s="819"/>
    </row>
    <row r="113" spans="1:9" ht="15.75" hidden="1">
      <c r="A113" s="1302">
        <f>SUM($G$3:G113)</f>
        <v>63</v>
      </c>
      <c r="B113" s="1303" t="e">
        <f>'NT-VT'!C116</f>
        <v>#N/A</v>
      </c>
      <c r="C113" s="1304">
        <f>'NT-VT'!D116</f>
        <v>0</v>
      </c>
      <c r="D113" s="1305">
        <f>'NT-VT'!E116</f>
        <v>0</v>
      </c>
      <c r="E113" s="1302" t="str">
        <f>'NT-VT'!F116</f>
        <v/>
      </c>
      <c r="F113" s="1302" t="str">
        <f>'NT-VT'!G116</f>
        <v/>
      </c>
      <c r="G113" s="829" t="str">
        <f t="shared" si="2"/>
        <v/>
      </c>
      <c r="H113" s="843"/>
      <c r="I113" s="819"/>
    </row>
    <row r="114" spans="1:9" ht="15.75" hidden="1">
      <c r="A114" s="1302">
        <f>SUM($G$3:G114)</f>
        <v>63</v>
      </c>
      <c r="B114" s="1303" t="e">
        <f>'NT-VT'!C117</f>
        <v>#N/A</v>
      </c>
      <c r="C114" s="1304">
        <f>'NT-VT'!D117</f>
        <v>0</v>
      </c>
      <c r="D114" s="1305">
        <f>'NT-VT'!E117</f>
        <v>0</v>
      </c>
      <c r="E114" s="1302" t="str">
        <f>'NT-VT'!F117</f>
        <v/>
      </c>
      <c r="F114" s="1302" t="str">
        <f>'NT-VT'!G117</f>
        <v/>
      </c>
      <c r="G114" s="829" t="str">
        <f t="shared" si="2"/>
        <v/>
      </c>
      <c r="H114" s="843"/>
      <c r="I114" s="819"/>
    </row>
    <row r="115" spans="1:9" ht="15.75" hidden="1">
      <c r="A115" s="1302">
        <f>SUM($G$3:G115)</f>
        <v>63</v>
      </c>
      <c r="B115" s="1303" t="e">
        <f>'NT-VT'!C118</f>
        <v>#N/A</v>
      </c>
      <c r="C115" s="1304">
        <f>'NT-VT'!D118</f>
        <v>0</v>
      </c>
      <c r="D115" s="1305">
        <f>'NT-VT'!E118</f>
        <v>0</v>
      </c>
      <c r="E115" s="1302" t="str">
        <f>'NT-VT'!F118</f>
        <v/>
      </c>
      <c r="F115" s="1302" t="str">
        <f>'NT-VT'!G118</f>
        <v/>
      </c>
      <c r="G115" s="829" t="str">
        <f t="shared" si="2"/>
        <v/>
      </c>
      <c r="H115" s="843"/>
      <c r="I115" s="819"/>
    </row>
    <row r="116" spans="1:9" ht="15.75" hidden="1">
      <c r="A116" s="1302">
        <f>SUM($G$3:G116)</f>
        <v>63</v>
      </c>
      <c r="B116" s="1303" t="e">
        <f>'NT-VT'!C119</f>
        <v>#N/A</v>
      </c>
      <c r="C116" s="1304">
        <f>'NT-VT'!D119</f>
        <v>0</v>
      </c>
      <c r="D116" s="1305">
        <f>'NT-VT'!E119</f>
        <v>0</v>
      </c>
      <c r="E116" s="1302" t="str">
        <f>'NT-VT'!F119</f>
        <v/>
      </c>
      <c r="F116" s="1302" t="str">
        <f>'NT-VT'!G119</f>
        <v/>
      </c>
      <c r="G116" s="829" t="str">
        <f t="shared" si="2"/>
        <v/>
      </c>
      <c r="H116" s="843"/>
      <c r="I116" s="819"/>
    </row>
    <row r="117" spans="1:9" ht="15.75" hidden="1">
      <c r="A117" s="1302">
        <f>SUM($G$3:G117)</f>
        <v>63</v>
      </c>
      <c r="B117" s="1303" t="e">
        <f>'NT-VT'!C120</f>
        <v>#N/A</v>
      </c>
      <c r="C117" s="1304">
        <f>'NT-VT'!D120</f>
        <v>0</v>
      </c>
      <c r="D117" s="1305">
        <f>'NT-VT'!E120</f>
        <v>0</v>
      </c>
      <c r="E117" s="1302" t="str">
        <f>'NT-VT'!F120</f>
        <v/>
      </c>
      <c r="F117" s="1302" t="str">
        <f>'NT-VT'!G120</f>
        <v/>
      </c>
      <c r="G117" s="829" t="str">
        <f t="shared" si="2"/>
        <v/>
      </c>
      <c r="H117" s="843"/>
      <c r="I117" s="819"/>
    </row>
    <row r="118" spans="1:9" ht="15.75" hidden="1">
      <c r="A118" s="1302">
        <f>SUM($G$3:G118)</f>
        <v>63</v>
      </c>
      <c r="B118" s="1303" t="e">
        <f>'NT-VT'!C121</f>
        <v>#N/A</v>
      </c>
      <c r="C118" s="1304">
        <f>'NT-VT'!D121</f>
        <v>0</v>
      </c>
      <c r="D118" s="1305">
        <f>'NT-VT'!E121</f>
        <v>0</v>
      </c>
      <c r="E118" s="1302" t="str">
        <f>'NT-VT'!F121</f>
        <v/>
      </c>
      <c r="F118" s="1302" t="str">
        <f>'NT-VT'!G121</f>
        <v/>
      </c>
      <c r="G118" s="829" t="str">
        <f t="shared" si="2"/>
        <v/>
      </c>
      <c r="H118" s="843"/>
      <c r="I118" s="819"/>
    </row>
    <row r="119" spans="1:9" ht="15.75" hidden="1">
      <c r="A119" s="1302">
        <f>SUM($G$3:G119)</f>
        <v>63</v>
      </c>
      <c r="B119" s="1303" t="e">
        <f>'NT-VT'!C122</f>
        <v>#N/A</v>
      </c>
      <c r="C119" s="1304">
        <f>'NT-VT'!D122</f>
        <v>0</v>
      </c>
      <c r="D119" s="1305">
        <f>'NT-VT'!E122</f>
        <v>0</v>
      </c>
      <c r="E119" s="1302" t="str">
        <f>'NT-VT'!F122</f>
        <v/>
      </c>
      <c r="F119" s="1302" t="str">
        <f>'NT-VT'!G122</f>
        <v/>
      </c>
      <c r="G119" s="829" t="str">
        <f t="shared" si="2"/>
        <v/>
      </c>
      <c r="H119" s="843"/>
      <c r="I119" s="819"/>
    </row>
    <row r="120" spans="1:9" ht="15.75" hidden="1">
      <c r="A120" s="1302">
        <f>SUM($G$3:G120)</f>
        <v>63</v>
      </c>
      <c r="B120" s="1303" t="e">
        <f>'NT-VT'!C123</f>
        <v>#N/A</v>
      </c>
      <c r="C120" s="1304">
        <f>'NT-VT'!D123</f>
        <v>0</v>
      </c>
      <c r="D120" s="1305">
        <f>'NT-VT'!E123</f>
        <v>0</v>
      </c>
      <c r="E120" s="1302" t="str">
        <f>'NT-VT'!F123</f>
        <v/>
      </c>
      <c r="F120" s="1302" t="str">
        <f>'NT-VT'!G123</f>
        <v/>
      </c>
      <c r="G120" s="829" t="str">
        <f t="shared" si="2"/>
        <v/>
      </c>
      <c r="H120" s="843"/>
      <c r="I120" s="819"/>
    </row>
    <row r="121" spans="1:9" ht="15.75" hidden="1">
      <c r="A121" s="1302">
        <f>SUM($G$3:G121)</f>
        <v>63</v>
      </c>
      <c r="B121" s="1303" t="e">
        <f>'NT-VT'!C124</f>
        <v>#N/A</v>
      </c>
      <c r="C121" s="1304">
        <f>'NT-VT'!D124</f>
        <v>0</v>
      </c>
      <c r="D121" s="1305">
        <f>'NT-VT'!E124</f>
        <v>0</v>
      </c>
      <c r="E121" s="1302" t="str">
        <f>'NT-VT'!F124</f>
        <v/>
      </c>
      <c r="F121" s="1302" t="str">
        <f>'NT-VT'!G124</f>
        <v/>
      </c>
      <c r="G121" s="829" t="str">
        <f t="shared" si="2"/>
        <v/>
      </c>
      <c r="H121" s="843"/>
      <c r="I121" s="819"/>
    </row>
    <row r="122" spans="1:9" ht="15.75" hidden="1">
      <c r="A122" s="1302">
        <f>SUM($G$3:G122)</f>
        <v>63</v>
      </c>
      <c r="B122" s="1303" t="e">
        <f>'NT-VT'!C125</f>
        <v>#N/A</v>
      </c>
      <c r="C122" s="1304">
        <f>'NT-VT'!D125</f>
        <v>0</v>
      </c>
      <c r="D122" s="1305">
        <f>'NT-VT'!E125</f>
        <v>0</v>
      </c>
      <c r="E122" s="1302" t="str">
        <f>'NT-VT'!F125</f>
        <v/>
      </c>
      <c r="F122" s="1302" t="str">
        <f>'NT-VT'!G125</f>
        <v/>
      </c>
      <c r="G122" s="829" t="str">
        <f t="shared" si="2"/>
        <v/>
      </c>
      <c r="H122" s="843"/>
      <c r="I122" s="819"/>
    </row>
    <row r="123" spans="1:9" ht="15.75" hidden="1">
      <c r="A123" s="1302">
        <f>SUM($G$3:G123)</f>
        <v>63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63</v>
      </c>
      <c r="B124" s="1303" t="e">
        <f>'NT-VT'!C127</f>
        <v>#N/A</v>
      </c>
      <c r="C124" s="1304">
        <f>'NT-VT'!D127</f>
        <v>0</v>
      </c>
      <c r="D124" s="1305">
        <f>'NT-VT'!E127</f>
        <v>0</v>
      </c>
      <c r="E124" s="1302" t="str">
        <f>'NT-VT'!F127</f>
        <v/>
      </c>
      <c r="F124" s="1302"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1:J66"/>
  <sheetViews>
    <sheetView showZeros="0" topLeftCell="A38" workbookViewId="0">
      <selection activeCell="C1" sqref="C1:H52"/>
    </sheetView>
  </sheetViews>
  <sheetFormatPr defaultRowHeight="16.5"/>
  <cols>
    <col min="3" max="3" width="6.6640625" style="1606" customWidth="1"/>
    <col min="4" max="4" width="28.109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4553</v>
      </c>
    </row>
    <row r="2" spans="3:10" ht="24" customHeight="1">
      <c r="C2" s="1733" t="s">
        <v>499</v>
      </c>
      <c r="D2" s="1731" t="s">
        <v>6430</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6510</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6510</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6510</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7317</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6431</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filterColumn colId="6">
      <customFilters>
        <customFilter operator="notEqual" val=" "/>
      </customFilters>
    </filterColumn>
  </autoFilter>
  <dataValidations count="1">
    <dataValidation type="list" allowBlank="1" showInputMessage="1" showErrorMessage="1" sqref="J1:J65">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H73" sqref="H73"/>
    </sheetView>
  </sheetViews>
  <sheetFormatPr defaultRowHeight="16.5"/>
  <cols>
    <col min="1" max="1" width="8.77734375" style="1208"/>
    <col min="3" max="3" width="16.44140625" style="961" customWidth="1"/>
    <col min="4" max="4" width="6.77734375" customWidth="1"/>
    <col min="5" max="5" width="32.21875" customWidth="1"/>
    <col min="6" max="6" width="8.109375" style="1208" customWidth="1"/>
    <col min="7" max="8" width="6.77734375" customWidth="1"/>
    <col min="9" max="9" width="10.5546875" hidden="1" customWidth="1"/>
    <col min="10" max="10" width="6.33203125" customWidth="1"/>
  </cols>
  <sheetData>
    <row r="1" spans="1:15" ht="22.5" customHeight="1">
      <c r="E1" s="891"/>
      <c r="F1" s="891"/>
    </row>
    <row r="3" spans="1:15" ht="33">
      <c r="D3" s="1759" t="s">
        <v>1704</v>
      </c>
      <c r="E3" s="1759" t="s">
        <v>4134</v>
      </c>
      <c r="F3" s="1759" t="s">
        <v>4137</v>
      </c>
      <c r="G3" s="1759" t="s">
        <v>4820</v>
      </c>
      <c r="H3" s="1759" t="s">
        <v>4106</v>
      </c>
      <c r="I3" s="1380" t="s">
        <v>4138</v>
      </c>
      <c r="J3" s="1759" t="s">
        <v>4105</v>
      </c>
      <c r="K3" s="1318">
        <v>2</v>
      </c>
    </row>
    <row r="4" spans="1:15" ht="20.45"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
      </c>
      <c r="J4" s="1316"/>
      <c r="K4" t="str">
        <f t="shared" ref="K4:K12" ca="1" si="1">IF(OR(G4&gt;0,H4&gt;0),1,"")</f>
        <v/>
      </c>
      <c r="L4" s="891">
        <v>4</v>
      </c>
      <c r="M4">
        <v>9</v>
      </c>
      <c r="N4">
        <v>8</v>
      </c>
      <c r="O4" s="1992">
        <f ca="1">G4</f>
        <v>0</v>
      </c>
    </row>
    <row r="5" spans="1:15" ht="20.45"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
      </c>
      <c r="J5" s="1316"/>
      <c r="K5" s="1208" t="str">
        <f t="shared" ca="1" si="1"/>
        <v/>
      </c>
      <c r="L5" s="891">
        <v>1</v>
      </c>
      <c r="M5">
        <v>2</v>
      </c>
      <c r="N5">
        <v>8</v>
      </c>
      <c r="O5" s="1992">
        <f t="shared" ref="O5:O12" ca="1" si="6">G5</f>
        <v>0</v>
      </c>
    </row>
    <row r="6" spans="1:15" ht="20.45"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
      </c>
      <c r="J6" s="1316"/>
      <c r="K6" s="1208" t="str">
        <f t="shared" ca="1" si="1"/>
        <v/>
      </c>
      <c r="L6" s="891">
        <v>15</v>
      </c>
      <c r="M6">
        <v>24</v>
      </c>
      <c r="N6">
        <v>12</v>
      </c>
      <c r="O6" s="1992">
        <f t="shared" ca="1" si="6"/>
        <v>0</v>
      </c>
    </row>
    <row r="7" spans="1:15" s="1208" customFormat="1" ht="20.45"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
      </c>
      <c r="J7" s="1316"/>
      <c r="K7" s="1208" t="str">
        <f t="shared" ca="1" si="1"/>
        <v/>
      </c>
      <c r="L7" s="891">
        <v>1</v>
      </c>
      <c r="M7" s="1208">
        <v>1</v>
      </c>
      <c r="N7" s="1208">
        <v>12</v>
      </c>
      <c r="O7" s="1992">
        <f t="shared" ca="1" si="6"/>
        <v>0</v>
      </c>
    </row>
    <row r="8" spans="1:15" s="1208" customFormat="1" ht="20.45"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
      </c>
      <c r="J8" s="1316"/>
      <c r="K8" s="1208" t="str">
        <f t="shared" ca="1" si="1"/>
        <v/>
      </c>
      <c r="L8" s="891">
        <v>2</v>
      </c>
      <c r="M8" s="1208">
        <v>7</v>
      </c>
      <c r="N8" s="1208">
        <v>12</v>
      </c>
      <c r="O8" s="1992">
        <f t="shared" ca="1" si="6"/>
        <v>0</v>
      </c>
    </row>
    <row r="9" spans="1:15" s="1208" customFormat="1" ht="20.45"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45"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45"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45"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45"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45"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45"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45"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45"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45"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45"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45"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45"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45"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45"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45"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45"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45"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45"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45"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45"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45"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45" customHeight="1">
      <c r="C31" s="961" t="s">
        <v>218</v>
      </c>
      <c r="D31" s="1758">
        <f ca="1">SUM($K$4:K31)</f>
        <v>0</v>
      </c>
      <c r="E31" s="1999" t="e">
        <f t="shared" si="0"/>
        <v>#N/A</v>
      </c>
      <c r="F31" s="1758" t="e">
        <f t="shared" si="8"/>
        <v>#N/A</v>
      </c>
      <c r="G31" s="1319">
        <f t="shared" ca="1" si="9"/>
        <v>0</v>
      </c>
      <c r="H31" s="1319">
        <f t="shared" ca="1" si="10"/>
        <v>0</v>
      </c>
      <c r="I31" s="1319"/>
      <c r="J31" s="1316"/>
      <c r="K31" s="1208" t="str">
        <f t="shared" ca="1" si="7"/>
        <v/>
      </c>
      <c r="L31" s="891"/>
    </row>
    <row r="32" spans="3:12" s="1208" customFormat="1" ht="20.45" hidden="1" customHeight="1">
      <c r="C32" s="961" t="s">
        <v>302</v>
      </c>
      <c r="D32" s="1758">
        <f ca="1">SUM($K$4:K32)</f>
        <v>0</v>
      </c>
      <c r="E32" s="1999" t="e">
        <f t="shared" si="0"/>
        <v>#N/A</v>
      </c>
      <c r="F32" s="1758" t="e">
        <f t="shared" si="8"/>
        <v>#N/A</v>
      </c>
      <c r="G32" s="1319">
        <f t="shared" ca="1" si="9"/>
        <v>0</v>
      </c>
      <c r="H32" s="1319">
        <f t="shared" ca="1" si="10"/>
        <v>0</v>
      </c>
      <c r="I32" s="1319"/>
      <c r="J32" s="1316"/>
      <c r="K32" s="1208" t="str">
        <f t="shared" ca="1" si="7"/>
        <v/>
      </c>
      <c r="L32" s="891"/>
    </row>
    <row r="33" spans="3:12" s="1208" customFormat="1" ht="20.45" hidden="1" customHeight="1">
      <c r="C33" s="961" t="s">
        <v>2257</v>
      </c>
      <c r="D33" s="1758">
        <f ca="1">SUM($K$4:K33)</f>
        <v>0</v>
      </c>
      <c r="E33" s="1999" t="e">
        <f t="shared" si="0"/>
        <v>#N/A</v>
      </c>
      <c r="F33" s="1758" t="e">
        <f t="shared" si="8"/>
        <v>#N/A</v>
      </c>
      <c r="G33" s="1319">
        <f t="shared" ca="1" si="9"/>
        <v>0</v>
      </c>
      <c r="H33" s="1319">
        <f t="shared" ca="1" si="10"/>
        <v>0</v>
      </c>
      <c r="I33" s="1319"/>
      <c r="J33" s="1316"/>
      <c r="K33" s="1208" t="str">
        <f t="shared" ca="1" si="7"/>
        <v/>
      </c>
      <c r="L33" s="891"/>
    </row>
    <row r="34" spans="3:12" s="1208" customFormat="1" ht="20.45" hidden="1" customHeight="1">
      <c r="C34" s="961" t="s">
        <v>303</v>
      </c>
      <c r="D34" s="1758">
        <f ca="1">SUM($K$4:K34)</f>
        <v>0</v>
      </c>
      <c r="E34" s="1999" t="e">
        <f t="shared" si="0"/>
        <v>#N/A</v>
      </c>
      <c r="F34" s="1758" t="e">
        <f t="shared" si="8"/>
        <v>#N/A</v>
      </c>
      <c r="G34" s="1319">
        <f t="shared" ca="1" si="9"/>
        <v>0</v>
      </c>
      <c r="H34" s="1319">
        <f t="shared" ca="1" si="10"/>
        <v>0</v>
      </c>
      <c r="I34" s="1319"/>
      <c r="J34" s="1316"/>
      <c r="K34" s="1208" t="str">
        <f t="shared" ca="1" si="7"/>
        <v/>
      </c>
      <c r="L34" s="891"/>
    </row>
    <row r="35" spans="3:12" s="1208" customFormat="1" ht="20.45" hidden="1" customHeight="1">
      <c r="C35" s="961" t="s">
        <v>635</v>
      </c>
      <c r="D35" s="1758">
        <f ca="1">SUM($K$4:K35)</f>
        <v>0</v>
      </c>
      <c r="E35" s="1999" t="e">
        <f t="shared" si="0"/>
        <v>#N/A</v>
      </c>
      <c r="F35" s="1758" t="e">
        <f t="shared" si="8"/>
        <v>#N/A</v>
      </c>
      <c r="G35" s="1319">
        <f t="shared" ca="1" si="9"/>
        <v>0</v>
      </c>
      <c r="H35" s="1319">
        <f t="shared" ca="1" si="10"/>
        <v>0</v>
      </c>
      <c r="I35" s="1319"/>
      <c r="J35" s="1316"/>
      <c r="K35" s="1208" t="str">
        <f t="shared" ca="1" si="7"/>
        <v/>
      </c>
      <c r="L35" s="891"/>
    </row>
    <row r="36" spans="3:12" s="1208" customFormat="1" ht="20.45" hidden="1" customHeight="1">
      <c r="C36" s="961" t="s">
        <v>644</v>
      </c>
      <c r="D36" s="1758">
        <f ca="1">SUM($K$4:K36)</f>
        <v>0</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45" hidden="1" customHeight="1">
      <c r="C37" s="961" t="s">
        <v>509</v>
      </c>
      <c r="D37" s="1758">
        <f ca="1">SUM($K$4:K37)</f>
        <v>0</v>
      </c>
      <c r="E37" s="1999" t="e">
        <f t="shared" si="11"/>
        <v>#N/A</v>
      </c>
      <c r="F37" s="1758" t="e">
        <f t="shared" si="8"/>
        <v>#N/A</v>
      </c>
      <c r="G37" s="1319">
        <f t="shared" ca="1" si="9"/>
        <v>0</v>
      </c>
      <c r="H37" s="1319">
        <f t="shared" ca="1" si="10"/>
        <v>0</v>
      </c>
      <c r="I37" s="1319"/>
      <c r="J37" s="1316"/>
      <c r="K37" s="1208" t="str">
        <f t="shared" ca="1" si="7"/>
        <v/>
      </c>
      <c r="L37" s="891"/>
    </row>
    <row r="38" spans="3:12" s="1208" customFormat="1" ht="20.45" hidden="1" customHeight="1">
      <c r="C38" s="961" t="s">
        <v>643</v>
      </c>
      <c r="D38" s="1758">
        <f ca="1">SUM($K$4:K38)</f>
        <v>0</v>
      </c>
      <c r="E38" s="1999" t="e">
        <f t="shared" si="11"/>
        <v>#N/A</v>
      </c>
      <c r="F38" s="1758" t="e">
        <f t="shared" si="8"/>
        <v>#N/A</v>
      </c>
      <c r="G38" s="1319">
        <f t="shared" ca="1" si="9"/>
        <v>0</v>
      </c>
      <c r="H38" s="1319">
        <f t="shared" ca="1" si="10"/>
        <v>0</v>
      </c>
      <c r="I38" s="1319"/>
      <c r="J38" s="1316"/>
      <c r="K38" s="1208" t="str">
        <f t="shared" ca="1" si="7"/>
        <v/>
      </c>
      <c r="L38" s="891"/>
    </row>
    <row r="39" spans="3:12" s="1208" customFormat="1" ht="20.45" hidden="1" customHeight="1">
      <c r="C39" s="961" t="s">
        <v>1896</v>
      </c>
      <c r="D39" s="1758">
        <f ca="1">SUM($K$4:K39)</f>
        <v>0</v>
      </c>
      <c r="E39" s="1999" t="e">
        <f t="shared" si="11"/>
        <v>#N/A</v>
      </c>
      <c r="F39" s="1758" t="e">
        <f t="shared" si="8"/>
        <v>#N/A</v>
      </c>
      <c r="G39" s="1319">
        <f t="shared" ca="1" si="9"/>
        <v>0</v>
      </c>
      <c r="H39" s="1319">
        <f t="shared" ca="1" si="10"/>
        <v>0</v>
      </c>
      <c r="I39" s="1319"/>
      <c r="J39" s="1316"/>
      <c r="K39" s="1208" t="str">
        <f t="shared" ca="1" si="7"/>
        <v/>
      </c>
      <c r="L39" s="891"/>
    </row>
    <row r="40" spans="3:12" s="1208" customFormat="1" ht="20.45" hidden="1" customHeight="1">
      <c r="C40" s="961" t="s">
        <v>2175</v>
      </c>
      <c r="D40" s="1758">
        <f ca="1">SUM($K$4:K40)</f>
        <v>0</v>
      </c>
      <c r="E40" s="1999" t="e">
        <f t="shared" si="11"/>
        <v>#N/A</v>
      </c>
      <c r="F40" s="1758" t="e">
        <f t="shared" si="8"/>
        <v>#N/A</v>
      </c>
      <c r="G40" s="1319">
        <f t="shared" ca="1" si="9"/>
        <v>0</v>
      </c>
      <c r="H40" s="1319">
        <f t="shared" ca="1" si="10"/>
        <v>0</v>
      </c>
      <c r="I40" s="1319"/>
      <c r="J40" s="1316"/>
      <c r="K40" s="1208" t="str">
        <f t="shared" ca="1" si="7"/>
        <v/>
      </c>
      <c r="L40" s="891"/>
    </row>
    <row r="41" spans="3:12" s="1208" customFormat="1" ht="20.45" hidden="1" customHeight="1">
      <c r="C41" s="961" t="s">
        <v>498</v>
      </c>
      <c r="D41" s="1758">
        <f ca="1">SUM($K$4:K41)</f>
        <v>0</v>
      </c>
      <c r="E41" s="1999" t="e">
        <f t="shared" si="11"/>
        <v>#N/A</v>
      </c>
      <c r="F41" s="1758" t="e">
        <f t="shared" si="8"/>
        <v>#N/A</v>
      </c>
      <c r="G41" s="1319">
        <f t="shared" ca="1" si="9"/>
        <v>0</v>
      </c>
      <c r="H41" s="1319">
        <f t="shared" ca="1" si="10"/>
        <v>0</v>
      </c>
      <c r="I41" s="1319"/>
      <c r="J41" s="1316"/>
      <c r="K41" s="1208" t="str">
        <f t="shared" ca="1" si="7"/>
        <v/>
      </c>
      <c r="L41" s="891"/>
    </row>
    <row r="42" spans="3:12" s="1208" customFormat="1" ht="20.45" hidden="1" customHeight="1">
      <c r="C42" s="961" t="s">
        <v>2298</v>
      </c>
      <c r="D42" s="1758">
        <f ca="1">SUM($K$4:K42)</f>
        <v>0</v>
      </c>
      <c r="E42" s="1999" t="e">
        <f t="shared" si="11"/>
        <v>#N/A</v>
      </c>
      <c r="F42" s="1758" t="e">
        <f t="shared" si="8"/>
        <v>#N/A</v>
      </c>
      <c r="G42" s="1319">
        <f t="shared" ca="1" si="9"/>
        <v>0</v>
      </c>
      <c r="H42" s="1319">
        <f t="shared" ca="1" si="10"/>
        <v>0</v>
      </c>
      <c r="I42" s="1319"/>
      <c r="J42" s="1316"/>
      <c r="K42" s="1208" t="str">
        <f t="shared" ca="1" si="7"/>
        <v/>
      </c>
      <c r="L42" s="891"/>
    </row>
    <row r="43" spans="3:12" s="1208" customFormat="1" ht="20.45" hidden="1" customHeight="1">
      <c r="C43" s="961" t="s">
        <v>2299</v>
      </c>
      <c r="D43" s="1758">
        <f ca="1">SUM($K$4:K43)</f>
        <v>0</v>
      </c>
      <c r="E43" s="1999" t="e">
        <f t="shared" si="11"/>
        <v>#N/A</v>
      </c>
      <c r="F43" s="1758" t="e">
        <f t="shared" si="8"/>
        <v>#N/A</v>
      </c>
      <c r="G43" s="1319">
        <f t="shared" ca="1" si="9"/>
        <v>0</v>
      </c>
      <c r="H43" s="1319">
        <f t="shared" ca="1" si="10"/>
        <v>0</v>
      </c>
      <c r="I43" s="1319"/>
      <c r="J43" s="1316"/>
      <c r="K43" s="1208" t="str">
        <f t="shared" ca="1" si="7"/>
        <v/>
      </c>
      <c r="L43" s="891"/>
    </row>
    <row r="44" spans="3:12" s="1208" customFormat="1" ht="20.45" customHeight="1">
      <c r="C44" s="961" t="s">
        <v>2300</v>
      </c>
      <c r="D44" s="1758">
        <f ca="1">SUM($K$4:K44)</f>
        <v>0</v>
      </c>
      <c r="E44" s="1999" t="e">
        <f t="shared" si="11"/>
        <v>#N/A</v>
      </c>
      <c r="F44" s="1758" t="e">
        <f t="shared" si="8"/>
        <v>#N/A</v>
      </c>
      <c r="G44" s="1319">
        <f t="shared" ca="1" si="9"/>
        <v>0</v>
      </c>
      <c r="H44" s="1319">
        <f t="shared" ca="1" si="10"/>
        <v>0</v>
      </c>
      <c r="I44" s="1319"/>
      <c r="J44" s="1316"/>
      <c r="K44" s="1208" t="str">
        <f t="shared" ca="1" si="7"/>
        <v/>
      </c>
      <c r="L44" s="891"/>
    </row>
    <row r="45" spans="3:12" s="1208" customFormat="1" ht="20.45" hidden="1" customHeight="1">
      <c r="C45" s="961" t="s">
        <v>741</v>
      </c>
      <c r="D45" s="1758">
        <f ca="1">SUM($K$4:K45)</f>
        <v>0</v>
      </c>
      <c r="E45" s="1999" t="e">
        <f t="shared" si="11"/>
        <v>#N/A</v>
      </c>
      <c r="F45" s="1758" t="e">
        <f t="shared" si="8"/>
        <v>#N/A</v>
      </c>
      <c r="G45" s="1319">
        <f t="shared" ca="1" si="9"/>
        <v>0</v>
      </c>
      <c r="H45" s="1319">
        <f t="shared" ca="1" si="10"/>
        <v>0</v>
      </c>
      <c r="I45" s="1319"/>
      <c r="J45" s="1316"/>
      <c r="K45" s="1208" t="str">
        <f t="shared" ca="1" si="7"/>
        <v/>
      </c>
      <c r="L45" s="891"/>
    </row>
    <row r="46" spans="3:12" s="1208" customFormat="1" ht="20.45" hidden="1" customHeight="1">
      <c r="C46" s="961" t="s">
        <v>2258</v>
      </c>
      <c r="D46" s="1758">
        <f ca="1">SUM($K$4:K46)</f>
        <v>0</v>
      </c>
      <c r="E46" s="1999" t="e">
        <f t="shared" si="11"/>
        <v>#N/A</v>
      </c>
      <c r="F46" s="1758" t="e">
        <f t="shared" si="8"/>
        <v>#N/A</v>
      </c>
      <c r="G46" s="1319">
        <f t="shared" ca="1" si="9"/>
        <v>0</v>
      </c>
      <c r="H46" s="1319">
        <f t="shared" ca="1" si="10"/>
        <v>0</v>
      </c>
      <c r="I46" s="1319"/>
      <c r="J46" s="1316"/>
      <c r="K46" s="1208" t="str">
        <f t="shared" ca="1" si="7"/>
        <v/>
      </c>
      <c r="L46" s="891"/>
    </row>
    <row r="47" spans="3:12" s="1208" customFormat="1" ht="20.45" hidden="1" customHeight="1">
      <c r="C47" s="961" t="s">
        <v>777</v>
      </c>
      <c r="D47" s="1758">
        <f ca="1">SUM($K$4:K47)</f>
        <v>0</v>
      </c>
      <c r="E47" s="1999" t="e">
        <f t="shared" si="11"/>
        <v>#N/A</v>
      </c>
      <c r="F47" s="1758" t="e">
        <f t="shared" si="8"/>
        <v>#N/A</v>
      </c>
      <c r="G47" s="1319">
        <f t="shared" ca="1" si="9"/>
        <v>0</v>
      </c>
      <c r="H47" s="1319">
        <f t="shared" ca="1" si="10"/>
        <v>0</v>
      </c>
      <c r="I47" s="1319"/>
      <c r="J47" s="1316"/>
      <c r="K47" s="1208" t="str">
        <f t="shared" ca="1" si="7"/>
        <v/>
      </c>
      <c r="L47" s="891"/>
    </row>
    <row r="48" spans="3:12" s="1208" customFormat="1" ht="20.45" hidden="1" customHeight="1">
      <c r="C48" s="961" t="s">
        <v>645</v>
      </c>
      <c r="D48" s="1758">
        <f ca="1">SUM($K$4:K48)</f>
        <v>0</v>
      </c>
      <c r="E48" s="1999" t="e">
        <f t="shared" si="11"/>
        <v>#N/A</v>
      </c>
      <c r="F48" s="1758" t="e">
        <f t="shared" si="8"/>
        <v>#N/A</v>
      </c>
      <c r="G48" s="1319">
        <f t="shared" ca="1" si="9"/>
        <v>0</v>
      </c>
      <c r="H48" s="1319">
        <f t="shared" ca="1" si="10"/>
        <v>0</v>
      </c>
      <c r="I48" s="1319"/>
      <c r="J48" s="1316"/>
      <c r="K48" s="1208" t="str">
        <f t="shared" ca="1" si="7"/>
        <v/>
      </c>
      <c r="L48" s="891"/>
    </row>
    <row r="49" spans="3:12" s="1208" customFormat="1" ht="20.45" hidden="1" customHeight="1">
      <c r="C49" s="961" t="s">
        <v>747</v>
      </c>
      <c r="D49" s="1758">
        <f ca="1">SUM($K$4:K49)</f>
        <v>0</v>
      </c>
      <c r="E49" s="1999" t="e">
        <f t="shared" si="11"/>
        <v>#N/A</v>
      </c>
      <c r="F49" s="1758" t="e">
        <f t="shared" si="8"/>
        <v>#N/A</v>
      </c>
      <c r="G49" s="1319">
        <f t="shared" ca="1" si="9"/>
        <v>0</v>
      </c>
      <c r="H49" s="1319">
        <f t="shared" ca="1" si="10"/>
        <v>0</v>
      </c>
      <c r="I49" s="1319"/>
      <c r="J49" s="1316"/>
      <c r="K49" s="1208" t="str">
        <f t="shared" ca="1" si="7"/>
        <v/>
      </c>
      <c r="L49" s="891"/>
    </row>
    <row r="50" spans="3:12" s="1208" customFormat="1" ht="20.45" hidden="1" customHeight="1">
      <c r="C50" s="961" t="s">
        <v>2301</v>
      </c>
      <c r="D50" s="1758">
        <f ca="1">SUM($K$4:K50)</f>
        <v>0</v>
      </c>
      <c r="E50" s="1999" t="e">
        <f t="shared" si="11"/>
        <v>#N/A</v>
      </c>
      <c r="F50" s="1758" t="e">
        <f t="shared" si="8"/>
        <v>#N/A</v>
      </c>
      <c r="G50" s="1319">
        <f t="shared" ca="1" si="9"/>
        <v>0</v>
      </c>
      <c r="H50" s="1319">
        <f t="shared" ca="1" si="10"/>
        <v>0</v>
      </c>
      <c r="I50" s="1319"/>
      <c r="J50" s="1316"/>
      <c r="K50" s="1208" t="str">
        <f t="shared" ca="1" si="7"/>
        <v/>
      </c>
      <c r="L50" s="891"/>
    </row>
    <row r="51" spans="3:12" s="1208" customFormat="1" ht="20.45" hidden="1" customHeight="1">
      <c r="C51" s="961" t="s">
        <v>646</v>
      </c>
      <c r="D51" s="1758">
        <f ca="1">SUM($K$4:K51)</f>
        <v>0</v>
      </c>
      <c r="E51" s="1999" t="e">
        <f t="shared" si="11"/>
        <v>#N/A</v>
      </c>
      <c r="F51" s="1758" t="e">
        <f t="shared" si="8"/>
        <v>#N/A</v>
      </c>
      <c r="G51" s="1319">
        <f t="shared" ca="1" si="9"/>
        <v>0</v>
      </c>
      <c r="H51" s="1319">
        <f t="shared" ca="1" si="10"/>
        <v>0</v>
      </c>
      <c r="I51" s="1319"/>
      <c r="J51" s="1316"/>
      <c r="K51" s="1208" t="str">
        <f t="shared" ca="1" si="7"/>
        <v/>
      </c>
      <c r="L51" s="891"/>
    </row>
    <row r="52" spans="3:12" s="1208" customFormat="1" ht="20.45" hidden="1" customHeight="1">
      <c r="C52" s="961" t="s">
        <v>481</v>
      </c>
      <c r="D52" s="1758">
        <f ca="1">SUM($K$4:K52)</f>
        <v>0</v>
      </c>
      <c r="E52" s="1999" t="e">
        <f t="shared" si="11"/>
        <v>#N/A</v>
      </c>
      <c r="F52" s="1758" t="e">
        <f t="shared" si="8"/>
        <v>#N/A</v>
      </c>
      <c r="G52" s="1319">
        <f t="shared" ca="1" si="9"/>
        <v>0</v>
      </c>
      <c r="H52" s="1319">
        <f t="shared" ca="1" si="10"/>
        <v>0</v>
      </c>
      <c r="I52" s="1319"/>
      <c r="J52" s="1316"/>
      <c r="K52" s="1208" t="str">
        <f t="shared" ca="1" si="7"/>
        <v/>
      </c>
      <c r="L52" s="891"/>
    </row>
    <row r="53" spans="3:12" s="1208" customFormat="1" ht="20.45" hidden="1" customHeight="1">
      <c r="C53" s="961" t="s">
        <v>482</v>
      </c>
      <c r="D53" s="1758">
        <f ca="1">SUM($K$4:K53)</f>
        <v>0</v>
      </c>
      <c r="E53" s="1999" t="e">
        <f t="shared" si="11"/>
        <v>#N/A</v>
      </c>
      <c r="F53" s="1758" t="e">
        <f t="shared" si="8"/>
        <v>#N/A</v>
      </c>
      <c r="G53" s="1319">
        <f t="shared" ca="1" si="9"/>
        <v>0</v>
      </c>
      <c r="H53" s="1319">
        <f t="shared" ca="1" si="10"/>
        <v>0</v>
      </c>
      <c r="I53" s="1319"/>
      <c r="J53" s="1316"/>
      <c r="K53" s="1208" t="str">
        <f t="shared" ca="1" si="7"/>
        <v/>
      </c>
      <c r="L53" s="891"/>
    </row>
    <row r="54" spans="3:12" s="1208" customFormat="1" ht="20.45" hidden="1" customHeight="1">
      <c r="C54" s="961" t="s">
        <v>284</v>
      </c>
      <c r="D54" s="1758">
        <f ca="1">SUM($K$4:K54)</f>
        <v>0</v>
      </c>
      <c r="E54" s="1999" t="e">
        <f t="shared" si="11"/>
        <v>#N/A</v>
      </c>
      <c r="F54" s="1758" t="e">
        <f t="shared" si="8"/>
        <v>#N/A</v>
      </c>
      <c r="G54" s="1319">
        <f t="shared" ca="1" si="9"/>
        <v>0</v>
      </c>
      <c r="H54" s="1319">
        <f t="shared" ca="1" si="10"/>
        <v>0</v>
      </c>
      <c r="I54" s="1319"/>
      <c r="J54" s="1316"/>
      <c r="K54" s="1208" t="str">
        <f t="shared" ca="1" si="7"/>
        <v/>
      </c>
      <c r="L54" s="891"/>
    </row>
    <row r="55" spans="3:12" s="1208" customFormat="1" ht="20.45" hidden="1" customHeight="1">
      <c r="C55" s="961" t="s">
        <v>647</v>
      </c>
      <c r="D55" s="1758">
        <f ca="1">SUM($K$4:K55)</f>
        <v>0</v>
      </c>
      <c r="E55" s="1999" t="e">
        <f t="shared" si="11"/>
        <v>#N/A</v>
      </c>
      <c r="F55" s="1758" t="e">
        <f t="shared" si="8"/>
        <v>#N/A</v>
      </c>
      <c r="G55" s="1319">
        <f t="shared" ca="1" si="9"/>
        <v>0</v>
      </c>
      <c r="H55" s="1319">
        <f t="shared" ca="1" si="10"/>
        <v>0</v>
      </c>
      <c r="I55" s="1319"/>
      <c r="J55" s="1316"/>
      <c r="K55" s="1208" t="str">
        <f t="shared" ca="1" si="7"/>
        <v/>
      </c>
      <c r="L55" s="891"/>
    </row>
    <row r="56" spans="3:12" s="1208" customFormat="1" ht="20.45" hidden="1" customHeight="1">
      <c r="C56" s="961" t="s">
        <v>1638</v>
      </c>
      <c r="D56" s="1758">
        <f ca="1">SUM($K$4:K56)</f>
        <v>0</v>
      </c>
      <c r="E56" s="1999" t="e">
        <f t="shared" si="11"/>
        <v>#N/A</v>
      </c>
      <c r="F56" s="1758" t="e">
        <f t="shared" si="8"/>
        <v>#N/A</v>
      </c>
      <c r="G56" s="1319">
        <f t="shared" ca="1" si="9"/>
        <v>0</v>
      </c>
      <c r="H56" s="1319">
        <f t="shared" ca="1" si="10"/>
        <v>0</v>
      </c>
      <c r="I56" s="1319"/>
      <c r="J56" s="1316"/>
      <c r="K56" s="1208" t="str">
        <f t="shared" ca="1" si="7"/>
        <v/>
      </c>
      <c r="L56" s="891"/>
    </row>
    <row r="57" spans="3:12" s="1208" customFormat="1" ht="20.45" hidden="1" customHeight="1">
      <c r="C57" s="961" t="s">
        <v>983</v>
      </c>
      <c r="D57" s="1758">
        <f ca="1">SUM($K$4:K57)</f>
        <v>0</v>
      </c>
      <c r="E57" s="1999" t="e">
        <f t="shared" si="11"/>
        <v>#N/A</v>
      </c>
      <c r="F57" s="1758" t="e">
        <f t="shared" si="8"/>
        <v>#N/A</v>
      </c>
      <c r="G57" s="1319">
        <f t="shared" ca="1" si="9"/>
        <v>0</v>
      </c>
      <c r="H57" s="1319">
        <f t="shared" ca="1" si="10"/>
        <v>0</v>
      </c>
      <c r="I57" s="1319"/>
      <c r="J57" s="1316"/>
      <c r="K57" s="1208" t="str">
        <f t="shared" ca="1" si="7"/>
        <v/>
      </c>
      <c r="L57" s="891"/>
    </row>
    <row r="58" spans="3:12" s="1208" customFormat="1" ht="20.45" hidden="1" customHeight="1">
      <c r="C58" s="961" t="s">
        <v>311</v>
      </c>
      <c r="D58" s="1758">
        <f ca="1">SUM($K$4:K58)</f>
        <v>0</v>
      </c>
      <c r="E58" s="1999" t="e">
        <f t="shared" si="11"/>
        <v>#N/A</v>
      </c>
      <c r="F58" s="1758" t="e">
        <f t="shared" si="8"/>
        <v>#N/A</v>
      </c>
      <c r="G58" s="1319">
        <f t="shared" ca="1" si="9"/>
        <v>0</v>
      </c>
      <c r="H58" s="1319">
        <f t="shared" ca="1" si="10"/>
        <v>0</v>
      </c>
      <c r="I58" s="1319"/>
      <c r="J58" s="1316"/>
      <c r="K58" s="1208" t="str">
        <f t="shared" ca="1" si="7"/>
        <v/>
      </c>
      <c r="L58" s="891"/>
    </row>
    <row r="59" spans="3:12" s="1208" customFormat="1" ht="20.45" hidden="1" customHeight="1">
      <c r="C59" s="961" t="s">
        <v>888</v>
      </c>
      <c r="D59" s="1758">
        <f ca="1">SUM($K$4:K59)</f>
        <v>0</v>
      </c>
      <c r="E59" s="1999" t="e">
        <f t="shared" si="11"/>
        <v>#N/A</v>
      </c>
      <c r="F59" s="1758" t="e">
        <f t="shared" si="8"/>
        <v>#N/A</v>
      </c>
      <c r="G59" s="1319">
        <f t="shared" ca="1" si="9"/>
        <v>0</v>
      </c>
      <c r="H59" s="1319">
        <f t="shared" ca="1" si="10"/>
        <v>0</v>
      </c>
      <c r="I59" s="1319"/>
      <c r="J59" s="1316"/>
      <c r="K59" s="1208" t="str">
        <f t="shared" ca="1" si="7"/>
        <v/>
      </c>
      <c r="L59" s="891"/>
    </row>
    <row r="60" spans="3:12" s="1208" customFormat="1" ht="20.45" hidden="1" customHeight="1">
      <c r="C60" s="961" t="s">
        <v>511</v>
      </c>
      <c r="D60" s="1758">
        <f ca="1">SUM($K$4:K60)</f>
        <v>0</v>
      </c>
      <c r="E60" s="1999" t="e">
        <f t="shared" si="11"/>
        <v>#N/A</v>
      </c>
      <c r="F60" s="1758" t="e">
        <f t="shared" si="8"/>
        <v>#N/A</v>
      </c>
      <c r="G60" s="1319">
        <f t="shared" ca="1" si="9"/>
        <v>0</v>
      </c>
      <c r="H60" s="1319">
        <f t="shared" ca="1" si="10"/>
        <v>0</v>
      </c>
      <c r="I60" s="1319"/>
      <c r="J60" s="1316"/>
      <c r="K60" s="1208" t="str">
        <f t="shared" ca="1" si="7"/>
        <v/>
      </c>
      <c r="L60" s="891"/>
    </row>
    <row r="61" spans="3:12" s="1208" customFormat="1" ht="20.45" hidden="1" customHeight="1">
      <c r="C61" s="961" t="s">
        <v>547</v>
      </c>
      <c r="D61" s="1758">
        <f ca="1">SUM($K$4:K61)</f>
        <v>0</v>
      </c>
      <c r="E61" s="1999" t="e">
        <f t="shared" si="11"/>
        <v>#N/A</v>
      </c>
      <c r="F61" s="1758" t="e">
        <f t="shared" si="8"/>
        <v>#N/A</v>
      </c>
      <c r="G61" s="1319">
        <f t="shared" ca="1" si="9"/>
        <v>0</v>
      </c>
      <c r="H61" s="1319">
        <f t="shared" ca="1" si="10"/>
        <v>0</v>
      </c>
      <c r="I61" s="1319"/>
      <c r="J61" s="1316"/>
      <c r="K61" s="1208" t="str">
        <f t="shared" ca="1" si="7"/>
        <v/>
      </c>
      <c r="L61" s="891"/>
    </row>
    <row r="62" spans="3:12" s="1208" customFormat="1" ht="20.45" hidden="1" customHeight="1">
      <c r="C62" s="961" t="s">
        <v>1488</v>
      </c>
      <c r="D62" s="1758">
        <f ca="1">SUM($K$4:K62)</f>
        <v>0</v>
      </c>
      <c r="E62" s="1999" t="e">
        <f t="shared" si="11"/>
        <v>#N/A</v>
      </c>
      <c r="F62" s="1758" t="e">
        <f t="shared" si="8"/>
        <v>#N/A</v>
      </c>
      <c r="G62" s="1319">
        <f t="shared" ca="1" si="9"/>
        <v>0</v>
      </c>
      <c r="H62" s="1319">
        <f t="shared" ca="1" si="10"/>
        <v>0</v>
      </c>
      <c r="I62" s="1319"/>
      <c r="J62" s="1316"/>
      <c r="K62" s="1208" t="str">
        <f t="shared" ca="1" si="7"/>
        <v/>
      </c>
      <c r="L62" s="891"/>
    </row>
    <row r="63" spans="3:12" s="1208" customFormat="1" ht="20.45" hidden="1" customHeight="1">
      <c r="C63" s="961" t="s">
        <v>1489</v>
      </c>
      <c r="D63" s="1758">
        <f ca="1">SUM($K$4:K63)</f>
        <v>0</v>
      </c>
      <c r="E63" s="1999" t="e">
        <f t="shared" si="11"/>
        <v>#N/A</v>
      </c>
      <c r="F63" s="1758" t="e">
        <f t="shared" si="8"/>
        <v>#N/A</v>
      </c>
      <c r="G63" s="1319">
        <f t="shared" ca="1" si="9"/>
        <v>0</v>
      </c>
      <c r="H63" s="1319">
        <f t="shared" ca="1" si="10"/>
        <v>0</v>
      </c>
      <c r="I63" s="1319"/>
      <c r="J63" s="1316"/>
      <c r="K63" s="1208" t="str">
        <f t="shared" ca="1" si="7"/>
        <v/>
      </c>
      <c r="L63" s="891"/>
    </row>
    <row r="64" spans="3:12" ht="20.45" hidden="1" customHeight="1">
      <c r="C64" s="961" t="s">
        <v>4915</v>
      </c>
      <c r="D64" s="1758">
        <f ca="1">SUM($K$4:K64)</f>
        <v>0</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0</v>
      </c>
      <c r="H65" s="1320">
        <f ca="1">SUM(H4:H64)</f>
        <v>0</v>
      </c>
      <c r="I65" s="1758"/>
      <c r="J65" s="1758"/>
      <c r="K65" s="1208"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08"/>
    <col min="2" max="2" width="14.44140625" style="1322" customWidth="1"/>
    <col min="3" max="3" width="4.88671875" style="1208" customWidth="1"/>
    <col min="4" max="4" width="29.21875" style="1208" customWidth="1"/>
    <col min="5" max="5" width="7.21875" style="1208" customWidth="1"/>
    <col min="6" max="7" width="8.21875" style="1208" customWidth="1"/>
    <col min="8" max="8" width="10.5546875" style="1208" hidden="1" customWidth="1"/>
    <col min="9" max="9" width="9.33203125" style="1208" customWidth="1"/>
    <col min="10" max="16384" width="8.88671875" style="1208"/>
  </cols>
  <sheetData>
    <row r="1" spans="2:12">
      <c r="D1" s="891" t="s">
        <v>2823</v>
      </c>
      <c r="E1" s="891"/>
    </row>
    <row r="3" spans="2:12" s="1606" customFormat="1" ht="36.6" customHeight="1">
      <c r="B3" s="1211"/>
      <c r="C3" s="1759" t="s">
        <v>1704</v>
      </c>
      <c r="D3" s="1759" t="s">
        <v>3957</v>
      </c>
      <c r="E3" s="1380" t="s">
        <v>4137</v>
      </c>
      <c r="F3" s="1380" t="s">
        <v>4820</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
      </c>
      <c r="I4" s="1316"/>
      <c r="J4" s="1208" t="str">
        <f t="shared" ref="J4:J16" ca="1" si="2">IF(OR(F4&gt;0,G4&gt;0),1,"")</f>
        <v/>
      </c>
      <c r="L4" s="1319"/>
    </row>
    <row r="5" spans="2:12" hidden="1">
      <c r="B5" s="1322" t="s">
        <v>4880</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
      </c>
      <c r="I5" s="1316"/>
      <c r="J5" s="1208" t="str">
        <f t="shared" ca="1" si="2"/>
        <v/>
      </c>
      <c r="K5" s="891"/>
      <c r="L5" s="1319"/>
    </row>
    <row r="6" spans="2:12" ht="43.15" hidden="1" customHeight="1">
      <c r="B6" s="1322" t="s">
        <v>301</v>
      </c>
      <c r="C6" s="1758">
        <f ca="1">SUM($J$4:J6)</f>
        <v>0</v>
      </c>
      <c r="D6" s="1999" t="e">
        <f t="shared" si="0"/>
        <v>#N/A</v>
      </c>
      <c r="E6" s="1758" t="e">
        <f t="shared" si="1"/>
        <v>#N/A</v>
      </c>
      <c r="F6" s="1319">
        <f t="shared" ca="1" si="3"/>
        <v>0</v>
      </c>
      <c r="G6" s="1319">
        <f t="shared" ca="1" si="4"/>
        <v>0</v>
      </c>
      <c r="H6" s="1319" t="str">
        <f ca="1">VLOOKUP($D$1,Solieu!A:C,2,0)</f>
        <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15" customHeight="1">
      <c r="B12" s="1322" t="s">
        <v>300</v>
      </c>
      <c r="C12" s="1758">
        <f ca="1">SUM($J$4:J12)</f>
        <v>0</v>
      </c>
      <c r="D12" s="1317" t="e">
        <f t="shared" si="0"/>
        <v>#N/A</v>
      </c>
      <c r="E12" s="1758" t="e">
        <f t="shared" si="1"/>
        <v>#N/A</v>
      </c>
      <c r="F12" s="1319">
        <f t="shared" ca="1" si="3"/>
        <v>0</v>
      </c>
      <c r="G12" s="1319">
        <f t="shared" ca="1" si="4"/>
        <v>0</v>
      </c>
      <c r="I12" s="1316"/>
      <c r="J12" s="1208" t="str">
        <f t="shared" ca="1" si="2"/>
        <v/>
      </c>
    </row>
    <row r="13" spans="2:12" hidden="1">
      <c r="B13" s="1322" t="s">
        <v>2302</v>
      </c>
      <c r="C13" s="1758">
        <f ca="1">SUM($J$4:J13)</f>
        <v>0</v>
      </c>
      <c r="D13" s="1999" t="e">
        <f t="shared" si="0"/>
        <v>#N/A</v>
      </c>
      <c r="E13" s="1758" t="e">
        <f t="shared" si="1"/>
        <v>#N/A</v>
      </c>
      <c r="F13" s="1319">
        <f t="shared" ca="1" si="3"/>
        <v>0</v>
      </c>
      <c r="G13" s="1319">
        <f t="shared" ca="1" si="4"/>
        <v>0</v>
      </c>
      <c r="I13" s="1316"/>
      <c r="J13" s="1208" t="str">
        <f t="shared" ca="1" si="2"/>
        <v/>
      </c>
    </row>
    <row r="14" spans="2:12" hidden="1">
      <c r="B14" s="1322" t="s">
        <v>4916</v>
      </c>
      <c r="C14" s="1758">
        <f ca="1">SUM($J$4:J14)</f>
        <v>0</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0</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0</v>
      </c>
      <c r="G16" s="1320">
        <f ca="1">SUM(G4:G15)</f>
        <v>0</v>
      </c>
      <c r="H16" s="1758"/>
      <c r="I16" s="1758"/>
      <c r="J16" s="1208"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08"/>
    <col min="2" max="2" width="14.44140625" style="1377" customWidth="1"/>
    <col min="3" max="3" width="5.33203125" style="1208" customWidth="1"/>
    <col min="4" max="4" width="33.6640625" style="1208" customWidth="1"/>
    <col min="5" max="6" width="11" style="1208" customWidth="1"/>
    <col min="7" max="7" width="11" style="1208" hidden="1" customWidth="1"/>
    <col min="8" max="8" width="11" style="1208" customWidth="1"/>
    <col min="9" max="16384" width="8.88671875" style="1208"/>
  </cols>
  <sheetData>
    <row r="1" spans="2:10">
      <c r="D1" s="891" t="s">
        <v>4409</v>
      </c>
    </row>
    <row r="3" spans="2:10" ht="33">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G29" sqref="G29"/>
    </sheetView>
  </sheetViews>
  <sheetFormatPr defaultColWidth="8.88671875" defaultRowHeight="16.5"/>
  <cols>
    <col min="1" max="1" width="8.88671875" style="1208"/>
    <col min="2" max="2" width="14.44140625" style="1341" customWidth="1"/>
    <col min="3" max="3" width="5.6640625" style="1208" customWidth="1"/>
    <col min="4" max="4" width="28.77734375" style="1208" customWidth="1"/>
    <col min="5" max="5" width="7" style="1208" customWidth="1"/>
    <col min="6" max="7" width="8.6640625" style="1208" customWidth="1"/>
    <col min="8" max="8" width="10.5546875" style="1208" hidden="1" customWidth="1"/>
    <col min="9" max="9" width="10.109375" style="1208" customWidth="1"/>
    <col min="10" max="10" width="8.88671875" style="1208"/>
    <col min="11" max="11" width="0" style="1208" hidden="1" customWidth="1"/>
    <col min="12" max="12" width="9.88671875" style="1208" customWidth="1"/>
    <col min="13" max="16384" width="8.88671875" style="1208"/>
  </cols>
  <sheetData>
    <row r="3" spans="2:11" ht="31.5">
      <c r="C3" s="1759" t="s">
        <v>1704</v>
      </c>
      <c r="D3" s="1759" t="s">
        <v>4230</v>
      </c>
      <c r="E3" s="1380" t="s">
        <v>4137</v>
      </c>
      <c r="F3" s="1380" t="s">
        <v>4820</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5"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5"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15" hidden="1" customHeight="1">
      <c r="B8" s="1322" t="s">
        <v>2300</v>
      </c>
      <c r="C8" s="1758">
        <f>SUM($J$4:J8)</f>
        <v>0</v>
      </c>
      <c r="D8" s="1999" t="e">
        <f t="shared" si="0"/>
        <v>#N/A</v>
      </c>
      <c r="E8" s="1758" t="e">
        <f t="shared" si="1"/>
        <v>#N/A</v>
      </c>
      <c r="F8" s="1319">
        <f>SUMIF(TongHopKL!$B:$B,B8,TongHopKL!H:H)</f>
        <v>0</v>
      </c>
      <c r="G8" s="1319">
        <f>SUMIF(TongHopKL!$B:$B,B8,TongHopKL!I:I)</f>
        <v>0</v>
      </c>
      <c r="H8" s="1319" t="str">
        <f>VLOOKUP(K8,Solieu!A:C,2,0)</f>
        <v>X</v>
      </c>
      <c r="I8" s="1758"/>
      <c r="J8" s="1208" t="str">
        <f t="shared" si="2"/>
        <v/>
      </c>
      <c r="K8" s="891" t="s">
        <v>4407</v>
      </c>
    </row>
    <row r="9" spans="2:11" ht="24" hidden="1" customHeight="1">
      <c r="B9" s="1322" t="s">
        <v>2258</v>
      </c>
      <c r="C9" s="1315">
        <f>SUM($J$4:J9)</f>
        <v>0</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15" hidden="1" customHeight="1">
      <c r="B10" s="1322" t="s">
        <v>2301</v>
      </c>
      <c r="C10" s="1758">
        <f>SUM($J$4:J10)</f>
        <v>0</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6341</v>
      </c>
      <c r="C11" s="1758">
        <f>SUM($J$4:J11)</f>
        <v>0</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15" customHeight="1">
      <c r="B12" s="1322" t="s">
        <v>6373</v>
      </c>
      <c r="C12" s="1758">
        <f>SUM($J$4:J12)</f>
        <v>1</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1</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1</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1</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1</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1</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1</v>
      </c>
      <c r="G18" s="1320">
        <f>SUM(G4:G17)</f>
        <v>1</v>
      </c>
      <c r="H18" s="1758"/>
      <c r="I18" s="1758"/>
      <c r="J18" s="1208">
        <v>1</v>
      </c>
    </row>
    <row r="19" spans="2:11" hidden="1">
      <c r="B19" s="1341" t="s">
        <v>2299</v>
      </c>
    </row>
    <row r="20" spans="2:11" hidden="1">
      <c r="B20" s="1341" t="s">
        <v>2300</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D125" sqref="D125"/>
    </sheetView>
  </sheetViews>
  <sheetFormatPr defaultColWidth="8.88671875" defaultRowHeight="16.5"/>
  <cols>
    <col min="1" max="1" width="18.33203125" style="1371" customWidth="1"/>
    <col min="2" max="2" width="17.33203125" style="1378" bestFit="1" customWidth="1"/>
    <col min="3" max="3" width="5.109375" style="1208" customWidth="1"/>
    <col min="4" max="4" width="34.44140625" style="1208" customWidth="1"/>
    <col min="5" max="5" width="8.77734375" style="1208" customWidth="1"/>
    <col min="6" max="7" width="7.109375" style="1208" customWidth="1"/>
    <col min="8" max="8" width="11.88671875" style="1208" hidden="1" customWidth="1"/>
    <col min="9" max="9" width="9" style="1208" customWidth="1"/>
    <col min="10" max="10" width="8.88671875" style="1208"/>
    <col min="11" max="11" width="8.88671875" style="1341"/>
    <col min="12" max="16384" width="8.8867187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
      <c r="A3" s="2615"/>
      <c r="C3" s="1759" t="s">
        <v>1704</v>
      </c>
      <c r="D3" s="1759" t="s">
        <v>4136</v>
      </c>
      <c r="E3" s="1759" t="s">
        <v>4137</v>
      </c>
      <c r="F3" s="1759" t="s">
        <v>4820</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1</v>
      </c>
      <c r="G4" s="1319">
        <f t="shared" ref="G4:G34" ca="1" si="3">IF(B4&lt;&gt;0,SUMIF(KhoiLuong,B4,ThiCong),0)</f>
        <v>1</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1</v>
      </c>
      <c r="G5" s="1319">
        <f t="shared" ca="1" si="3"/>
        <v>1</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hidden="1" customHeight="1">
      <c r="A8" s="2615"/>
      <c r="B8" s="1379" t="s">
        <v>2289</v>
      </c>
      <c r="C8" s="1315">
        <f ca="1">SUM($J$4:J8)</f>
        <v>2</v>
      </c>
      <c r="D8" s="1317" t="e">
        <f t="shared" si="0"/>
        <v>#N/A</v>
      </c>
      <c r="E8" s="1319" t="e">
        <f t="shared" si="1"/>
        <v>#N/A</v>
      </c>
      <c r="F8" s="1319">
        <f t="shared" ca="1" si="2"/>
        <v>0</v>
      </c>
      <c r="G8" s="1319">
        <f t="shared" ca="1" si="3"/>
        <v>0</v>
      </c>
      <c r="H8" s="1319" t="str">
        <f>VLOOKUP($D$1,Solieu!A:C,2,0)</f>
        <v>x</v>
      </c>
      <c r="I8" s="1314"/>
      <c r="J8" s="1208" t="str">
        <f t="shared" ca="1" si="4"/>
        <v/>
      </c>
      <c r="K8" s="1994"/>
    </row>
    <row r="9" spans="1:20" ht="34.5" hidden="1" customHeight="1">
      <c r="A9" s="2615"/>
      <c r="B9" s="1379" t="s">
        <v>2285</v>
      </c>
      <c r="C9" s="1315">
        <f ca="1">SUM($J$4:J9)</f>
        <v>2</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2</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2</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2</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2</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hidden="1" customHeight="1">
      <c r="A14" s="2615"/>
      <c r="B14" s="1378" t="s">
        <v>531</v>
      </c>
      <c r="C14" s="1758">
        <f ca="1">SUM($J$4:J14)</f>
        <v>2</v>
      </c>
      <c r="D14" s="1317" t="e">
        <f t="shared" si="0"/>
        <v>#N/A</v>
      </c>
      <c r="E14" s="1319" t="e">
        <f t="shared" si="1"/>
        <v>#N/A</v>
      </c>
      <c r="F14" s="1319">
        <f t="shared" ca="1" si="2"/>
        <v>0</v>
      </c>
      <c r="G14" s="1319">
        <f t="shared" ca="1" si="3"/>
        <v>0</v>
      </c>
      <c r="H14" s="1319" t="str">
        <f>VLOOKUP($D$1,Solieu!A:C,2,0)</f>
        <v>x</v>
      </c>
      <c r="I14" s="1759"/>
      <c r="J14" s="1208" t="str">
        <f t="shared" ca="1" si="4"/>
        <v/>
      </c>
      <c r="L14" s="1322"/>
      <c r="M14" s="1322"/>
      <c r="N14" s="1322"/>
      <c r="O14" s="1322"/>
      <c r="P14" s="1322"/>
      <c r="Q14" s="1322"/>
      <c r="R14" s="1322"/>
      <c r="S14" s="1322"/>
      <c r="T14" s="1322"/>
    </row>
    <row r="15" spans="1:20" ht="34.5" hidden="1" customHeight="1">
      <c r="A15" s="2615"/>
      <c r="B15" s="1378" t="s">
        <v>1108</v>
      </c>
      <c r="C15" s="1758">
        <f ca="1">SUM($J$4:J15)</f>
        <v>2</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2</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2</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2</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2</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2</v>
      </c>
      <c r="D20" s="1317" t="e">
        <f t="shared" si="0"/>
        <v>#N/A</v>
      </c>
      <c r="E20" s="1319" t="e">
        <f t="shared" si="1"/>
        <v>#N/A</v>
      </c>
      <c r="F20" s="1319">
        <f t="shared" ca="1" si="2"/>
        <v>0</v>
      </c>
      <c r="G20" s="1319">
        <f t="shared" ca="1" si="3"/>
        <v>0</v>
      </c>
      <c r="H20" s="1319" t="str">
        <f>VLOOKUP($D$1,Solieu!A:C,2,0)</f>
        <v>x</v>
      </c>
      <c r="I20" s="1314"/>
      <c r="J20" s="1208" t="str">
        <f t="shared" ca="1" si="4"/>
        <v/>
      </c>
    </row>
    <row r="21" spans="1:20" ht="34.5" hidden="1" customHeight="1">
      <c r="A21" s="2615"/>
      <c r="B21" s="1378" t="s">
        <v>2286</v>
      </c>
      <c r="C21" s="1315">
        <f ca="1">SUM($J$4:J21)</f>
        <v>2</v>
      </c>
      <c r="D21" s="1317" t="e">
        <f t="shared" si="0"/>
        <v>#N/A</v>
      </c>
      <c r="E21" s="1319" t="e">
        <f t="shared" si="1"/>
        <v>#N/A</v>
      </c>
      <c r="F21" s="1319">
        <f t="shared" ca="1" si="2"/>
        <v>0</v>
      </c>
      <c r="G21" s="1319">
        <f t="shared" ca="1" si="3"/>
        <v>0</v>
      </c>
      <c r="H21" s="1319" t="str">
        <f>VLOOKUP($D$1,Solieu!A:C,2,0)</f>
        <v>x</v>
      </c>
      <c r="I21" s="1314"/>
      <c r="J21" s="1208" t="str">
        <f t="shared" ca="1" si="4"/>
        <v/>
      </c>
    </row>
    <row r="22" spans="1:20" ht="34.5" hidden="1" customHeight="1">
      <c r="A22" s="2615"/>
      <c r="B22" s="1378" t="s">
        <v>890</v>
      </c>
      <c r="C22" s="1315">
        <f ca="1">SUM($J$4:J22)</f>
        <v>2</v>
      </c>
      <c r="D22" s="1317" t="e">
        <f t="shared" si="0"/>
        <v>#N/A</v>
      </c>
      <c r="E22" s="1319" t="e">
        <f t="shared" si="1"/>
        <v>#N/A</v>
      </c>
      <c r="F22" s="1319">
        <f t="shared" ca="1" si="2"/>
        <v>0</v>
      </c>
      <c r="G22" s="1319">
        <f t="shared" ca="1" si="3"/>
        <v>0</v>
      </c>
      <c r="H22" s="1319" t="str">
        <f>VLOOKUP($D$1,Solieu!A:C,2,0)</f>
        <v>x</v>
      </c>
      <c r="I22" s="1314"/>
      <c r="J22" s="1208" t="str">
        <f t="shared" ca="1" si="4"/>
        <v/>
      </c>
    </row>
    <row r="23" spans="1:20" ht="34.5" hidden="1" customHeight="1">
      <c r="A23" s="2615"/>
      <c r="B23" s="1378" t="s">
        <v>2287</v>
      </c>
      <c r="C23" s="1758">
        <f ca="1">SUM($J$4:J23)</f>
        <v>2</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2</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2</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2</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2</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2</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2</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2</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2</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2</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2</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4730</v>
      </c>
      <c r="C34" s="1315">
        <f ca="1">SUM($J$4:J34)</f>
        <v>2</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4731</v>
      </c>
      <c r="C35" s="1315">
        <f ca="1">SUM($J$4:J35)</f>
        <v>2</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6318</v>
      </c>
      <c r="C36" s="1758">
        <f ca="1">SUM($J$4:J36)</f>
        <v>2</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6319</v>
      </c>
      <c r="C37" s="1758">
        <f ca="1">SUM($J$4:J37)</f>
        <v>2</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6320</v>
      </c>
      <c r="C38" s="1758">
        <f ca="1">SUM($J$4:J38)</f>
        <v>2</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hidden="1" customHeight="1">
      <c r="A39" s="2615"/>
      <c r="B39" s="1378" t="s">
        <v>2493</v>
      </c>
      <c r="C39" s="1315">
        <f ca="1">SUM($J$4:J39)</f>
        <v>2</v>
      </c>
      <c r="D39" s="1317" t="e">
        <f t="shared" si="6"/>
        <v>#N/A</v>
      </c>
      <c r="E39" s="1319" t="e">
        <f t="shared" si="7"/>
        <v>#N/A</v>
      </c>
      <c r="F39" s="1319">
        <f t="shared" ca="1" si="8"/>
        <v>0</v>
      </c>
      <c r="G39" s="1319">
        <f t="shared" ca="1" si="9"/>
        <v>0</v>
      </c>
      <c r="H39" s="1319" t="str">
        <f>VLOOKUP($D$1,Solieu!A:C,2,0)</f>
        <v>x</v>
      </c>
      <c r="I39" s="1314"/>
      <c r="J39" s="1208" t="str">
        <f t="shared" ca="1" si="4"/>
        <v/>
      </c>
    </row>
    <row r="40" spans="1:10" ht="34.5" hidden="1" customHeight="1">
      <c r="A40" s="2615"/>
      <c r="B40" s="1378" t="s">
        <v>1617</v>
      </c>
      <c r="C40" s="1315">
        <f ca="1">SUM($J$4:J40)</f>
        <v>2</v>
      </c>
      <c r="D40" s="1317" t="e">
        <f t="shared" si="6"/>
        <v>#N/A</v>
      </c>
      <c r="E40" s="1319" t="e">
        <f t="shared" si="7"/>
        <v>#N/A</v>
      </c>
      <c r="F40" s="1319">
        <f t="shared" ca="1" si="8"/>
        <v>0</v>
      </c>
      <c r="G40" s="1319">
        <f t="shared" ca="1" si="9"/>
        <v>0</v>
      </c>
      <c r="H40" s="1319" t="str">
        <f>VLOOKUP($D$1,Solieu!A:C,2,0)</f>
        <v>x</v>
      </c>
      <c r="I40" s="1314"/>
      <c r="J40" s="1208" t="str">
        <f t="shared" ca="1" si="4"/>
        <v/>
      </c>
    </row>
    <row r="41" spans="1:10" ht="34.5" hidden="1" customHeight="1">
      <c r="A41" s="2615"/>
      <c r="B41" s="1378" t="s">
        <v>1618</v>
      </c>
      <c r="C41" s="1315">
        <f ca="1">SUM($J$4:J41)</f>
        <v>2</v>
      </c>
      <c r="D41" s="1317" t="e">
        <f t="shared" si="6"/>
        <v>#N/A</v>
      </c>
      <c r="E41" s="1319" t="e">
        <f t="shared" si="7"/>
        <v>#N/A</v>
      </c>
      <c r="F41" s="1319">
        <f t="shared" ca="1" si="8"/>
        <v>0</v>
      </c>
      <c r="G41" s="1319">
        <f t="shared" ca="1" si="9"/>
        <v>0</v>
      </c>
      <c r="H41" s="1319" t="str">
        <f>VLOOKUP($D$1,Solieu!A:C,2,0)</f>
        <v>x</v>
      </c>
      <c r="I41" s="1314"/>
      <c r="J41" s="1208" t="str">
        <f t="shared" ca="1" si="4"/>
        <v/>
      </c>
    </row>
    <row r="42" spans="1:10" ht="34.5" hidden="1" customHeight="1">
      <c r="A42" s="2615"/>
      <c r="B42" s="1378" t="s">
        <v>2155</v>
      </c>
      <c r="C42" s="1315">
        <f ca="1">SUM($J$4:J42)</f>
        <v>2</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2</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2</v>
      </c>
      <c r="D44" s="1317" t="e">
        <f t="shared" si="6"/>
        <v>#N/A</v>
      </c>
      <c r="E44" s="1319" t="e">
        <f t="shared" si="7"/>
        <v>#N/A</v>
      </c>
      <c r="F44" s="1319">
        <f t="shared" ca="1" si="8"/>
        <v>0</v>
      </c>
      <c r="G44" s="1319">
        <f t="shared" ca="1" si="9"/>
        <v>0</v>
      </c>
      <c r="H44" s="1319" t="str">
        <f>VLOOKUP($D$1,Solieu!A:C,2,0)</f>
        <v>x</v>
      </c>
      <c r="I44" s="1314"/>
      <c r="J44" s="1208" t="str">
        <f t="shared" ca="1" si="4"/>
        <v/>
      </c>
    </row>
    <row r="45" spans="1:10" ht="34.5" hidden="1" customHeight="1">
      <c r="A45" s="2615"/>
      <c r="B45" s="1378" t="s">
        <v>532</v>
      </c>
      <c r="C45" s="1315">
        <f ca="1">SUM($J$4:J45)</f>
        <v>2</v>
      </c>
      <c r="D45" s="1317" t="e">
        <f t="shared" si="6"/>
        <v>#N/A</v>
      </c>
      <c r="E45" s="1319" t="e">
        <f t="shared" si="7"/>
        <v>#N/A</v>
      </c>
      <c r="F45" s="1319">
        <f t="shared" ca="1" si="8"/>
        <v>0</v>
      </c>
      <c r="G45" s="1319">
        <f t="shared" ca="1" si="9"/>
        <v>0</v>
      </c>
      <c r="H45" s="1319" t="str">
        <f>VLOOKUP($D$1,Solieu!A:C,2,0)</f>
        <v>x</v>
      </c>
      <c r="I45" s="1314"/>
      <c r="J45" s="1208" t="str">
        <f t="shared" ca="1" si="4"/>
        <v/>
      </c>
    </row>
    <row r="46" spans="1:10" ht="34.5" hidden="1" customHeight="1">
      <c r="A46" s="2615"/>
      <c r="B46" s="1378" t="s">
        <v>2253</v>
      </c>
      <c r="C46" s="1315">
        <f ca="1">SUM($J$4:J46)</f>
        <v>2</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2</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2</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3</v>
      </c>
      <c r="D49" s="1317" t="str">
        <f t="shared" si="6"/>
        <v xml:space="preserve">Sứ đứng 24KV </v>
      </c>
      <c r="E49" s="1319" t="str">
        <f t="shared" si="7"/>
        <v>cái</v>
      </c>
      <c r="F49" s="1319">
        <f t="shared" ca="1" si="8"/>
        <v>6</v>
      </c>
      <c r="G49" s="1319">
        <f t="shared" ca="1" si="9"/>
        <v>6</v>
      </c>
      <c r="H49" s="1319" t="str">
        <f>VLOOKUP($D$1,Solieu!A:C,2,0)</f>
        <v>x</v>
      </c>
      <c r="I49" s="1314"/>
      <c r="J49" s="1208">
        <f t="shared" ca="1" si="4"/>
        <v>1</v>
      </c>
    </row>
    <row r="50" spans="1:10" ht="34.5" hidden="1" customHeight="1">
      <c r="A50" s="2615"/>
      <c r="B50" s="1378" t="s">
        <v>4823</v>
      </c>
      <c r="C50" s="1315">
        <f ca="1">SUM($J$4:J50)</f>
        <v>3</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3</v>
      </c>
      <c r="D51" s="1317" t="e">
        <f t="shared" si="6"/>
        <v>#N/A</v>
      </c>
      <c r="E51" s="1319" t="e">
        <f t="shared" si="7"/>
        <v>#N/A</v>
      </c>
      <c r="F51" s="1319">
        <f t="shared" ca="1" si="8"/>
        <v>0</v>
      </c>
      <c r="G51" s="1319">
        <f t="shared" ca="1" si="9"/>
        <v>0</v>
      </c>
      <c r="H51" s="1319" t="str">
        <f>VLOOKUP($D$1,Solieu!A:C,2,0)</f>
        <v>x</v>
      </c>
      <c r="I51" s="1314"/>
      <c r="J51" s="1208" t="str">
        <f t="shared" ca="1" si="4"/>
        <v/>
      </c>
    </row>
    <row r="52" spans="1:10" hidden="1">
      <c r="A52" s="2615"/>
      <c r="B52" s="1378" t="s">
        <v>1025</v>
      </c>
      <c r="C52" s="1315">
        <f ca="1">SUM($J$4:J52)</f>
        <v>3</v>
      </c>
      <c r="D52" s="1317" t="e">
        <f t="shared" si="6"/>
        <v>#N/A</v>
      </c>
      <c r="E52" s="1319" t="e">
        <f t="shared" si="7"/>
        <v>#N/A</v>
      </c>
      <c r="F52" s="1319">
        <f t="shared" ca="1" si="8"/>
        <v>0</v>
      </c>
      <c r="G52" s="1319">
        <f t="shared" ca="1" si="9"/>
        <v>0</v>
      </c>
      <c r="H52" s="1319" t="str">
        <f>VLOOKUP($D$1,Solieu!A:C,2,0)</f>
        <v>x</v>
      </c>
      <c r="I52" s="1314"/>
      <c r="J52" s="1208" t="str">
        <f t="shared" ca="1" si="4"/>
        <v/>
      </c>
    </row>
    <row r="53" spans="1:10" hidden="1">
      <c r="A53" s="2615"/>
      <c r="B53" s="1378" t="s">
        <v>536</v>
      </c>
      <c r="C53" s="1315">
        <f ca="1">SUM($J$4:J53)</f>
        <v>3</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3</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3</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3</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3</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3</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3</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3</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3</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3</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3</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3</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3</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3</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3</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3</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3</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3</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3</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3</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3</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3</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3</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3</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3</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3</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3</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3</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3</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3</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3</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
      <c r="B84" s="1378" t="s">
        <v>1910</v>
      </c>
      <c r="C84" s="1758">
        <f ca="1">SUM($J$4:J84)</f>
        <v>4</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4</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4</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4</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4</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4</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4908</v>
      </c>
      <c r="C90" s="1758">
        <f ca="1">SUM($J$4:J90)</f>
        <v>4</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4</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4</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4</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4</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4748</v>
      </c>
      <c r="C95" s="1758">
        <f ca="1">SUM($J$4:J95)</f>
        <v>4</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4749</v>
      </c>
      <c r="C96" s="1758">
        <f ca="1">SUM($J$4:J96)</f>
        <v>4</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4750</v>
      </c>
      <c r="C97" s="1758">
        <f ca="1">SUM($J$4:J97)</f>
        <v>4</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4751</v>
      </c>
      <c r="C98" s="1758">
        <f ca="1">SUM($J$4:J98)</f>
        <v>4</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4752</v>
      </c>
      <c r="C99" s="1758">
        <f ca="1">SUM($J$4:J99)</f>
        <v>4</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4753</v>
      </c>
      <c r="C100" s="1758">
        <f ca="1">SUM($J$4:J100)</f>
        <v>4</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4754</v>
      </c>
      <c r="C101" s="1758">
        <f ca="1">SUM($J$4:J101)</f>
        <v>4</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4</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4</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4</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4</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hidden="1">
      <c r="B106" s="1378" t="s">
        <v>2509</v>
      </c>
      <c r="C106" s="1758">
        <f ca="1">SUM($J$4:J106)</f>
        <v>4</v>
      </c>
      <c r="D106" s="1317" t="e">
        <f t="shared" si="15"/>
        <v>#N/A</v>
      </c>
      <c r="E106" s="1319" t="e">
        <f t="shared" si="16"/>
        <v>#N/A</v>
      </c>
      <c r="F106" s="1319">
        <f t="shared" ca="1" si="17"/>
        <v>0</v>
      </c>
      <c r="G106" s="1319">
        <f t="shared" ca="1" si="18"/>
        <v>0</v>
      </c>
      <c r="H106" s="1319" t="str">
        <f>VLOOKUP($D$1,Solieu!A:C,2,0)</f>
        <v>x</v>
      </c>
      <c r="I106" s="1759"/>
      <c r="J106" s="1208" t="str">
        <f t="shared" ca="1" si="14"/>
        <v/>
      </c>
    </row>
    <row r="107" spans="2:10" hidden="1">
      <c r="B107" s="1378" t="s">
        <v>2523</v>
      </c>
      <c r="C107" s="1758">
        <f ca="1">SUM($J$4:J107)</f>
        <v>4</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4</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5549</v>
      </c>
      <c r="C109" s="1758">
        <f ca="1">SUM($J$4:J109)</f>
        <v>5</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5551</v>
      </c>
      <c r="C110" s="1758">
        <f ca="1">SUM($J$4:J110)</f>
        <v>5</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5553</v>
      </c>
      <c r="C111" s="1758">
        <f ca="1">SUM($J$4:J111)</f>
        <v>5</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5556</v>
      </c>
      <c r="C112" s="1758">
        <f ca="1">SUM($J$4:J112)</f>
        <v>5</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5558</v>
      </c>
      <c r="C113" s="1758">
        <f ca="1">SUM($J$4:J113)</f>
        <v>5</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5560</v>
      </c>
      <c r="C114" s="1758">
        <f ca="1">SUM($J$4:J114)</f>
        <v>5</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5562</v>
      </c>
      <c r="C115" s="1758">
        <f ca="1">SUM($J$4:J115)</f>
        <v>5</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5564</v>
      </c>
      <c r="C116" s="1758">
        <f ca="1">SUM($J$4:J116)</f>
        <v>5</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5566</v>
      </c>
      <c r="C117" s="1758">
        <f ca="1">SUM($J$4:J117)</f>
        <v>5</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5568</v>
      </c>
      <c r="C118" s="1758">
        <f ca="1">SUM($J$4:J118)</f>
        <v>5</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5569</v>
      </c>
      <c r="C119" s="1758">
        <f ca="1">SUM($J$4:J119)</f>
        <v>5</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5572</v>
      </c>
      <c r="C120" s="1758">
        <f ca="1">SUM($J$4:J120)</f>
        <v>5</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5575</v>
      </c>
      <c r="C121" s="1758">
        <f ca="1">SUM($J$4:J121)</f>
        <v>5</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6355</v>
      </c>
      <c r="C122" s="1758">
        <f ca="1">SUM($J$4:J122)</f>
        <v>5</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6318</v>
      </c>
      <c r="C123" s="1758">
        <f ca="1">SUM($J$4:J123)</f>
        <v>5</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6320</v>
      </c>
      <c r="C124" s="1758">
        <f ca="1">SUM($J$4:J124)</f>
        <v>5</v>
      </c>
      <c r="D124" s="1317" t="e">
        <f t="shared" si="23"/>
        <v>#N/A</v>
      </c>
      <c r="E124" s="1319" t="e">
        <f t="shared" si="24"/>
        <v>#N/A</v>
      </c>
      <c r="F124" s="1319">
        <f t="shared" ca="1" si="25"/>
        <v>0</v>
      </c>
      <c r="G124" s="1319">
        <f t="shared" ca="1" si="26"/>
        <v>0</v>
      </c>
    </row>
    <row r="125" spans="2:10">
      <c r="B125" s="1378" t="s">
        <v>245</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C5" sqref="C5:H5"/>
    </sheetView>
  </sheetViews>
  <sheetFormatPr defaultColWidth="8.88671875" defaultRowHeight="16.5"/>
  <cols>
    <col min="1" max="1" width="8.88671875" style="1208"/>
    <col min="2" max="2" width="14.44140625" style="1208" customWidth="1"/>
    <col min="3" max="3" width="5.33203125" style="1208" customWidth="1"/>
    <col min="4" max="4" width="16.5546875" style="1208" customWidth="1"/>
    <col min="5" max="5" width="24.6640625" style="1208" customWidth="1"/>
    <col min="6" max="7" width="8.109375" style="1208" customWidth="1"/>
    <col min="8" max="8" width="5.88671875" style="1208" customWidth="1"/>
    <col min="9" max="9" width="8.88671875" style="1208"/>
    <col min="10" max="10" width="15.44140625" style="1208" customWidth="1"/>
    <col min="11" max="11" width="17.5546875" style="1208" customWidth="1"/>
    <col min="12" max="16384" width="8.88671875" style="1208"/>
  </cols>
  <sheetData>
    <row r="3" spans="1:11">
      <c r="C3" s="3252" t="s">
        <v>1704</v>
      </c>
      <c r="D3" s="1337" t="s">
        <v>4411</v>
      </c>
      <c r="E3" s="3253" t="s">
        <v>4140</v>
      </c>
      <c r="F3" s="3254" t="s">
        <v>4413</v>
      </c>
      <c r="G3" s="3254"/>
      <c r="H3" s="3255" t="s">
        <v>4105</v>
      </c>
      <c r="I3" s="1329" t="s">
        <v>510</v>
      </c>
    </row>
    <row r="4" spans="1:11">
      <c r="C4" s="3252"/>
      <c r="D4" s="1338" t="s">
        <v>4412</v>
      </c>
      <c r="E4" s="3253"/>
      <c r="F4" s="1336" t="s">
        <v>4141</v>
      </c>
      <c r="G4" s="1336" t="s">
        <v>4106</v>
      </c>
      <c r="H4" s="3256"/>
      <c r="I4" s="1208">
        <f>IF(OR(E4&gt;0,F4&gt;0),1,"")</f>
        <v>1</v>
      </c>
      <c r="J4" s="891" t="s">
        <v>4535</v>
      </c>
      <c r="K4" s="1208" t="s">
        <v>4536</v>
      </c>
    </row>
    <row r="5" spans="1:11" ht="52.5" customHeight="1">
      <c r="A5" s="1840" t="s">
        <v>1235</v>
      </c>
      <c r="B5" s="1208" t="s">
        <v>6478</v>
      </c>
      <c r="C5" s="1333">
        <v>1</v>
      </c>
      <c r="D5" s="1339" t="str">
        <f>$J$4&amp;J5&amp;$K$4&amp;K5</f>
        <v>Từ cột 024A đến cột 024A/006</v>
      </c>
      <c r="E5" s="1335" t="str">
        <f t="shared" ref="E5:E16" si="0">VLOOKUP(B5,DonGia,3,0)&amp;" + "&amp;VLOOKUP(A5,DonGia,3,0)</f>
        <v>Cáp 24KV ACXH 50mm2 + Cáp nhôm lõi thép AC-70/11</v>
      </c>
      <c r="F5" s="2000">
        <f ca="1">SUMIF(KhoiLuong,B5,DuToan)</f>
        <v>0</v>
      </c>
      <c r="G5" s="2000">
        <f ca="1">SUMIF(KhoiLuong,B5,ThiCong)</f>
        <v>0</v>
      </c>
      <c r="H5" s="1334"/>
      <c r="I5" s="1208" t="str">
        <f ca="1">IF(AND(E5&gt;0,F5&gt;0),1,"")</f>
        <v/>
      </c>
      <c r="J5" s="2004" t="str">
        <f>WORD!AJ2</f>
        <v>024A</v>
      </c>
      <c r="K5" s="2964" t="str">
        <f>WORD!AK2</f>
        <v>024A/006</v>
      </c>
    </row>
    <row r="6" spans="1:11" ht="58.15" customHeight="1">
      <c r="A6" s="1840" t="s">
        <v>88</v>
      </c>
      <c r="B6" s="1208" t="s">
        <v>6416</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15" customHeight="1">
      <c r="A7" s="1840" t="s">
        <v>88</v>
      </c>
      <c r="B7" s="1208" t="s">
        <v>6415</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
      <c r="A8" s="1840" t="s">
        <v>88</v>
      </c>
      <c r="B8" s="1208" t="s">
        <v>6333</v>
      </c>
      <c r="C8" s="1327">
        <v>1</v>
      </c>
      <c r="D8" s="1339" t="str">
        <f>$J$4&amp;J8&amp;$K$4&amp;K8</f>
        <v>Từ cột 024A đến cột 024A/006</v>
      </c>
      <c r="E8" s="1335" t="e">
        <f t="shared" si="0"/>
        <v>#N/A</v>
      </c>
      <c r="F8" s="2000">
        <f ca="1">SUMIF(KhoiLuong,B8,DuToan)</f>
        <v>0</v>
      </c>
      <c r="G8" s="2000">
        <f ca="1">SUMIF(KhoiLuong,B8,ThiCong)</f>
        <v>0</v>
      </c>
      <c r="H8" s="1328"/>
      <c r="I8" s="1208" t="e">
        <f t="shared" ca="1" si="2"/>
        <v>#N/A</v>
      </c>
      <c r="J8" s="2616" t="str">
        <f>WORD!AJ2</f>
        <v>024A</v>
      </c>
      <c r="K8" s="2616" t="str">
        <f>WORD!AK2</f>
        <v>024A/006</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9"/>
    </sheetView>
  </sheetViews>
  <sheetFormatPr defaultColWidth="8.88671875" defaultRowHeight="16.5"/>
  <cols>
    <col min="1" max="1" width="8.88671875" style="1606"/>
    <col min="2" max="2" width="10.21875" style="1606" bestFit="1" customWidth="1"/>
    <col min="3" max="3" width="6.21875" style="1606" customWidth="1"/>
    <col min="4" max="4" width="29.5546875" style="1360" customWidth="1"/>
    <col min="5" max="7" width="8.109375" style="947" customWidth="1"/>
    <col min="8" max="8" width="9.109375" style="1606" customWidth="1"/>
    <col min="9" max="9" width="5.77734375" style="1606" customWidth="1"/>
    <col min="10" max="16384" width="8.88671875" style="1606"/>
  </cols>
  <sheetData>
    <row r="1" spans="1:10" ht="37.5" customHeight="1">
      <c r="A1" s="1606" t="s">
        <v>510</v>
      </c>
      <c r="C1" s="1602" t="s">
        <v>1704</v>
      </c>
      <c r="D1" s="1603" t="s">
        <v>4495</v>
      </c>
      <c r="E1" s="1603" t="s">
        <v>4137</v>
      </c>
      <c r="F1" s="1603" t="s">
        <v>4820</v>
      </c>
      <c r="G1" s="1603" t="s">
        <v>4106</v>
      </c>
      <c r="H1" s="1602" t="s">
        <v>4105</v>
      </c>
      <c r="I1" s="1606" t="s">
        <v>4496</v>
      </c>
      <c r="J1" s="1606" t="s">
        <v>6486</v>
      </c>
    </row>
    <row r="2" spans="1:10" ht="25.15"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3</v>
      </c>
      <c r="G3" s="1605">
        <f t="shared" ca="1" si="2"/>
        <v>3</v>
      </c>
      <c r="H3" s="1600"/>
      <c r="I3" s="1606">
        <f t="shared" ref="I3:I26" ca="1" si="3">IF(AND(SUM(F3:G3)&gt;0,A3="x"),1,"")</f>
        <v>1</v>
      </c>
      <c r="J3" s="1606">
        <f>SUMIF(chitiet!B:B,'8TB'!B3,chitiet!P:P)</f>
        <v>1</v>
      </c>
    </row>
    <row r="4" spans="1:10" ht="25.15" customHeight="1">
      <c r="A4" s="1606" t="s">
        <v>510</v>
      </c>
      <c r="B4" s="1604" t="str">
        <f>'NT-VT'!A8</f>
        <v>LA18</v>
      </c>
      <c r="C4" s="1607">
        <f ca="1">SUM($I$2:I4)</f>
        <v>3</v>
      </c>
      <c r="D4" s="2003" t="str">
        <f t="shared" si="0"/>
        <v>Chống sét van LA-18KV-10KA</v>
      </c>
      <c r="E4" s="1605" t="str">
        <f>VLOOKUP(B4,DonGia,4,)</f>
        <v>cái</v>
      </c>
      <c r="F4" s="1605">
        <f t="shared" ca="1" si="1"/>
        <v>6</v>
      </c>
      <c r="G4" s="1605">
        <f t="shared" ca="1" si="2"/>
        <v>6</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6</v>
      </c>
      <c r="G6" s="1605">
        <f t="shared" ca="1" si="2"/>
        <v>6</v>
      </c>
      <c r="H6" s="1600"/>
      <c r="I6" s="1606">
        <f t="shared" ca="1" si="3"/>
        <v>1</v>
      </c>
      <c r="J6" s="1606">
        <f>SUMIF(chitiet!B:B,'8TB'!B6,chitiet!P:P)</f>
        <v>27</v>
      </c>
    </row>
    <row r="7" spans="1:10" ht="25.15" hidden="1" customHeight="1">
      <c r="B7" s="1604" t="str">
        <f>'NT-VT'!A11</f>
        <v>cxv25</v>
      </c>
      <c r="C7" s="1607">
        <f ca="1">SUM($I$2:I7)</f>
        <v>5</v>
      </c>
      <c r="D7" s="2003" t="str">
        <f t="shared" si="0"/>
        <v>Cáp đồng bọc 24KV-CXV-25</v>
      </c>
      <c r="E7" s="1605" t="str">
        <f>'NT-VT'!D12</f>
        <v>mét</v>
      </c>
      <c r="F7" s="1605">
        <f t="shared" ca="1" si="1"/>
        <v>36</v>
      </c>
      <c r="G7" s="1605">
        <f t="shared" ca="1" si="2"/>
        <v>36</v>
      </c>
      <c r="H7" s="1600"/>
      <c r="I7" s="1606" t="str">
        <f t="shared" ca="1" si="3"/>
        <v/>
      </c>
      <c r="J7" s="1606">
        <f>SUMIF(chitiet!B:B,'8TB'!B7,chitiet!P:P)</f>
        <v>10</v>
      </c>
    </row>
    <row r="8" spans="1:10" ht="25.15"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15"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15" customHeight="1">
      <c r="B10" s="1604" t="str">
        <f>'NT-VT'!A14</f>
        <v>M25</v>
      </c>
      <c r="C10" s="1607">
        <f ca="1">SUM($I$2:I10)</f>
        <v>7</v>
      </c>
      <c r="D10" s="2003" t="str">
        <f t="shared" si="0"/>
        <v>Cáp đồng trần M25mm2</v>
      </c>
      <c r="E10" s="1605" t="str">
        <f>VLOOKUP(B10,DonGia,4,)</f>
        <v>kg</v>
      </c>
      <c r="F10" s="1605">
        <f t="shared" ca="1" si="1"/>
        <v>11.87</v>
      </c>
      <c r="G10" s="1605">
        <f t="shared" ca="1" si="2"/>
        <v>11.87</v>
      </c>
      <c r="H10" s="1600"/>
      <c r="I10" s="1606" t="str">
        <f t="shared" ca="1" si="3"/>
        <v/>
      </c>
      <c r="J10" s="1606">
        <f>SUMIF(chitiet!B:B,'8TB'!B10,chitiet!P:P)</f>
        <v>14.112</v>
      </c>
    </row>
    <row r="11" spans="1:10" ht="25.15"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1</v>
      </c>
      <c r="G12" s="1605">
        <f t="shared" ca="1" si="2"/>
        <v>1</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1</v>
      </c>
      <c r="G13" s="1605">
        <f t="shared" ca="1" si="2"/>
        <v>1</v>
      </c>
      <c r="H13" s="1600"/>
      <c r="I13" s="1606" t="str">
        <f t="shared" ca="1" si="3"/>
        <v/>
      </c>
      <c r="J13" s="1606">
        <f>SUMIF(chitiet!B:B,'8TB'!B13,chitiet!P:P)</f>
        <v>3</v>
      </c>
    </row>
    <row r="14" spans="1:10" ht="33">
      <c r="B14" s="1604" t="str">
        <f>'NT-VT'!A18</f>
        <v>B16250</v>
      </c>
      <c r="C14" s="1607">
        <f ca="1">SUM($I$2:I14)</f>
        <v>7</v>
      </c>
      <c r="D14" s="2003" t="str">
        <f t="shared" si="0"/>
        <v>Boulon 16x250+ 2 long đền vuông D18-50x50x3/Zn</v>
      </c>
      <c r="E14" s="1605" t="str">
        <f>'NT-VT'!D17</f>
        <v>cái</v>
      </c>
      <c r="F14" s="1605">
        <f t="shared" ca="1" si="1"/>
        <v>2</v>
      </c>
      <c r="G14" s="1605">
        <f t="shared" ca="1" si="2"/>
        <v>2</v>
      </c>
      <c r="H14" s="1600"/>
      <c r="I14" s="1606" t="str">
        <f t="shared" ca="1" si="3"/>
        <v/>
      </c>
      <c r="J14" s="1606">
        <f>SUMIF(chitiet!B:B,'8TB'!B14,chitiet!P:P)</f>
        <v>1</v>
      </c>
    </row>
    <row r="15" spans="1:10" ht="33" hidden="1">
      <c r="B15" s="1604" t="str">
        <f>'NT-VT'!A19</f>
        <v>B16350</v>
      </c>
      <c r="C15" s="1607">
        <f ca="1">SUM($I$2:I15)</f>
        <v>7</v>
      </c>
      <c r="D15" s="2003" t="str">
        <f t="shared" si="0"/>
        <v>Boulon 16x350+ 2 long đền vuông D18-50x50x3/Zn</v>
      </c>
      <c r="E15" s="1605" t="str">
        <f>'NT-VT'!D18</f>
        <v>bộ</v>
      </c>
      <c r="F15" s="1605">
        <f t="shared" ca="1" si="1"/>
        <v>2</v>
      </c>
      <c r="G15" s="1605">
        <f t="shared" ca="1" si="2"/>
        <v>2</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63890</v>
      </c>
      <c r="G19" s="1605">
        <f t="shared" ca="1" si="2"/>
        <v>29072</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63890</v>
      </c>
      <c r="G20" s="1605">
        <f t="shared" ca="1" si="2"/>
        <v>29072</v>
      </c>
      <c r="H20" s="1600"/>
      <c r="I20" s="1606" t="str">
        <f t="shared" ca="1" si="3"/>
        <v/>
      </c>
      <c r="J20" s="1606">
        <f>SUMIF(chitiet!B:B,'8TB'!B20,chitiet!P:P)</f>
        <v>0</v>
      </c>
    </row>
    <row r="21" spans="2:10" ht="25.15" hidden="1" customHeight="1">
      <c r="B21" s="1604"/>
      <c r="C21" s="1607">
        <f ca="1">SUM($I$2:I21)</f>
        <v>7</v>
      </c>
      <c r="D21" s="2003" t="e">
        <f t="shared" ref="D21:D22" si="4">VLOOKUP(B21,DonGia,3,0)</f>
        <v>#N/A</v>
      </c>
      <c r="E21" s="1605" t="str">
        <f>'NT-VT'!D25</f>
        <v>bộ</v>
      </c>
      <c r="F21" s="1605">
        <f t="shared" ca="1" si="1"/>
        <v>63890</v>
      </c>
      <c r="G21" s="1605">
        <f t="shared" ca="1" si="2"/>
        <v>29072</v>
      </c>
      <c r="H21" s="1340"/>
      <c r="I21" s="1606" t="str">
        <f t="shared" ca="1" si="3"/>
        <v/>
      </c>
      <c r="J21" s="1606">
        <f>SUMIF(chitiet!B:B,'8TB'!B21,chitiet!P:P)</f>
        <v>0</v>
      </c>
    </row>
    <row r="22" spans="2:10" ht="25.15" hidden="1" customHeight="1">
      <c r="B22" s="1604"/>
      <c r="C22" s="1607">
        <f ca="1">SUM($I$2:I22)</f>
        <v>7</v>
      </c>
      <c r="D22" s="2003" t="e">
        <f t="shared" si="4"/>
        <v>#N/A</v>
      </c>
      <c r="E22" s="1605" t="str">
        <f>'NT-VT'!D26</f>
        <v>bộ</v>
      </c>
      <c r="F22" s="1605">
        <f t="shared" ca="1" si="1"/>
        <v>63890</v>
      </c>
      <c r="G22" s="1605">
        <f t="shared" ca="1" si="2"/>
        <v>29072</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63890</v>
      </c>
      <c r="G23" s="1605">
        <f t="shared" ca="1" si="2"/>
        <v>29072</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63890</v>
      </c>
      <c r="G24" s="1605">
        <f t="shared" ca="1" si="2"/>
        <v>29072</v>
      </c>
      <c r="H24" s="1340"/>
      <c r="I24" s="1606" t="str">
        <f t="shared" ca="1" si="3"/>
        <v/>
      </c>
      <c r="J24" s="1606">
        <f>SUMIF(chitiet!B:B,'8TB'!B24,chitiet!P:P)</f>
        <v>0</v>
      </c>
    </row>
    <row r="25" spans="2:10" hidden="1">
      <c r="C25" s="1321"/>
      <c r="E25" s="1360"/>
      <c r="F25" s="1360"/>
      <c r="G25" s="1605">
        <f t="shared" ca="1" si="2"/>
        <v>29072</v>
      </c>
      <c r="H25" s="1321"/>
      <c r="I25" s="1606" t="str">
        <f t="shared" ca="1" si="3"/>
        <v/>
      </c>
      <c r="J25" s="1606">
        <f>SUMIF(chitiet!B:B,'8TB'!B25,chitiet!P:P)</f>
        <v>0</v>
      </c>
    </row>
    <row r="26" spans="2:10" ht="9.6" hidden="1" customHeight="1">
      <c r="G26" s="1605">
        <f t="shared" ca="1" si="2"/>
        <v>29072</v>
      </c>
      <c r="I26" s="1606" t="str">
        <f t="shared" ca="1" si="3"/>
        <v/>
      </c>
      <c r="J26" s="1606">
        <f>SUMIF(chitiet!B:B,'8TB'!B26,chitiet!P:P)</f>
        <v>0</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2"/>
  <sheetViews>
    <sheetView topLeftCell="C15" workbookViewId="0">
      <selection activeCell="D36" sqref="D36"/>
    </sheetView>
  </sheetViews>
  <sheetFormatPr defaultColWidth="8.88671875" defaultRowHeight="22.15" customHeight="1"/>
  <cols>
    <col min="1" max="1" width="8.88671875" style="1322"/>
    <col min="2" max="2" width="14.44140625" style="1211" customWidth="1"/>
    <col min="3" max="3" width="5.33203125" style="1322" customWidth="1"/>
    <col min="4" max="4" width="61.6640625" style="1322" customWidth="1"/>
    <col min="5" max="5" width="11.5546875" style="1322" hidden="1" customWidth="1"/>
    <col min="6" max="6" width="9.5546875" style="1322" hidden="1" customWidth="1"/>
    <col min="7" max="7" width="10.5546875" style="1322" customWidth="1"/>
    <col min="8" max="8" width="35.33203125" style="1322" customWidth="1"/>
    <col min="9" max="9" width="8.88671875" style="1322"/>
    <col min="10" max="11" width="8.88671875" style="2888"/>
    <col min="12" max="16384" width="8.88671875" style="1322"/>
  </cols>
  <sheetData>
    <row r="3" spans="2:11" ht="22.15" customHeight="1">
      <c r="G3" s="1322" t="s">
        <v>1951</v>
      </c>
    </row>
    <row r="4" spans="2:11" ht="22.15" customHeight="1">
      <c r="D4" s="3257" t="str">
        <f>"- Tiếp địa TBA tại vị trí trụ số:"&amp;F4&amp;"."</f>
        <v>- Tiếp địa TBA tại vị trí trụ số:015/002.</v>
      </c>
      <c r="E4" s="3257"/>
      <c r="F4" s="1322" t="s">
        <v>4494</v>
      </c>
    </row>
    <row r="5" spans="2:11" ht="22.15" customHeight="1">
      <c r="D5" s="3257" t="str">
        <f>"- Tiếp địa lặp lại đường dây trung thế tại vị trí trụ số: "&amp;F5&amp;"."</f>
        <v>- Tiếp địa lặp lại đường dây trung thế tại vị trí trụ số: 015.</v>
      </c>
      <c r="E5" s="3257"/>
      <c r="F5" s="1599" t="s">
        <v>4488</v>
      </c>
    </row>
    <row r="6" spans="2:11" ht="22.15" customHeight="1">
      <c r="D6" s="3257" t="str">
        <f>"- Tiếp địa lặp lại đường dây trung thế tại vị trí trụ số: "&amp;F6&amp;"."</f>
        <v>- Tiếp địa lặp lại đường dây trung thế tại vị trí trụ số: .</v>
      </c>
      <c r="E6" s="3257"/>
      <c r="G6" s="1322" t="s">
        <v>510</v>
      </c>
    </row>
    <row r="8" spans="2:11" ht="22.15" customHeight="1">
      <c r="C8" s="1948" t="s">
        <v>1704</v>
      </c>
      <c r="D8" s="1948" t="s">
        <v>4136</v>
      </c>
      <c r="E8" s="1759" t="s">
        <v>4138</v>
      </c>
      <c r="F8" s="1759" t="s">
        <v>4139</v>
      </c>
      <c r="G8" s="1329" t="s">
        <v>1951</v>
      </c>
    </row>
    <row r="9" spans="2:11" ht="22.15" customHeight="1">
      <c r="C9" s="1834"/>
      <c r="D9" s="1956" t="str">
        <f>H9&amp;": "&amp;ROUND(K9,1)&amp;" "&amp;I9</f>
        <v>Tiếp địa lặp lại trụ 12m: 1 Bộ</v>
      </c>
      <c r="E9" s="1953" t="str">
        <f>Solieu!B1</f>
        <v>Thi công</v>
      </c>
      <c r="F9" s="1991" t="s">
        <v>4122</v>
      </c>
      <c r="G9" s="1322">
        <f>IF(SUM(G10:G16)&gt;0,1,"")</f>
        <v>1</v>
      </c>
      <c r="H9" s="3029" t="str">
        <f>chitiet!F640</f>
        <v>Tiếp địa lặp lại trụ 12m</v>
      </c>
      <c r="I9" s="3027" t="str">
        <f>chitiet!G640</f>
        <v>Bộ</v>
      </c>
      <c r="J9" s="3028">
        <f>chitiet!H640</f>
        <v>1</v>
      </c>
      <c r="K9" s="3028">
        <f>chitiet!P640</f>
        <v>1</v>
      </c>
    </row>
    <row r="10" spans="2:11" ht="22.15" customHeight="1">
      <c r="C10" s="1957"/>
      <c r="D10" s="1958" t="str">
        <f>" - "&amp;H10&amp;": "&amp;ROUND(J10,1)&amp;" "&amp;I10</f>
        <v xml:space="preserve"> - Cáp đồng trần M25mm2: 2,2 kg</v>
      </c>
      <c r="E10" s="1953"/>
      <c r="F10" s="1991"/>
      <c r="G10" s="1322">
        <f t="shared" ref="G10:G16" si="0">IF(K10&gt;0,1,"")</f>
        <v>1</v>
      </c>
      <c r="H10" s="3026" t="str">
        <f>chitiet!F641</f>
        <v>Cáp đồng trần M25mm2</v>
      </c>
      <c r="I10" s="3027" t="str">
        <f>chitiet!G641</f>
        <v>kg</v>
      </c>
      <c r="J10" s="3028">
        <f>chitiet!H641</f>
        <v>2.2400000000000002</v>
      </c>
      <c r="K10" s="3028">
        <f>chitiet!P641</f>
        <v>2.2400000000000002</v>
      </c>
    </row>
    <row r="11" spans="2:11" ht="22.15" customHeight="1">
      <c r="B11" s="1608"/>
      <c r="C11" s="1957"/>
      <c r="D11" s="1958" t="str">
        <f t="shared" ref="D11:D17" si="1">" - "&amp;H11&amp;": "&amp;ROUND(J11,1)&amp;" "&amp;I11</f>
        <v xml:space="preserve"> - Cọc tiếp đất Þ 16- 2,4m + kẹp cọc mạ đồng: 1 bộ</v>
      </c>
      <c r="E11" s="1953"/>
      <c r="F11" s="1991"/>
      <c r="G11" s="1322">
        <f t="shared" si="0"/>
        <v>1</v>
      </c>
      <c r="H11" s="3026" t="str">
        <f>chitiet!F642</f>
        <v>Cọc tiếp đất Þ 16- 2,4m + kẹp cọc mạ đồng</v>
      </c>
      <c r="I11" s="3027" t="str">
        <f>chitiet!G642</f>
        <v>bộ</v>
      </c>
      <c r="J11" s="3028">
        <f>chitiet!H642</f>
        <v>1</v>
      </c>
      <c r="K11" s="3028">
        <f>chitiet!P642</f>
        <v>1</v>
      </c>
    </row>
    <row r="12" spans="2:11" ht="22.15" customHeight="1">
      <c r="C12" s="1957"/>
      <c r="D12" s="1958" t="str">
        <f t="shared" si="1"/>
        <v xml:space="preserve"> - Kẹp ép WR cỡ dây 50mm2: 2 cái</v>
      </c>
      <c r="E12" s="1953"/>
      <c r="F12" s="1991"/>
      <c r="G12" s="1322">
        <f t="shared" si="0"/>
        <v>1</v>
      </c>
      <c r="H12" s="3026" t="str">
        <f>chitiet!F643</f>
        <v>Kẹp ép WR cỡ dây 50mm2</v>
      </c>
      <c r="I12" s="3027" t="str">
        <f>chitiet!G643</f>
        <v>cái</v>
      </c>
      <c r="J12" s="3028">
        <f>chitiet!H643</f>
        <v>2</v>
      </c>
      <c r="K12" s="3028">
        <f>chitiet!P643</f>
        <v>2</v>
      </c>
    </row>
    <row r="13" spans="2:11" ht="22.15" customHeight="1">
      <c r="C13" s="1957"/>
      <c r="D13" s="1958" t="str">
        <f t="shared" si="1"/>
        <v xml:space="preserve"> - Ốc siết cáp cỡ 25mm2: 2 cái</v>
      </c>
      <c r="E13" s="1894"/>
      <c r="F13" s="1841"/>
      <c r="G13" s="1322">
        <f t="shared" si="0"/>
        <v>1</v>
      </c>
      <c r="H13" s="3026" t="str">
        <f>chitiet!F646</f>
        <v>Ốc siết cáp cỡ 25mm2</v>
      </c>
      <c r="I13" s="3027" t="str">
        <f>chitiet!G646</f>
        <v>cái</v>
      </c>
      <c r="J13" s="3028">
        <f>chitiet!H646</f>
        <v>2</v>
      </c>
      <c r="K13" s="3028">
        <f>chitiet!P646</f>
        <v>2</v>
      </c>
    </row>
    <row r="14" spans="2:11" ht="22.15" customHeight="1">
      <c r="C14" s="1957"/>
      <c r="D14" s="1958" t="str">
        <f t="shared" si="1"/>
        <v xml:space="preserve"> - Kéo dây tiếp địa : 2,2 mét</v>
      </c>
      <c r="E14" s="1894"/>
      <c r="F14" s="1841"/>
      <c r="G14" s="1322">
        <f t="shared" si="0"/>
        <v>1</v>
      </c>
      <c r="H14" s="3026" t="str">
        <f>chitiet!F647</f>
        <v xml:space="preserve">Kéo dây tiếp địa </v>
      </c>
      <c r="I14" s="3027" t="str">
        <f>chitiet!G647</f>
        <v>mét</v>
      </c>
      <c r="J14" s="3028">
        <f>chitiet!H647</f>
        <v>2.2400000000000002</v>
      </c>
      <c r="K14" s="3028">
        <f>chitiet!P647</f>
        <v>2.2400000000000002</v>
      </c>
    </row>
    <row r="15" spans="2:11" ht="22.15" customHeight="1">
      <c r="C15" s="1957"/>
      <c r="D15" s="1958" t="str">
        <f t="shared" si="1"/>
        <v xml:space="preserve"> - Đóng cọc tiếp địa đất cấp 3: 1 cọc</v>
      </c>
      <c r="E15" s="1894"/>
      <c r="F15" s="1841"/>
      <c r="G15" s="1322">
        <f t="shared" si="0"/>
        <v>1</v>
      </c>
      <c r="H15" s="3026" t="str">
        <f>chitiet!F648</f>
        <v>Đóng cọc tiếp địa đất cấp 3</v>
      </c>
      <c r="I15" s="3027" t="str">
        <f>chitiet!G648</f>
        <v>cọc</v>
      </c>
      <c r="J15" s="3028">
        <f>chitiet!H648</f>
        <v>1</v>
      </c>
      <c r="K15" s="3028">
        <f>chitiet!P648</f>
        <v>1</v>
      </c>
    </row>
    <row r="16" spans="2:11" ht="24.95" hidden="1" customHeight="1">
      <c r="C16" s="1957"/>
      <c r="D16" s="1958" t="str">
        <f t="shared" si="1"/>
        <v xml:space="preserve"> - : 0 </v>
      </c>
      <c r="E16" s="1894"/>
      <c r="F16" s="1841"/>
      <c r="G16" s="1322" t="str">
        <f t="shared" si="0"/>
        <v/>
      </c>
      <c r="H16" s="1730"/>
      <c r="I16" s="1333"/>
      <c r="J16" s="2889"/>
      <c r="K16" s="2889"/>
    </row>
    <row r="17" spans="2:11" ht="22.15" customHeight="1">
      <c r="C17" s="1834"/>
      <c r="D17" s="1958" t="str">
        <f t="shared" si="1"/>
        <v xml:space="preserve"> - Độ chôn sâu đầu cọc đến mặt đất: 0,5 mét</v>
      </c>
      <c r="E17" s="1954"/>
      <c r="F17" s="1895"/>
      <c r="G17" s="1322">
        <f>G9</f>
        <v>1</v>
      </c>
      <c r="H17" s="3023" t="s">
        <v>4717</v>
      </c>
      <c r="I17" s="3024" t="s">
        <v>2526</v>
      </c>
      <c r="J17" s="3025">
        <v>0.5</v>
      </c>
      <c r="K17" s="3025">
        <f>J17</f>
        <v>0.5</v>
      </c>
    </row>
    <row r="18" spans="2:11" ht="22.15" customHeight="1">
      <c r="C18" s="1834"/>
      <c r="D18" s="1956" t="str">
        <f>H18&amp;": "&amp;ROUND(K18,1)&amp;" "&amp;I18</f>
        <v>Tiếp địa trụ Recloser, LBS: 1 Bộ</v>
      </c>
      <c r="E18" s="1953" t="str">
        <f>Solieu!B10</f>
        <v>x</v>
      </c>
      <c r="F18" s="2965" t="s">
        <v>4122</v>
      </c>
      <c r="G18" s="1322">
        <f>IF(SUM(G19:G32)&gt;0,1,"")</f>
        <v>1</v>
      </c>
      <c r="H18" s="3029" t="str">
        <f>chitiet!F663</f>
        <v>Tiếp địa trụ Recloser, LBS</v>
      </c>
      <c r="I18" s="3027" t="str">
        <f>chitiet!G663</f>
        <v>Bộ</v>
      </c>
      <c r="J18" s="3028">
        <f>chitiet!H663</f>
        <v>1</v>
      </c>
      <c r="K18" s="3028">
        <f>chitiet!P663</f>
        <v>1</v>
      </c>
    </row>
    <row r="19" spans="2:11" ht="22.15" customHeight="1">
      <c r="C19" s="1957"/>
      <c r="D19" s="1958" t="str">
        <f>" - "&amp;H19&amp;": "&amp;ROUND(J19,1)&amp;" "&amp;I19</f>
        <v xml:space="preserve"> - Cáp đồng trần M25mm2 : 25m: 11,9 kg</v>
      </c>
      <c r="E19" s="1953"/>
      <c r="F19" s="2965"/>
      <c r="G19" s="1322">
        <f t="shared" ref="G19:G32" si="2">IF(K19&gt;0,1,"")</f>
        <v>1</v>
      </c>
      <c r="H19" s="3026" t="str">
        <f>chitiet!F664</f>
        <v>Cáp đồng trần M25mm2 : 25m</v>
      </c>
      <c r="I19" s="3027" t="str">
        <f>chitiet!G664</f>
        <v>kg</v>
      </c>
      <c r="J19" s="3028">
        <f>chitiet!H664</f>
        <v>11.872</v>
      </c>
      <c r="K19" s="3028">
        <f>chitiet!P664</f>
        <v>11.872</v>
      </c>
    </row>
    <row r="20" spans="2:11" ht="22.15" customHeight="1">
      <c r="B20" s="1608"/>
      <c r="C20" s="1957"/>
      <c r="D20" s="1958" t="str">
        <f t="shared" ref="D20:D33" si="3">" - "&amp;H20&amp;": "&amp;ROUND(J20,1)&amp;" "&amp;I20</f>
        <v xml:space="preserve"> - Cọc tiếp đất Þ 16- 2,4m + kẹp cọc mạ đồng: 9 bộ</v>
      </c>
      <c r="E20" s="1953"/>
      <c r="F20" s="2965"/>
      <c r="G20" s="1322">
        <f t="shared" si="2"/>
        <v>1</v>
      </c>
      <c r="H20" s="3026" t="str">
        <f>chitiet!F665</f>
        <v>Cọc tiếp đất Þ 16- 2,4m + kẹp cọc mạ đồng</v>
      </c>
      <c r="I20" s="3027" t="str">
        <f>chitiet!G665</f>
        <v>bộ</v>
      </c>
      <c r="J20" s="3028">
        <f>chitiet!H665</f>
        <v>9</v>
      </c>
      <c r="K20" s="3028">
        <f>chitiet!P665</f>
        <v>9</v>
      </c>
    </row>
    <row r="21" spans="2:11" ht="22.15" customHeight="1">
      <c r="C21" s="1957"/>
      <c r="D21" s="1958" t="str">
        <f t="shared" si="3"/>
        <v xml:space="preserve"> - Kẹp ép WR cỡ dây 185mm2: 2 cái</v>
      </c>
      <c r="E21" s="1953"/>
      <c r="F21" s="2965"/>
      <c r="G21" s="1322">
        <f t="shared" si="2"/>
        <v>1</v>
      </c>
      <c r="H21" s="3026" t="str">
        <f>chitiet!F666</f>
        <v>Kẹp ép WR cỡ dây 185mm2</v>
      </c>
      <c r="I21" s="3027" t="str">
        <f>chitiet!G666</f>
        <v>cái</v>
      </c>
      <c r="J21" s="3028">
        <f>chitiet!H666</f>
        <v>2</v>
      </c>
      <c r="K21" s="3028">
        <f>chitiet!P666</f>
        <v>2</v>
      </c>
    </row>
    <row r="22" spans="2:11" ht="22.15" customHeight="1">
      <c r="C22" s="1957"/>
      <c r="D22" s="1958" t="str">
        <f t="shared" si="3"/>
        <v xml:space="preserve"> - Ốc siết cáp cỡ 25mm2: 8 cái</v>
      </c>
      <c r="E22" s="1894"/>
      <c r="F22" s="1841"/>
      <c r="G22" s="1322">
        <f t="shared" si="2"/>
        <v>1</v>
      </c>
      <c r="H22" s="3026" t="str">
        <f>chitiet!F667</f>
        <v>Ốc siết cáp cỡ 25mm2</v>
      </c>
      <c r="I22" s="3027" t="str">
        <f>chitiet!G667</f>
        <v>cái</v>
      </c>
      <c r="J22" s="3028">
        <f>chitiet!H667</f>
        <v>8</v>
      </c>
      <c r="K22" s="3028">
        <f>chitiet!P667</f>
        <v>8</v>
      </c>
    </row>
    <row r="23" spans="2:11" ht="24.95" hidden="1" customHeight="1">
      <c r="C23" s="1957"/>
      <c r="D23" s="1958" t="str">
        <f t="shared" si="3"/>
        <v xml:space="preserve"> - : 0 </v>
      </c>
      <c r="E23" s="1894"/>
      <c r="F23" s="1841"/>
      <c r="G23" s="1322" t="str">
        <f t="shared" si="2"/>
        <v/>
      </c>
      <c r="H23" s="1730"/>
      <c r="I23" s="1333"/>
      <c r="J23" s="2889"/>
      <c r="K23" s="2889"/>
    </row>
    <row r="24" spans="2:11" ht="24.95" hidden="1" customHeight="1">
      <c r="C24" s="1957"/>
      <c r="D24" s="1958" t="str">
        <f t="shared" si="3"/>
        <v xml:space="preserve"> - : 0 </v>
      </c>
      <c r="E24" s="1894"/>
      <c r="F24" s="1841"/>
      <c r="G24" s="1322" t="str">
        <f t="shared" si="2"/>
        <v/>
      </c>
      <c r="H24" s="1730"/>
      <c r="I24" s="1333"/>
      <c r="J24" s="2889"/>
      <c r="K24" s="2889"/>
    </row>
    <row r="25" spans="2:11" ht="24.95"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5" hidden="1" customHeight="1">
      <c r="C26" s="1957"/>
      <c r="D26" s="1958" t="str">
        <f t="shared" si="4"/>
        <v xml:space="preserve"> - : 0 </v>
      </c>
      <c r="E26" s="1894"/>
      <c r="F26" s="1841"/>
      <c r="G26" s="1322" t="str">
        <f t="shared" si="5"/>
        <v/>
      </c>
      <c r="H26" s="1730"/>
      <c r="I26" s="1333"/>
      <c r="J26" s="2889"/>
      <c r="K26" s="2889"/>
    </row>
    <row r="27" spans="2:11" ht="24.95" hidden="1" customHeight="1">
      <c r="C27" s="1957"/>
      <c r="D27" s="1958" t="str">
        <f t="shared" si="4"/>
        <v xml:space="preserve"> - : 0 </v>
      </c>
      <c r="E27" s="1894"/>
      <c r="F27" s="1841"/>
      <c r="G27" s="1322" t="str">
        <f t="shared" si="5"/>
        <v/>
      </c>
      <c r="H27" s="1730"/>
      <c r="I27" s="1333"/>
      <c r="J27" s="2889"/>
      <c r="K27" s="2889"/>
    </row>
    <row r="28" spans="2:11" ht="24.95" hidden="1" customHeight="1">
      <c r="C28" s="1957"/>
      <c r="D28" s="1958" t="str">
        <f t="shared" si="4"/>
        <v xml:space="preserve"> - : 0 </v>
      </c>
      <c r="E28" s="1894"/>
      <c r="F28" s="1841"/>
      <c r="G28" s="1322" t="str">
        <f t="shared" si="5"/>
        <v/>
      </c>
      <c r="H28" s="1730"/>
      <c r="I28" s="1333"/>
      <c r="J28" s="2889"/>
      <c r="K28" s="2889"/>
    </row>
    <row r="29" spans="2:11" ht="24.95" hidden="1" customHeight="1">
      <c r="C29" s="1957"/>
      <c r="D29" s="1958" t="str">
        <f t="shared" si="4"/>
        <v xml:space="preserve"> - : 0 </v>
      </c>
      <c r="E29" s="1894"/>
      <c r="F29" s="1841"/>
      <c r="G29" s="1322" t="str">
        <f t="shared" si="5"/>
        <v/>
      </c>
      <c r="H29" s="1730"/>
      <c r="I29" s="1333"/>
      <c r="J29" s="2889"/>
      <c r="K29" s="2889"/>
    </row>
    <row r="30" spans="2:11" ht="24.95" hidden="1" customHeight="1">
      <c r="C30" s="1957"/>
      <c r="D30" s="1958" t="str">
        <f t="shared" si="4"/>
        <v xml:space="preserve"> - : 0 </v>
      </c>
      <c r="E30" s="1894"/>
      <c r="F30" s="1841"/>
      <c r="G30" s="1322" t="str">
        <f t="shared" si="5"/>
        <v/>
      </c>
      <c r="H30" s="1730"/>
      <c r="I30" s="1333"/>
      <c r="J30" s="2889"/>
      <c r="K30" s="2889"/>
    </row>
    <row r="31" spans="2:11" ht="24.95" hidden="1" customHeight="1">
      <c r="C31" s="1957"/>
      <c r="D31" s="1958" t="str">
        <f t="shared" si="4"/>
        <v xml:space="preserve"> - : 0 </v>
      </c>
      <c r="E31" s="1894"/>
      <c r="F31" s="1841"/>
      <c r="G31" s="1322" t="str">
        <f t="shared" si="5"/>
        <v/>
      </c>
      <c r="H31" s="1730"/>
      <c r="I31" s="1333"/>
      <c r="J31" s="2889"/>
      <c r="K31" s="2889"/>
    </row>
    <row r="32" spans="2:11" ht="24.95" hidden="1" customHeight="1">
      <c r="C32" s="1957"/>
      <c r="D32" s="1958" t="str">
        <f t="shared" si="3"/>
        <v xml:space="preserve"> - : 0 </v>
      </c>
      <c r="E32" s="1894"/>
      <c r="F32" s="1841"/>
      <c r="G32" s="1322" t="str">
        <f t="shared" si="2"/>
        <v/>
      </c>
      <c r="H32" s="1730"/>
      <c r="I32" s="1333"/>
      <c r="J32" s="2889"/>
      <c r="K32" s="2889"/>
    </row>
    <row r="33" spans="2:11" ht="22.15" customHeight="1">
      <c r="C33" s="1834"/>
      <c r="D33" s="1958" t="str">
        <f t="shared" si="3"/>
        <v xml:space="preserve"> - Độ chôn sâu đầu cọc đến mặt đất: 0,5 mét</v>
      </c>
      <c r="E33" s="1954"/>
      <c r="F33" s="1895"/>
      <c r="G33" s="1322">
        <f>G18</f>
        <v>1</v>
      </c>
      <c r="H33" s="3023" t="s">
        <v>4717</v>
      </c>
      <c r="I33" s="3024" t="s">
        <v>2526</v>
      </c>
      <c r="J33" s="3025">
        <v>0.5</v>
      </c>
      <c r="K33" s="3025">
        <f>J33</f>
        <v>0.5</v>
      </c>
    </row>
    <row r="34" spans="2:11" ht="22.15" customHeight="1">
      <c r="C34" s="1834"/>
      <c r="D34" s="1956" t="str">
        <f>H34&amp;": "&amp;ROUND(J34,1)&amp;" "&amp;I34</f>
        <v>Bộ tiếp địa Trạm 3 pha: 1 Bộ</v>
      </c>
      <c r="E34" s="1953" t="str">
        <f>Solieu!B9</f>
        <v>x</v>
      </c>
      <c r="F34" s="1884" t="s">
        <v>4122</v>
      </c>
      <c r="G34" s="1322">
        <v>1</v>
      </c>
      <c r="H34" s="3030" t="str">
        <f>CT_tram!F2450</f>
        <v>Bộ tiếp địa Trạm 3 pha</v>
      </c>
      <c r="I34" s="3031" t="str">
        <f>CT_tram!G2450</f>
        <v>Bộ</v>
      </c>
      <c r="J34" s="3031">
        <f>CT_tram!H2450</f>
        <v>1</v>
      </c>
      <c r="K34" s="3032">
        <f>CT_tram!I2450</f>
        <v>1</v>
      </c>
    </row>
    <row r="35" spans="2:11" ht="22.15" customHeight="1">
      <c r="C35" s="1957"/>
      <c r="D35" s="1958" t="str">
        <f>"     - "&amp;H35&amp;": "&amp;ROUND(J35,1)&amp;" "&amp;I35</f>
        <v xml:space="preserve">     - Cáp đồng trần M25mm2: 11,9 kg</v>
      </c>
      <c r="E35" s="1953"/>
      <c r="F35" s="1884"/>
      <c r="G35" s="1322">
        <f t="shared" ref="G35:G46" si="6">IF(K35&gt;0,1,"")</f>
        <v>1</v>
      </c>
      <c r="H35" s="3033" t="str">
        <f>CT_tram!F2453</f>
        <v>Cáp đồng trần M25mm2</v>
      </c>
      <c r="I35" s="3031" t="str">
        <f>CT_tram!G2453</f>
        <v>kg</v>
      </c>
      <c r="J35" s="3028">
        <f>CT_tram!H2453</f>
        <v>11.87</v>
      </c>
      <c r="K35" s="3034">
        <f>CT_tram!I2453</f>
        <v>11.87</v>
      </c>
    </row>
    <row r="36" spans="2:11" ht="22.15" customHeight="1">
      <c r="B36" s="1608"/>
      <c r="C36" s="1957"/>
      <c r="D36" s="1958" t="str">
        <f t="shared" ref="D36:D62" si="7">"     - "&amp;H36&amp;": "&amp;ROUND(J36,1)&amp;" "&amp;I36</f>
        <v xml:space="preserve">     - Cọc tiếp đất Þ 16- 2,4m + kẹp cọc mạ đồng: 10 bộ</v>
      </c>
      <c r="E36" s="1953"/>
      <c r="F36" s="1884"/>
      <c r="G36" s="1322">
        <f t="shared" si="6"/>
        <v>1</v>
      </c>
      <c r="H36" s="3033" t="str">
        <f>CT_tram!F2454</f>
        <v>Cọc tiếp đất Þ 16- 2,4m + kẹp cọc mạ đồng</v>
      </c>
      <c r="I36" s="3031" t="str">
        <f>CT_tram!G2454</f>
        <v>bộ</v>
      </c>
      <c r="J36" s="3028">
        <f>CT_tram!H2454</f>
        <v>10</v>
      </c>
      <c r="K36" s="3034">
        <f>CT_tram!I2454</f>
        <v>10</v>
      </c>
    </row>
    <row r="37" spans="2:11" ht="22.15" customHeight="1">
      <c r="C37" s="1957"/>
      <c r="D37" s="1958" t="str">
        <f t="shared" si="7"/>
        <v xml:space="preserve">     - Kẹp ép WR cỡ dây 50mm2: 2 cái</v>
      </c>
      <c r="E37" s="1953"/>
      <c r="F37" s="1884"/>
      <c r="G37" s="1322">
        <f t="shared" si="6"/>
        <v>1</v>
      </c>
      <c r="H37" s="3033" t="str">
        <f>CT_tram!F2456</f>
        <v>Kẹp ép WR cỡ dây 50mm2</v>
      </c>
      <c r="I37" s="3031" t="str">
        <f>CT_tram!G2456</f>
        <v>cái</v>
      </c>
      <c r="J37" s="3028">
        <f>CT_tram!H2456</f>
        <v>2</v>
      </c>
      <c r="K37" s="3034">
        <f>CT_tram!I2456</f>
        <v>2</v>
      </c>
    </row>
    <row r="38" spans="2:11" ht="22.15" customHeight="1">
      <c r="C38" s="1957"/>
      <c r="D38" s="1958" t="str">
        <f t="shared" si="7"/>
        <v xml:space="preserve">     - Ốc siết cáp cỡ 25mm2: 8 cái</v>
      </c>
      <c r="E38" s="1894"/>
      <c r="F38" s="1841"/>
      <c r="G38" s="1322">
        <f t="shared" si="6"/>
        <v>1</v>
      </c>
      <c r="H38" s="3033" t="str">
        <f>CT_tram!F2458</f>
        <v>Ốc siết cáp cỡ 25mm2</v>
      </c>
      <c r="I38" s="3031" t="str">
        <f>CT_tram!G2458</f>
        <v>cái</v>
      </c>
      <c r="J38" s="3028">
        <f>CT_tram!H2458</f>
        <v>8</v>
      </c>
      <c r="K38" s="3034">
        <f>CT_tram!I2458</f>
        <v>8</v>
      </c>
    </row>
    <row r="39" spans="2:11" ht="22.15" customHeight="1">
      <c r="C39" s="1957"/>
      <c r="D39" s="1958" t="str">
        <f t="shared" si="7"/>
        <v xml:space="preserve">     - Đào rãnh tiếp địa đất cấp 3: 6,8 m3</v>
      </c>
      <c r="E39" s="1894"/>
      <c r="F39" s="1841"/>
      <c r="G39" s="1322">
        <f t="shared" si="6"/>
        <v>1</v>
      </c>
      <c r="H39" s="3033" t="str">
        <f>CT_tram!F2464</f>
        <v>Đào rãnh tiếp địa đất cấp 3</v>
      </c>
      <c r="I39" s="3031" t="str">
        <f>CT_tram!G2464</f>
        <v>m3</v>
      </c>
      <c r="J39" s="3028">
        <f>CT_tram!H2464</f>
        <v>6.75</v>
      </c>
      <c r="K39" s="3028">
        <f>CT_tram!I2464</f>
        <v>6.75</v>
      </c>
    </row>
    <row r="40" spans="2:11" ht="22.15" customHeight="1">
      <c r="C40" s="1957"/>
      <c r="D40" s="1958" t="str">
        <f t="shared" si="7"/>
        <v xml:space="preserve">     - Đắp đất rãnh tiếp độ chặt k=0,85: 6,8 m3</v>
      </c>
      <c r="E40" s="1894"/>
      <c r="F40" s="1841"/>
      <c r="G40" s="1322">
        <f t="shared" si="6"/>
        <v>1</v>
      </c>
      <c r="H40" s="3033" t="str">
        <f>CT_tram!F2465</f>
        <v>Đắp đất rãnh tiếp độ chặt k=0,85</v>
      </c>
      <c r="I40" s="3031" t="str">
        <f>CT_tram!G2465</f>
        <v>m3</v>
      </c>
      <c r="J40" s="3028">
        <f>CT_tram!H2465</f>
        <v>6.75</v>
      </c>
      <c r="K40" s="3028">
        <f>CT_tram!I2465</f>
        <v>6.75</v>
      </c>
    </row>
    <row r="41" spans="2:11" ht="22.15" customHeight="1">
      <c r="C41" s="1957"/>
      <c r="D41" s="1958" t="str">
        <f t="shared" si="7"/>
        <v xml:space="preserve">     - Đóng cọc tiếp địa trong TBA: 10 cọc</v>
      </c>
      <c r="E41" s="1894"/>
      <c r="F41" s="1841"/>
      <c r="G41" s="1322">
        <f t="shared" si="6"/>
        <v>1</v>
      </c>
      <c r="H41" s="3026" t="str">
        <f>CT_tram!F2466</f>
        <v>Đóng cọc tiếp địa trong TBA</v>
      </c>
      <c r="I41" s="3027" t="str">
        <f>CT_tram!G2466</f>
        <v>cọc</v>
      </c>
      <c r="J41" s="3028">
        <f>CT_tram!H2466</f>
        <v>10</v>
      </c>
      <c r="K41" s="3028">
        <f>CT_tram!I2466</f>
        <v>10</v>
      </c>
    </row>
    <row r="42" spans="2:11" ht="22.15" customHeight="1">
      <c r="C42" s="1957"/>
      <c r="D42" s="1958" t="str">
        <f t="shared" si="7"/>
        <v xml:space="preserve">     - Kéo dây tiếp địa trong TBA: 11,9 kg</v>
      </c>
      <c r="E42" s="1894"/>
      <c r="F42" s="1841"/>
      <c r="G42" s="1322">
        <f t="shared" ref="G42:G44" si="8">IF(K42&gt;0,1,"")</f>
        <v>1</v>
      </c>
      <c r="H42" s="3026" t="str">
        <f>CT_tram!F2467</f>
        <v>Kéo dây tiếp địa trong TBA</v>
      </c>
      <c r="I42" s="3027" t="str">
        <f>CT_tram!G2467</f>
        <v>kg</v>
      </c>
      <c r="J42" s="3028">
        <f>CT_tram!H2467</f>
        <v>11.87</v>
      </c>
      <c r="K42" s="3028">
        <f>CT_tram!I2467</f>
        <v>11.87</v>
      </c>
    </row>
    <row r="43" spans="2:11" ht="24.95" hidden="1" customHeight="1">
      <c r="C43" s="1957"/>
      <c r="D43" s="1958" t="str">
        <f t="shared" si="7"/>
        <v xml:space="preserve">     - : 0 </v>
      </c>
      <c r="E43" s="1894"/>
      <c r="F43" s="1841"/>
      <c r="G43" s="1322" t="str">
        <f t="shared" si="8"/>
        <v/>
      </c>
      <c r="H43" s="1730"/>
      <c r="I43" s="1333"/>
      <c r="J43" s="2889"/>
      <c r="K43" s="2889"/>
    </row>
    <row r="44" spans="2:11" ht="24.95" hidden="1" customHeight="1">
      <c r="C44" s="1957"/>
      <c r="D44" s="1958" t="str">
        <f t="shared" si="7"/>
        <v xml:space="preserve">     - : 0 </v>
      </c>
      <c r="E44" s="1894"/>
      <c r="F44" s="1841"/>
      <c r="G44" s="1322" t="str">
        <f t="shared" si="8"/>
        <v/>
      </c>
      <c r="H44" s="1730"/>
      <c r="I44" s="1333"/>
      <c r="J44" s="2889"/>
      <c r="K44" s="2889"/>
    </row>
    <row r="45" spans="2:11" ht="24.95" hidden="1" customHeight="1">
      <c r="C45" s="1957"/>
      <c r="D45" s="1958" t="str">
        <f t="shared" si="7"/>
        <v xml:space="preserve">     - : 0 </v>
      </c>
      <c r="E45" s="1894"/>
      <c r="F45" s="1841"/>
      <c r="G45" s="1322" t="str">
        <f t="shared" si="6"/>
        <v/>
      </c>
      <c r="H45" s="1730"/>
      <c r="I45" s="1333"/>
      <c r="J45" s="2889"/>
      <c r="K45" s="2889"/>
    </row>
    <row r="46" spans="2:11" ht="24.95" hidden="1" customHeight="1">
      <c r="C46" s="1957"/>
      <c r="D46" s="1958" t="str">
        <f t="shared" si="7"/>
        <v xml:space="preserve">     - Khoảng cách cọc cách cọc: 3 mét</v>
      </c>
      <c r="E46" s="1894"/>
      <c r="F46" s="1841"/>
      <c r="G46" s="1322" t="str">
        <f t="shared" si="6"/>
        <v/>
      </c>
      <c r="H46" s="1907" t="s">
        <v>4718</v>
      </c>
      <c r="I46" s="1959" t="s">
        <v>2526</v>
      </c>
      <c r="J46" s="2890">
        <v>3</v>
      </c>
      <c r="K46" s="2889"/>
    </row>
    <row r="47" spans="2:11" ht="22.15" customHeight="1">
      <c r="C47" s="1834"/>
      <c r="D47" s="1958" t="str">
        <f t="shared" si="7"/>
        <v xml:space="preserve">     - Độ chôn sâu đầu cọc đến mặt đất: 0,5 mét</v>
      </c>
      <c r="E47" s="1954"/>
      <c r="F47" s="1895"/>
      <c r="G47" s="1322">
        <f>G34</f>
        <v>1</v>
      </c>
      <c r="H47" s="3023" t="s">
        <v>4717</v>
      </c>
      <c r="I47" s="3024" t="s">
        <v>2526</v>
      </c>
      <c r="J47" s="3025">
        <v>0.5</v>
      </c>
      <c r="K47" s="3025">
        <f>J47</f>
        <v>0.5</v>
      </c>
    </row>
    <row r="48" spans="2:11" ht="24.95" hidden="1" customHeight="1">
      <c r="C48" s="1834"/>
      <c r="D48" s="1958" t="str">
        <f t="shared" si="7"/>
        <v xml:space="preserve">     - : 0 </v>
      </c>
      <c r="E48" s="1953" t="str">
        <f>E34</f>
        <v>x</v>
      </c>
      <c r="F48" s="1884" t="s">
        <v>4122</v>
      </c>
      <c r="G48" s="1322" t="str">
        <f>IF(SUM(G49:G52)&gt;0,1,"")</f>
        <v/>
      </c>
      <c r="H48" s="1731"/>
      <c r="I48" s="1733"/>
      <c r="J48" s="2891"/>
      <c r="K48" s="2891"/>
    </row>
    <row r="49" spans="3:11" ht="24.95" hidden="1" customHeight="1">
      <c r="C49" s="1834"/>
      <c r="D49" s="1958" t="str">
        <f t="shared" si="7"/>
        <v xml:space="preserve">     - : 0 </v>
      </c>
      <c r="E49" s="1954"/>
      <c r="F49" s="1895"/>
      <c r="G49" s="1322" t="str">
        <f>IF(K49&gt;0,1,"")</f>
        <v/>
      </c>
      <c r="H49" s="1732"/>
      <c r="I49" s="1734"/>
      <c r="J49" s="2889"/>
      <c r="K49" s="2889"/>
    </row>
    <row r="50" spans="3:11" ht="24.95" hidden="1" customHeight="1">
      <c r="C50" s="1834"/>
      <c r="D50" s="1958" t="str">
        <f t="shared" si="7"/>
        <v xml:space="preserve">     - : 0 </v>
      </c>
      <c r="E50" s="1954"/>
      <c r="F50" s="1895"/>
      <c r="G50" s="1322" t="str">
        <f t="shared" ref="G50:G56" si="9">IF(K50&gt;0,1,"")</f>
        <v/>
      </c>
      <c r="H50" s="1732"/>
      <c r="I50" s="1734"/>
      <c r="J50" s="2889"/>
      <c r="K50" s="2889"/>
    </row>
    <row r="51" spans="3:11" ht="24.95" hidden="1" customHeight="1">
      <c r="C51" s="1834"/>
      <c r="D51" s="1958" t="str">
        <f t="shared" si="7"/>
        <v xml:space="preserve">     - : 0 </v>
      </c>
      <c r="E51" s="1954"/>
      <c r="F51" s="1895"/>
      <c r="G51" s="1322" t="str">
        <f t="shared" si="9"/>
        <v/>
      </c>
      <c r="H51" s="1732"/>
      <c r="I51" s="1734"/>
      <c r="J51" s="2889"/>
      <c r="K51" s="2889"/>
    </row>
    <row r="52" spans="3:11" ht="24.95" hidden="1" customHeight="1">
      <c r="C52" s="1834"/>
      <c r="D52" s="1958" t="str">
        <f t="shared" si="7"/>
        <v xml:space="preserve">     - : 0 </v>
      </c>
      <c r="E52" s="1954"/>
      <c r="F52" s="1895"/>
      <c r="G52" s="1322" t="str">
        <f t="shared" si="9"/>
        <v/>
      </c>
      <c r="H52" s="1732"/>
      <c r="I52" s="1734"/>
      <c r="J52" s="2889"/>
      <c r="K52" s="2889"/>
    </row>
    <row r="53" spans="3:11" ht="24.95" hidden="1" customHeight="1">
      <c r="C53" s="1834"/>
      <c r="D53" s="1958" t="str">
        <f t="shared" si="7"/>
        <v xml:space="preserve">     - : 0 </v>
      </c>
      <c r="E53" s="1953"/>
      <c r="F53" s="1884"/>
      <c r="G53" s="1322" t="str">
        <f t="shared" si="9"/>
        <v/>
      </c>
      <c r="H53" s="1732"/>
      <c r="I53" s="1734"/>
      <c r="J53" s="2889"/>
      <c r="K53" s="2889"/>
    </row>
    <row r="54" spans="3:11" ht="24.95" hidden="1" customHeight="1">
      <c r="C54" s="1834"/>
      <c r="D54" s="1958" t="str">
        <f t="shared" si="7"/>
        <v xml:space="preserve">     - : 0 </v>
      </c>
      <c r="E54" s="1953"/>
      <c r="F54" s="1884"/>
      <c r="G54" s="1322" t="str">
        <f t="shared" si="9"/>
        <v/>
      </c>
      <c r="H54" s="1732"/>
      <c r="I54" s="1734"/>
      <c r="J54" s="2889"/>
      <c r="K54" s="2889"/>
    </row>
    <row r="55" spans="3:11" ht="24.95" hidden="1" customHeight="1">
      <c r="C55" s="1834"/>
      <c r="D55" s="1958" t="str">
        <f t="shared" si="7"/>
        <v xml:space="preserve">     - : 0 </v>
      </c>
      <c r="E55" s="1955"/>
      <c r="F55" s="1757"/>
      <c r="G55" s="1322" t="str">
        <f t="shared" si="9"/>
        <v/>
      </c>
      <c r="H55" s="1730"/>
      <c r="I55" s="1333"/>
      <c r="J55" s="2889"/>
      <c r="K55" s="2889"/>
    </row>
    <row r="56" spans="3:11" ht="24.95" hidden="1" customHeight="1">
      <c r="C56" s="1834"/>
      <c r="D56" s="1958" t="str">
        <f t="shared" si="7"/>
        <v xml:space="preserve">     - : 0 </v>
      </c>
      <c r="E56" s="1955"/>
      <c r="F56" s="1757"/>
      <c r="G56" s="1322" t="str">
        <f t="shared" si="9"/>
        <v/>
      </c>
      <c r="H56" s="1730"/>
      <c r="I56" s="1333"/>
      <c r="J56" s="2889"/>
      <c r="K56" s="2889"/>
    </row>
    <row r="57" spans="3:11" ht="24.95" hidden="1" customHeight="1">
      <c r="C57" s="1834"/>
      <c r="D57" s="1958" t="str">
        <f t="shared" si="7"/>
        <v xml:space="preserve">     - : 0 </v>
      </c>
      <c r="E57" s="1955"/>
      <c r="F57" s="1757"/>
      <c r="G57" s="1322" t="str">
        <f>IF(K57&gt;0,1,"")</f>
        <v/>
      </c>
      <c r="H57" s="1730"/>
      <c r="I57" s="1333"/>
      <c r="J57" s="2889"/>
      <c r="K57" s="2889"/>
    </row>
    <row r="58" spans="3:11" ht="24.95" hidden="1" customHeight="1">
      <c r="C58" s="1834"/>
      <c r="D58" s="1958" t="str">
        <f t="shared" si="7"/>
        <v xml:space="preserve">     - : 0 </v>
      </c>
      <c r="E58" s="1955"/>
      <c r="F58" s="1757"/>
      <c r="G58" s="1322" t="str">
        <f>IF(K58&gt;0,1,"")</f>
        <v/>
      </c>
      <c r="H58" s="1730"/>
      <c r="I58" s="1333"/>
      <c r="J58" s="2889"/>
      <c r="K58" s="2889"/>
    </row>
    <row r="59" spans="3:11" ht="24.95" hidden="1" customHeight="1">
      <c r="C59" s="1834"/>
      <c r="D59" s="1958" t="str">
        <f t="shared" si="7"/>
        <v xml:space="preserve">     - : 0 </v>
      </c>
      <c r="E59" s="1955"/>
      <c r="F59" s="1757"/>
      <c r="G59" s="1322" t="str">
        <f>IF(K59&gt;0,1,"")</f>
        <v/>
      </c>
      <c r="H59" s="1730"/>
      <c r="I59" s="1333"/>
      <c r="J59" s="2889"/>
      <c r="K59" s="2889"/>
    </row>
    <row r="60" spans="3:11" ht="24.95" hidden="1" customHeight="1">
      <c r="C60" s="1834"/>
      <c r="D60" s="1958" t="str">
        <f t="shared" si="7"/>
        <v xml:space="preserve">     - : 0 </v>
      </c>
      <c r="E60" s="1955"/>
      <c r="F60" s="1757"/>
      <c r="G60" s="1322" t="str">
        <f>IF(K60&gt;0,1,"")</f>
        <v/>
      </c>
      <c r="H60" s="1730"/>
      <c r="I60" s="1333"/>
      <c r="J60" s="2889"/>
      <c r="K60" s="2889"/>
    </row>
    <row r="61" spans="3:11" ht="24.95" hidden="1" customHeight="1">
      <c r="C61" s="1834"/>
      <c r="D61" s="1958" t="str">
        <f t="shared" si="7"/>
        <v xml:space="preserve">     - Độ chôn sâu đầu cọc đến mặt đất: 0,5 mét</v>
      </c>
      <c r="E61" s="1954"/>
      <c r="F61" s="1895"/>
      <c r="G61" s="1322" t="str">
        <f>G48</f>
        <v/>
      </c>
      <c r="H61" s="1907" t="s">
        <v>4717</v>
      </c>
      <c r="I61" s="1959" t="s">
        <v>2526</v>
      </c>
      <c r="J61" s="2890">
        <v>0.5</v>
      </c>
      <c r="K61" s="2890"/>
    </row>
    <row r="62" spans="3:11" ht="24.95" hidden="1" customHeight="1">
      <c r="C62" s="1834"/>
      <c r="D62" s="1958" t="str">
        <f t="shared" si="7"/>
        <v xml:space="preserve">     - Khoảng cách cọc cách cọc: 3 mét</v>
      </c>
      <c r="E62" s="1954"/>
      <c r="F62" s="1895"/>
      <c r="G62" s="1322" t="str">
        <f>G48</f>
        <v/>
      </c>
      <c r="H62" s="1907" t="s">
        <v>4718</v>
      </c>
      <c r="I62" s="1959" t="s">
        <v>2526</v>
      </c>
      <c r="J62" s="2890">
        <v>3</v>
      </c>
      <c r="K62" s="2890"/>
    </row>
  </sheetData>
  <autoFilter ref="G8:G62">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20" sqref="D20"/>
    </sheetView>
  </sheetViews>
  <sheetFormatPr defaultColWidth="8.88671875" defaultRowHeight="24.95" customHeight="1"/>
  <cols>
    <col min="1" max="2" width="8.88671875" style="1322"/>
    <col min="3" max="3" width="3.33203125" style="1322" customWidth="1"/>
    <col min="4" max="4" width="60.6640625" style="2008" customWidth="1"/>
    <col min="5" max="6" width="3.44140625" style="1322" customWidth="1"/>
    <col min="7" max="7" width="5.88671875" style="1747" bestFit="1" customWidth="1"/>
    <col min="8" max="8" width="30.77734375" style="2008" customWidth="1"/>
    <col min="9" max="16384" width="8.88671875" style="1322"/>
  </cols>
  <sheetData>
    <row r="1" spans="2:12" ht="16.5"/>
    <row r="2" spans="2:12" ht="16.5">
      <c r="F2" s="1966">
        <f>72/88</f>
        <v>0.81818181818181823</v>
      </c>
      <c r="G2" s="1996">
        <f>62/88</f>
        <v>0.70454545454545459</v>
      </c>
    </row>
    <row r="3" spans="2:12" ht="16.5">
      <c r="C3" s="2009"/>
      <c r="D3" s="1958"/>
      <c r="E3" s="2009"/>
      <c r="F3" s="2009"/>
    </row>
    <row r="4" spans="2:12" ht="16.5">
      <c r="C4" s="2009"/>
      <c r="D4" s="1958"/>
      <c r="E4" s="2009"/>
      <c r="F4" s="2009"/>
    </row>
    <row r="5" spans="2:12" ht="16.5">
      <c r="C5" s="2009"/>
      <c r="D5" s="1958"/>
      <c r="E5" s="2009"/>
      <c r="F5" s="2009"/>
    </row>
    <row r="6" spans="2:12" ht="16.5">
      <c r="C6" s="3258" t="s">
        <v>4136</v>
      </c>
      <c r="D6" s="3258"/>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5"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5"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5" customHeight="1">
      <c r="C14" s="2010"/>
      <c r="D14" s="2013" t="str">
        <f t="shared" si="0"/>
        <v xml:space="preserve">    - :  .</v>
      </c>
      <c r="E14" s="1962"/>
      <c r="F14" s="2007"/>
      <c r="G14" s="1997" t="str">
        <f t="shared" si="1"/>
        <v/>
      </c>
      <c r="H14" s="1964"/>
      <c r="I14" s="1904"/>
      <c r="J14" s="1904"/>
      <c r="K14" s="1904"/>
      <c r="L14" s="1904"/>
    </row>
    <row r="15" spans="2:12" ht="24.95" customHeight="1">
      <c r="C15" s="2010"/>
      <c r="D15" s="2013" t="str">
        <f t="shared" si="0"/>
        <v xml:space="preserve">    - :  .</v>
      </c>
      <c r="E15" s="1962"/>
      <c r="F15" s="2007"/>
      <c r="G15" s="1997" t="str">
        <f t="shared" si="1"/>
        <v/>
      </c>
    </row>
    <row r="16" spans="2:12" ht="24.95" customHeight="1">
      <c r="C16" s="2010"/>
      <c r="D16" s="2013" t="str">
        <f t="shared" si="0"/>
        <v xml:space="preserve">    - :  .</v>
      </c>
      <c r="E16" s="1962"/>
      <c r="F16" s="2007"/>
      <c r="G16" s="1997" t="str">
        <f t="shared" si="1"/>
        <v/>
      </c>
    </row>
    <row r="17" spans="2:12" ht="24.95" customHeight="1">
      <c r="C17" s="2010"/>
      <c r="D17" s="2013" t="str">
        <f t="shared" si="0"/>
        <v xml:space="preserve">    - :  .</v>
      </c>
      <c r="E17" s="1962"/>
      <c r="F17" s="2007"/>
      <c r="G17" s="1997" t="str">
        <f t="shared" si="1"/>
        <v/>
      </c>
    </row>
    <row r="18" spans="2:12" ht="24.95" customHeight="1">
      <c r="C18" s="2010"/>
      <c r="D18" s="2013" t="str">
        <f>"    - "&amp;H18&amp;": "&amp;K18&amp;" "&amp;I18&amp;"."</f>
        <v xml:space="preserve">    - :  .</v>
      </c>
      <c r="E18" s="1962"/>
      <c r="F18" s="2007"/>
      <c r="G18" s="1997" t="str">
        <f t="shared" si="1"/>
        <v/>
      </c>
    </row>
    <row r="19" spans="2:12" ht="24.95" customHeight="1">
      <c r="C19" s="2010"/>
      <c r="D19" s="2013" t="str">
        <f t="shared" si="0"/>
        <v xml:space="preserve">    - :  .</v>
      </c>
      <c r="E19" s="1962"/>
      <c r="F19" s="2007"/>
      <c r="G19" s="1997" t="str">
        <f t="shared" si="1"/>
        <v/>
      </c>
    </row>
    <row r="20" spans="2:12" ht="24.95" customHeight="1">
      <c r="B20" s="2015"/>
      <c r="C20" s="2016"/>
      <c r="D20" s="2011" t="s">
        <v>4486</v>
      </c>
      <c r="E20" s="1962"/>
      <c r="F20" s="1963"/>
      <c r="G20" s="1997" t="str">
        <f t="shared" si="1"/>
        <v/>
      </c>
      <c r="H20" s="2017"/>
      <c r="I20" s="2017"/>
      <c r="J20" s="2017"/>
      <c r="K20" s="2017"/>
      <c r="L20" s="2017"/>
    </row>
    <row r="21" spans="2:12" ht="24.95" customHeight="1">
      <c r="B21" s="2015"/>
      <c r="C21" s="2016"/>
      <c r="D21" s="2013" t="str">
        <f t="shared" ref="D21:D34" si="2">" - "&amp;H21&amp;": "&amp;L21&amp;" "&amp;I21&amp;"."</f>
        <v xml:space="preserve"> - :  .</v>
      </c>
      <c r="E21" s="1962"/>
      <c r="F21" s="1963"/>
      <c r="G21" s="1997" t="str">
        <f t="shared" si="1"/>
        <v/>
      </c>
    </row>
    <row r="22" spans="2:12" ht="24.95" customHeight="1">
      <c r="B22" s="2015"/>
      <c r="C22" s="2016"/>
      <c r="D22" s="2013" t="str">
        <f t="shared" si="2"/>
        <v xml:space="preserve"> - :  .</v>
      </c>
      <c r="E22" s="1962"/>
      <c r="F22" s="1963"/>
      <c r="G22" s="1997" t="str">
        <f t="shared" si="1"/>
        <v/>
      </c>
    </row>
    <row r="23" spans="2:12" ht="24.95" customHeight="1">
      <c r="B23" s="2018"/>
      <c r="C23" s="2016"/>
      <c r="D23" s="2013" t="str">
        <f t="shared" si="2"/>
        <v xml:space="preserve"> - :  .</v>
      </c>
      <c r="E23" s="1962"/>
      <c r="F23" s="1963"/>
      <c r="G23" s="1997" t="str">
        <f t="shared" si="1"/>
        <v/>
      </c>
    </row>
    <row r="24" spans="2:12" ht="24.95" customHeight="1">
      <c r="C24" s="2009"/>
      <c r="D24" s="2013" t="str">
        <f t="shared" si="2"/>
        <v xml:space="preserve"> - :  .</v>
      </c>
      <c r="E24" s="2009"/>
      <c r="F24" s="2009"/>
      <c r="G24" s="1997" t="str">
        <f t="shared" si="1"/>
        <v/>
      </c>
    </row>
    <row r="25" spans="2:12" ht="24.95" customHeight="1">
      <c r="C25" s="2009"/>
      <c r="D25" s="2013" t="str">
        <f t="shared" si="2"/>
        <v xml:space="preserve"> - :  .</v>
      </c>
      <c r="E25" s="2009"/>
      <c r="F25" s="2009"/>
      <c r="G25" s="1997" t="str">
        <f t="shared" si="1"/>
        <v/>
      </c>
    </row>
    <row r="26" spans="2:12" ht="24.95" customHeight="1">
      <c r="C26" s="2009"/>
      <c r="D26" s="2013" t="str">
        <f t="shared" si="2"/>
        <v xml:space="preserve"> - :  .</v>
      </c>
      <c r="E26" s="2009"/>
      <c r="F26" s="2009"/>
      <c r="G26" s="1997" t="str">
        <f t="shared" si="1"/>
        <v/>
      </c>
    </row>
    <row r="27" spans="2:12" ht="24.95" customHeight="1">
      <c r="D27" s="2013" t="str">
        <f t="shared" si="2"/>
        <v xml:space="preserve"> - :  .</v>
      </c>
      <c r="G27" s="1997" t="str">
        <f t="shared" si="1"/>
        <v/>
      </c>
    </row>
    <row r="28" spans="2:12" ht="24.95" customHeight="1">
      <c r="D28" s="2013" t="str">
        <f t="shared" si="2"/>
        <v xml:space="preserve"> - :  .</v>
      </c>
      <c r="G28" s="1997" t="str">
        <f t="shared" si="1"/>
        <v/>
      </c>
    </row>
    <row r="29" spans="2:12" ht="24.95" customHeight="1">
      <c r="D29" s="2013" t="str">
        <f t="shared" si="2"/>
        <v xml:space="preserve"> - :  .</v>
      </c>
      <c r="G29" s="1997" t="str">
        <f t="shared" si="1"/>
        <v/>
      </c>
    </row>
    <row r="30" spans="2:12" ht="24.95" customHeight="1">
      <c r="D30" s="2013" t="str">
        <f t="shared" si="2"/>
        <v xml:space="preserve"> - :  .</v>
      </c>
      <c r="G30" s="1997" t="str">
        <f t="shared" si="1"/>
        <v/>
      </c>
    </row>
    <row r="31" spans="2:12" ht="24.95" customHeight="1">
      <c r="D31" s="2013" t="str">
        <f t="shared" si="2"/>
        <v xml:space="preserve"> - :  .</v>
      </c>
      <c r="G31" s="1997" t="str">
        <f t="shared" si="1"/>
        <v/>
      </c>
    </row>
    <row r="32" spans="2:12" ht="24.95" customHeight="1">
      <c r="D32" s="2013" t="str">
        <f t="shared" si="2"/>
        <v xml:space="preserve"> - :  .</v>
      </c>
      <c r="G32" s="1997" t="str">
        <f t="shared" si="1"/>
        <v/>
      </c>
    </row>
    <row r="33" spans="4:7" ht="24.95" customHeight="1">
      <c r="D33" s="2013" t="str">
        <f t="shared" si="2"/>
        <v xml:space="preserve"> - :  .</v>
      </c>
      <c r="G33" s="1997" t="str">
        <f t="shared" si="1"/>
        <v/>
      </c>
    </row>
    <row r="34" spans="4:7" ht="24.95" customHeight="1">
      <c r="D34" s="2013" t="str">
        <f t="shared" si="2"/>
        <v xml:space="preserve"> - :  .</v>
      </c>
      <c r="G34" s="1997"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61" customWidth="1"/>
    <col min="3" max="3" width="48.5546875" style="1360" customWidth="1"/>
    <col min="4" max="4" width="7.77734375" customWidth="1"/>
    <col min="5" max="5" width="8.21875" customWidth="1"/>
    <col min="6" max="6" width="10.44140625" customWidth="1"/>
    <col min="7" max="7" width="50.109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0</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e">
        <f>'5BT'!D8</f>
        <v>#N/A</v>
      </c>
      <c r="D90" s="1390">
        <f>'5BT'!G8</f>
        <v>0</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1</v>
      </c>
      <c r="E125" s="1908" t="str">
        <f>'6PK'!E4</f>
        <v>cái</v>
      </c>
    </row>
    <row r="126" spans="2:7" hidden="1">
      <c r="B126" s="1385"/>
      <c r="C126" s="1389" t="str">
        <f>'6PK'!D5</f>
        <v>Chống composite 40x10x920</v>
      </c>
      <c r="D126" s="1390">
        <f ca="1">'6PK'!G5</f>
        <v>1</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e">
        <f>'6PK'!D8</f>
        <v>#N/A</v>
      </c>
      <c r="D130" s="1390">
        <f ca="1">'6PK'!G8</f>
        <v>0</v>
      </c>
      <c r="E130" s="1908" t="e">
        <f>'6PK'!E8</f>
        <v>#N/A</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c r="B140" s="1385"/>
      <c r="C140" s="1389" t="e">
        <f>'6PK'!D14</f>
        <v>#N/A</v>
      </c>
      <c r="D140" s="1390">
        <f ca="1">'6PK'!G14</f>
        <v>0</v>
      </c>
      <c r="E140" s="1908" t="e">
        <f>'6PK'!E14</f>
        <v>#N/A</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e">
        <f>'6PK'!D21</f>
        <v>#N/A</v>
      </c>
      <c r="D149" s="1390">
        <f ca="1">'6PK'!G21</f>
        <v>0</v>
      </c>
      <c r="E149" s="1908" t="e">
        <f>'6PK'!E21</f>
        <v>#N/A</v>
      </c>
    </row>
    <row r="150" spans="2:5" hidden="1">
      <c r="B150" s="1385"/>
      <c r="C150" s="1389" t="e">
        <f>'6PK'!D22</f>
        <v>#N/A</v>
      </c>
      <c r="D150" s="1390">
        <f ca="1">'6PK'!G22</f>
        <v>0</v>
      </c>
      <c r="E150" s="1908" t="e">
        <f>'6PK'!E22</f>
        <v>#N/A</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e">
        <f>'6PK'!D39</f>
        <v>#N/A</v>
      </c>
      <c r="D162" s="1390">
        <f ca="1">'6PK'!G39</f>
        <v>0</v>
      </c>
      <c r="E162" s="1908" t="e">
        <f>'6PK'!E39</f>
        <v>#N/A</v>
      </c>
    </row>
    <row r="163" spans="2:5" hidden="1">
      <c r="B163" s="1385"/>
      <c r="C163" s="1389" t="e">
        <f>'6PK'!D40</f>
        <v>#N/A</v>
      </c>
      <c r="D163" s="1390">
        <f ca="1">'6PK'!G40</f>
        <v>0</v>
      </c>
      <c r="E163" s="1908" t="e">
        <f>'6PK'!E40</f>
        <v>#N/A</v>
      </c>
    </row>
    <row r="164" spans="2:5" hidden="1">
      <c r="B164" s="1385"/>
      <c r="C164" s="1389" t="e">
        <f>'6PK'!D41</f>
        <v>#N/A</v>
      </c>
      <c r="D164" s="1390">
        <f ca="1">'6PK'!G41</f>
        <v>0</v>
      </c>
      <c r="E164" s="1908" t="e">
        <f>'6PK'!E41</f>
        <v>#N/A</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e">
        <f>'6PK'!D45</f>
        <v>#N/A</v>
      </c>
      <c r="D168" s="1390">
        <f ca="1">'6PK'!G45</f>
        <v>0</v>
      </c>
      <c r="E168" s="1908" t="e">
        <f>'6PK'!E45</f>
        <v>#N/A</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6</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e">
        <f>'6PK'!D52</f>
        <v>#N/A</v>
      </c>
      <c r="D183" s="1390">
        <f ca="1">'6PK'!G52</f>
        <v>0</v>
      </c>
      <c r="E183" s="1908" t="e">
        <f>'6PK'!E52</f>
        <v>#N/A</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 hidden="1">
      <c r="B199" s="1385"/>
      <c r="C199" s="1389" t="str">
        <f ca="1">'7day'!E5&amp;" dài "&amp;'7day'!F5&amp;" mét."</f>
        <v>Cáp 24KV ACXH 50mm2 + Cáp nhôm lõi thép AC-70/11 dài 0 mét.</v>
      </c>
      <c r="D199" s="1387">
        <f ca="1">'7day'!G5</f>
        <v>0</v>
      </c>
      <c r="E199" s="1388"/>
      <c r="G199" s="1371"/>
    </row>
    <row r="200" spans="2:7" s="1208" customFormat="1" ht="33"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3</v>
      </c>
      <c r="E205" s="1392"/>
    </row>
    <row r="206" spans="2:7">
      <c r="B206" s="1385"/>
      <c r="C206" s="1386" t="str">
        <f ca="1">'8TB'!D3&amp;": "&amp;'8TB'!F3&amp;" "&amp;'8TB'!E3</f>
        <v>FCO 24kV - 100A: 3 cái</v>
      </c>
      <c r="D206" s="1387">
        <f ca="1">'8TB'!F4</f>
        <v>6</v>
      </c>
      <c r="E206" s="1392"/>
    </row>
    <row r="207" spans="2:7" hidden="1">
      <c r="B207" s="1385"/>
      <c r="C207" s="1386" t="str">
        <f ca="1">'8TB'!D4&amp;": "&amp;'8TB'!F4&amp;" "&amp;'8TB'!E4</f>
        <v>Chống sét van LA-18KV-10KA: 6 cái</v>
      </c>
      <c r="D207" s="1387">
        <f ca="1">'8TB'!F5</f>
        <v>1</v>
      </c>
      <c r="E207" s="1392"/>
    </row>
    <row r="208" spans="2:7">
      <c r="B208" s="1385"/>
      <c r="C208" s="1386" t="str">
        <f ca="1">'8TB'!D5&amp;": "&amp;'8TB'!F5&amp;" "&amp;'8TB'!E5</f>
        <v>ACB 3P - 1600A - 65KA (nạp lò xo bằng tay): 1 cái</v>
      </c>
      <c r="D208" s="1387">
        <f ca="1">'8TB'!F6</f>
        <v>6</v>
      </c>
      <c r="E208" s="1392"/>
    </row>
    <row r="209" spans="2:7" hidden="1">
      <c r="B209" s="1385"/>
      <c r="C209" s="1386" t="str">
        <f ca="1">'8TB'!D6&amp;": "&amp;'8TB'!F6&amp;" "&amp;'8TB'!E6</f>
        <v>Sứ đứng 24KV : 6 cái</v>
      </c>
      <c r="D209" s="1387">
        <f ca="1">'8TB'!F7</f>
        <v>36</v>
      </c>
      <c r="E209" s="1392"/>
    </row>
    <row r="210" spans="2:7" hidden="1">
      <c r="B210" s="1385"/>
      <c r="C210" s="1386" t="str">
        <f ca="1">'8TB'!D7&amp;": "&amp;'8TB'!F7&amp;" "&amp;'8TB'!E7</f>
        <v>Cáp đồng bọc 24KV-CXV-25: 36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hidden="1">
      <c r="B212" s="1385"/>
      <c r="C212" s="1386" t="str">
        <f ca="1">'8TB'!D9&amp;": "&amp;'8TB'!F9&amp;" "&amp;'8TB'!E9</f>
        <v>Cáp CVV 4x4mm2  : 33 mét</v>
      </c>
      <c r="D212" s="1387">
        <f ca="1">'8TB'!F10</f>
        <v>11.87</v>
      </c>
      <c r="E212" s="1392"/>
      <c r="G212" s="1371"/>
    </row>
    <row r="213" spans="2:7" s="1208" customFormat="1" hidden="1">
      <c r="B213" s="1385"/>
      <c r="C213" s="1386" t="str">
        <f ca="1">'8TB'!D10&amp;": "&amp;'8TB'!F10&amp;" "&amp;'8TB'!E10</f>
        <v>Cáp đồng trần M25mm2: 11,87 kg</v>
      </c>
      <c r="D213" s="1387">
        <f ca="1">'8TB'!F11</f>
        <v>3</v>
      </c>
      <c r="E213" s="1392"/>
      <c r="G213" s="1371"/>
    </row>
    <row r="214" spans="2:7" s="1208" customFormat="1" hidden="1">
      <c r="B214" s="1385"/>
      <c r="C214" s="1386" t="str">
        <f ca="1">'8TB'!D11&amp;": "&amp;'8TB'!F11&amp;" "&amp;'8TB'!E11</f>
        <v>Dây chảy 40K: 3 kg</v>
      </c>
      <c r="D214" s="1387">
        <f ca="1">'8TB'!F12</f>
        <v>1</v>
      </c>
      <c r="E214" s="1392"/>
      <c r="G214" s="1371"/>
    </row>
    <row r="215" spans="2:7" s="1208" customFormat="1" hidden="1">
      <c r="B215" s="1385"/>
      <c r="C215" s="1386" t="str">
        <f ca="1">'8TB'!D12&amp;": "&amp;'8TB'!F12&amp;" "&amp;'8TB'!E12</f>
        <v>Xà composite 110x800x5 dài 2,4m: 1 Sợi</v>
      </c>
      <c r="D215" s="1387">
        <f ca="1">'8TB'!F13</f>
        <v>1</v>
      </c>
      <c r="E215" s="1392"/>
      <c r="G215" s="1371"/>
    </row>
    <row r="216" spans="2:7" s="1208" customFormat="1" hidden="1">
      <c r="B216" s="1385"/>
      <c r="C216" s="1386" t="str">
        <f ca="1">'8TB'!D13&amp;": "&amp;'8TB'!F13&amp;" "&amp;'8TB'!E13</f>
        <v>Chống composite 40x10x920: 1 cái</v>
      </c>
      <c r="D216" s="1387">
        <f ca="1">'8TB'!F14</f>
        <v>2</v>
      </c>
      <c r="E216" s="1392"/>
      <c r="G216" s="1371"/>
    </row>
    <row r="217" spans="2:7" s="1208" customFormat="1" hidden="1">
      <c r="B217" s="1385"/>
      <c r="C217" s="1386" t="str">
        <f ca="1">'8TB'!D14&amp;": "&amp;'8TB'!F14&amp;" "&amp;'8TB'!E14</f>
        <v>Boulon 16x250+ 2 long đền vuông D18-50x50x3/Zn: 2 cái</v>
      </c>
      <c r="D217" s="1387">
        <f ca="1">'8TB'!F15</f>
        <v>2</v>
      </c>
      <c r="E217" s="1392"/>
      <c r="G217" s="1371"/>
    </row>
    <row r="218" spans="2:7" s="1208" customFormat="1">
      <c r="B218" s="1385"/>
      <c r="C218" s="1386" t="str">
        <f ca="1">'8TB'!D15&amp;": "&amp;'8TB'!F15&amp;" "&amp;'8TB'!E15</f>
        <v>Boulon 16x350+ 2 long đền vuông D18-50x50x3/Zn: 2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hidden="1">
      <c r="B221" s="1385"/>
      <c r="C221" s="1386" t="str">
        <f ca="1">'8TB'!D18&amp;": "&amp;'8TB'!F18&amp;" "&amp;'8TB'!E18</f>
        <v>Sắt góc L75 x75 x8 x: 2 Bộ</v>
      </c>
      <c r="D221" s="1387">
        <f ca="1">'8TB'!F19</f>
        <v>63890</v>
      </c>
      <c r="E221" s="1392"/>
      <c r="G221" s="1371"/>
    </row>
    <row r="222" spans="2:7" s="1208" customFormat="1" hidden="1">
      <c r="B222" s="1385"/>
      <c r="C222" s="1386" t="e">
        <f ca="1">'8TB'!D19&amp;": "&amp;'8TB'!F19&amp;" "&amp;'8TB'!E19</f>
        <v>#N/A</v>
      </c>
      <c r="D222" s="1387">
        <f ca="1">'8TB'!F20</f>
        <v>63890</v>
      </c>
      <c r="E222" s="1392"/>
      <c r="G222" s="1371"/>
    </row>
    <row r="223" spans="2:7" s="1208" customFormat="1">
      <c r="B223" s="1385"/>
      <c r="C223" s="1386" t="e">
        <f ca="1">'8TB'!D20&amp;": "&amp;'8TB'!F20&amp;" "&amp;'8TB'!E20</f>
        <v>#N/A</v>
      </c>
      <c r="D223" s="1387">
        <f ca="1">'8TB'!F21</f>
        <v>63890</v>
      </c>
      <c r="E223" s="1392"/>
      <c r="G223" s="1371"/>
    </row>
    <row r="224" spans="2:7" s="1208" customFormat="1">
      <c r="B224" s="1385"/>
      <c r="C224" s="1386" t="e">
        <f ca="1">'8TB'!D21&amp;": "&amp;'8TB'!F21&amp;" "&amp;'8TB'!E21</f>
        <v>#N/A</v>
      </c>
      <c r="D224" s="1387">
        <f ca="1">'8TB'!F22</f>
        <v>63890</v>
      </c>
      <c r="E224" s="1392"/>
      <c r="G224" s="1371"/>
    </row>
    <row r="225" spans="2:7" s="1208" customFormat="1" hidden="1">
      <c r="B225" s="1385"/>
      <c r="C225" s="1386" t="e">
        <f ca="1">'8TB'!D22&amp;": "&amp;'8TB'!F22&amp;" "&amp;'8TB'!E22</f>
        <v>#N/A</v>
      </c>
      <c r="D225" s="1387">
        <f ca="1">'8TB'!F23</f>
        <v>63890</v>
      </c>
      <c r="E225" s="1392"/>
      <c r="G225" s="1371"/>
    </row>
    <row r="226" spans="2:7" s="1208" customFormat="1" hidden="1">
      <c r="B226" s="1385"/>
      <c r="C226" s="1386" t="str">
        <f ca="1">'8TB'!D23&amp;": "&amp;'8TB'!F23&amp;" "&amp;'8TB'!E23</f>
        <v>B. PHẦN VẬT LIỆU: 63890 bộ</v>
      </c>
      <c r="D226" s="1387">
        <f ca="1">'8TB'!F24</f>
        <v>63890</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idden="1">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 hidden="1">
      <c r="B257" s="1385"/>
      <c r="C257" s="1386" t="s">
        <v>4463</v>
      </c>
      <c r="D257" s="1387"/>
      <c r="E257" s="1388"/>
      <c r="G257" s="1371"/>
    </row>
    <row r="258" spans="2:7">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Cáp đồng bọc 24KV-CXV-25: 36 mét.</v>
      </c>
      <c r="D260" s="1387">
        <f>'10DN'!L8</f>
        <v>0</v>
      </c>
      <c r="E260" s="1388"/>
    </row>
    <row r="261" spans="2:7" hidden="1">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hidden="1">
      <c r="B265" s="1385"/>
      <c r="C265" s="1389" t="str">
        <f>'10DN'!D13</f>
        <v xml:space="preserve">    - Chụp đầu cực FCO (bộ 2 cái): 3 bộ.</v>
      </c>
      <c r="D265" s="1387">
        <f>'10DN'!L13</f>
        <v>0</v>
      </c>
      <c r="E265" s="1388"/>
    </row>
    <row r="266" spans="2:7" hidden="1">
      <c r="B266" s="1385"/>
      <c r="C266" s="1389" t="str">
        <f>'10DN'!D14</f>
        <v xml:space="preserve">    - :  .</v>
      </c>
      <c r="D266" s="1387">
        <f>'10DN'!L14</f>
        <v>0</v>
      </c>
      <c r="E266" s="1388"/>
    </row>
    <row r="267" spans="2:7" hidden="1">
      <c r="B267" s="1385"/>
      <c r="C267" s="1389" t="str">
        <f>'10DN'!D15</f>
        <v xml:space="preserve">    - :  .</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 hidden="1">
      <c r="B275" s="1393"/>
      <c r="C275" s="1394" t="s">
        <v>4464</v>
      </c>
      <c r="D275" s="1395"/>
      <c r="E275" s="1396"/>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59" t="s">
        <v>4534</v>
      </c>
      <c r="B1" s="3259"/>
      <c r="C1" s="3259"/>
      <c r="D1" s="3259"/>
      <c r="E1" s="3259"/>
      <c r="F1" s="3259"/>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3</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6</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6</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11.87</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1</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1</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2</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2</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4</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8</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8</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10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11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6</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6</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5</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18</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6</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
      </c>
      <c r="F66" s="1302" t="str">
        <f>'NT-VT'!G69</f>
        <v/>
      </c>
      <c r="G66" s="829" t="e">
        <f t="shared" si="0"/>
        <v>#REF!</v>
      </c>
      <c r="H66" s="843"/>
      <c r="I66" s="819"/>
    </row>
    <row r="67" spans="1:9" ht="35.1" customHeight="1">
      <c r="A67" s="1302" t="e">
        <f>SUM($G$3:G67)</f>
        <v>#REF!</v>
      </c>
      <c r="B67" s="1303" t="e">
        <f>'NT-VT'!C69</f>
        <v>#N/A</v>
      </c>
      <c r="C67" s="1304">
        <f>'NT-VT'!D69</f>
        <v>0</v>
      </c>
      <c r="D67" s="1305">
        <f>'NT-VT'!E69</f>
        <v>0</v>
      </c>
      <c r="E67" s="1302" t="str">
        <f>'NT-VT'!F70</f>
        <v/>
      </c>
      <c r="F67" s="1302" t="str">
        <f>'NT-VT'!G70</f>
        <v/>
      </c>
      <c r="G67" s="829">
        <f t="shared" si="0"/>
        <v>0</v>
      </c>
      <c r="H67" s="843"/>
      <c r="I67" s="819"/>
    </row>
    <row r="68" spans="1:9" ht="35.1" customHeight="1">
      <c r="A68" s="1302" t="e">
        <f>SUM($G$3:G68)</f>
        <v>#REF!</v>
      </c>
      <c r="B68" s="1303" t="e">
        <f>'NT-VT'!C70</f>
        <v>#N/A</v>
      </c>
      <c r="C68" s="1304">
        <f>'NT-VT'!D70</f>
        <v>0</v>
      </c>
      <c r="D68" s="1305">
        <f>'NT-VT'!E70</f>
        <v>0</v>
      </c>
      <c r="E68" s="1302" t="str">
        <f>'NT-VT'!F71</f>
        <v/>
      </c>
      <c r="F68" s="1302" t="str">
        <f>'NT-VT'!G71</f>
        <v/>
      </c>
      <c r="G68" s="829">
        <f t="shared" ref="G68:G93" si="1">IF(D68&gt;0,1,0)</f>
        <v>0</v>
      </c>
      <c r="H68" s="843"/>
      <c r="I68" s="819"/>
    </row>
    <row r="69" spans="1:9" ht="35.1" customHeight="1">
      <c r="A69" s="1302" t="e">
        <f>SUM($G$3:G69)</f>
        <v>#REF!</v>
      </c>
      <c r="B69" s="1303" t="e">
        <f>'NT-VT'!C71</f>
        <v>#N/A</v>
      </c>
      <c r="C69" s="1304">
        <f>'NT-VT'!D71</f>
        <v>0</v>
      </c>
      <c r="D69" s="1305">
        <f>'NT-VT'!E71</f>
        <v>0</v>
      </c>
      <c r="E69" s="1302" t="str">
        <f>'NT-VT'!F72</f>
        <v/>
      </c>
      <c r="F69" s="1302" t="str">
        <f>'NT-VT'!G72</f>
        <v/>
      </c>
      <c r="G69" s="829">
        <f t="shared" si="1"/>
        <v>0</v>
      </c>
      <c r="H69" s="843"/>
      <c r="I69" s="819"/>
    </row>
    <row r="70" spans="1:9" ht="35.1" customHeight="1">
      <c r="A70" s="1302" t="e">
        <f>SUM($G$3:G70)</f>
        <v>#REF!</v>
      </c>
      <c r="B70" s="1303" t="e">
        <f>'NT-VT'!C72</f>
        <v>#N/A</v>
      </c>
      <c r="C70" s="1304">
        <f>'NT-VT'!D72</f>
        <v>0</v>
      </c>
      <c r="D70" s="1305">
        <f>'NT-VT'!E72</f>
        <v>0</v>
      </c>
      <c r="E70" s="1302" t="str">
        <f>'NT-VT'!F73</f>
        <v/>
      </c>
      <c r="F70" s="1302" t="str">
        <f>'NT-VT'!G73</f>
        <v/>
      </c>
      <c r="G70" s="829">
        <f t="shared" si="1"/>
        <v>0</v>
      </c>
      <c r="H70" s="843"/>
      <c r="I70" s="819"/>
    </row>
    <row r="71" spans="1:9" ht="35.1" customHeight="1">
      <c r="A71" s="1302" t="e">
        <f>SUM($G$3:G71)</f>
        <v>#REF!</v>
      </c>
      <c r="B71" s="1303" t="e">
        <f>'NT-VT'!C73</f>
        <v>#N/A</v>
      </c>
      <c r="C71" s="1304">
        <f>'NT-VT'!D73</f>
        <v>0</v>
      </c>
      <c r="D71" s="1305">
        <f>'NT-VT'!E73</f>
        <v>0</v>
      </c>
      <c r="E71" s="1302" t="str">
        <f>'NT-VT'!F74</f>
        <v/>
      </c>
      <c r="F71" s="1302" t="str">
        <f>'NT-VT'!G74</f>
        <v/>
      </c>
      <c r="G71" s="829">
        <f t="shared" si="1"/>
        <v>0</v>
      </c>
      <c r="H71" s="843"/>
      <c r="I71" s="819"/>
    </row>
    <row r="72" spans="1:9" ht="35.1" customHeight="1">
      <c r="A72" s="1302" t="e">
        <f>SUM($G$3:G72)</f>
        <v>#REF!</v>
      </c>
      <c r="B72" s="1303" t="e">
        <f>'NT-VT'!C74</f>
        <v>#N/A</v>
      </c>
      <c r="C72" s="1304">
        <f>'NT-VT'!D74</f>
        <v>0</v>
      </c>
      <c r="D72" s="1305">
        <f>'NT-VT'!E74</f>
        <v>0</v>
      </c>
      <c r="E72" s="1302" t="str">
        <f>'NT-VT'!F75</f>
        <v/>
      </c>
      <c r="F72" s="1302" t="str">
        <f>'NT-VT'!G75</f>
        <v/>
      </c>
      <c r="G72" s="829">
        <f t="shared" si="1"/>
        <v>0</v>
      </c>
      <c r="H72" s="843"/>
      <c r="I72" s="819"/>
    </row>
    <row r="73" spans="1:9" ht="35.1" hidden="1" customHeight="1">
      <c r="A73" s="1302" t="e">
        <f>SUM($G$3:G73)</f>
        <v>#REF!</v>
      </c>
      <c r="B73" s="1303" t="e">
        <f>'NT-VT'!C75</f>
        <v>#N/A</v>
      </c>
      <c r="C73" s="1304">
        <f>'NT-VT'!D75</f>
        <v>0</v>
      </c>
      <c r="D73" s="1305">
        <f>'NT-VT'!E75</f>
        <v>0</v>
      </c>
      <c r="E73" s="1302" t="str">
        <f>'NT-VT'!F76</f>
        <v/>
      </c>
      <c r="F73" s="1302" t="str">
        <f>'NT-VT'!G76</f>
        <v/>
      </c>
      <c r="G73" s="829">
        <f t="shared" si="1"/>
        <v>0</v>
      </c>
      <c r="H73" s="843"/>
      <c r="I73" s="819"/>
    </row>
    <row r="74" spans="1:9" ht="35.1" hidden="1" customHeight="1">
      <c r="A74" s="1302" t="e">
        <f>SUM($G$3:G74)</f>
        <v>#REF!</v>
      </c>
      <c r="B74" s="1303" t="e">
        <f>'NT-VT'!C76</f>
        <v>#N/A</v>
      </c>
      <c r="C74" s="1304">
        <f>'NT-VT'!D76</f>
        <v>0</v>
      </c>
      <c r="D74" s="1305">
        <f>'NT-VT'!E76</f>
        <v>0</v>
      </c>
      <c r="E74" s="1302" t="str">
        <f>'NT-VT'!F77</f>
        <v/>
      </c>
      <c r="F74" s="1302" t="str">
        <f>'NT-VT'!G77</f>
        <v/>
      </c>
      <c r="G74" s="829">
        <f t="shared" si="1"/>
        <v>0</v>
      </c>
      <c r="H74" s="843"/>
      <c r="I74" s="819"/>
    </row>
    <row r="75" spans="1:9" ht="35.1" hidden="1" customHeight="1">
      <c r="A75" s="1302" t="e">
        <f>SUM($G$3:G75)</f>
        <v>#REF!</v>
      </c>
      <c r="B75" s="1303" t="e">
        <f>'NT-VT'!C77</f>
        <v>#N/A</v>
      </c>
      <c r="C75" s="1304">
        <f>'NT-VT'!D77</f>
        <v>0</v>
      </c>
      <c r="D75" s="1305">
        <f>'NT-VT'!E77</f>
        <v>0</v>
      </c>
      <c r="E75" s="1302" t="str">
        <f>'NT-VT'!F78</f>
        <v/>
      </c>
      <c r="F75" s="1302" t="str">
        <f>'NT-VT'!G78</f>
        <v/>
      </c>
      <c r="G75" s="829">
        <f t="shared" si="1"/>
        <v>0</v>
      </c>
      <c r="H75" s="843"/>
      <c r="I75" s="819"/>
    </row>
    <row r="76" spans="1:9" ht="35.1" hidden="1" customHeight="1">
      <c r="A76" s="1302" t="e">
        <f>SUM($G$3:G76)</f>
        <v>#REF!</v>
      </c>
      <c r="B76" s="1303" t="e">
        <f>'NT-VT'!C78</f>
        <v>#N/A</v>
      </c>
      <c r="C76" s="1304">
        <f>'NT-VT'!D78</f>
        <v>0</v>
      </c>
      <c r="D76" s="1305">
        <f>'NT-VT'!E78</f>
        <v>0</v>
      </c>
      <c r="E76" s="1302" t="str">
        <f>'NT-VT'!F79</f>
        <v/>
      </c>
      <c r="F76" s="1302" t="str">
        <f>'NT-VT'!G79</f>
        <v/>
      </c>
      <c r="G76" s="829">
        <f t="shared" si="1"/>
        <v>0</v>
      </c>
      <c r="H76" s="843"/>
      <c r="I76" s="819"/>
    </row>
    <row r="77" spans="1:9" ht="35.1" hidden="1" customHeight="1">
      <c r="A77" s="1302" t="e">
        <f>SUM($G$3:G77)</f>
        <v>#REF!</v>
      </c>
      <c r="B77" s="1303" t="e">
        <f>'NT-VT'!C79</f>
        <v>#N/A</v>
      </c>
      <c r="C77" s="1304">
        <f>'NT-VT'!D79</f>
        <v>0</v>
      </c>
      <c r="D77" s="1305">
        <f>'NT-VT'!E79</f>
        <v>0</v>
      </c>
      <c r="E77" s="1302" t="str">
        <f>'NT-VT'!F80</f>
        <v/>
      </c>
      <c r="F77" s="1302" t="str">
        <f>'NT-VT'!G80</f>
        <v/>
      </c>
      <c r="G77" s="829">
        <f t="shared" si="1"/>
        <v>0</v>
      </c>
      <c r="H77" s="843"/>
      <c r="I77" s="819"/>
    </row>
    <row r="78" spans="1:9" ht="35.1" hidden="1" customHeight="1">
      <c r="A78" s="1302" t="e">
        <f>SUM($G$3:G78)</f>
        <v>#REF!</v>
      </c>
      <c r="B78" s="1303" t="e">
        <f>'NT-VT'!C80</f>
        <v>#N/A</v>
      </c>
      <c r="C78" s="1304">
        <f>'NT-VT'!D80</f>
        <v>0</v>
      </c>
      <c r="D78" s="1305">
        <f>'NT-VT'!E80</f>
        <v>0</v>
      </c>
      <c r="E78" s="1302" t="str">
        <f>'NT-VT'!F81</f>
        <v/>
      </c>
      <c r="F78" s="1302" t="str">
        <f>'NT-VT'!G81</f>
        <v/>
      </c>
      <c r="G78" s="829">
        <f t="shared" si="1"/>
        <v>0</v>
      </c>
      <c r="H78" s="843"/>
      <c r="I78" s="819"/>
    </row>
    <row r="79" spans="1:9" ht="35.1" hidden="1" customHeight="1">
      <c r="A79" s="1302" t="e">
        <f>SUM($G$3:G79)</f>
        <v>#REF!</v>
      </c>
      <c r="B79" s="1303" t="e">
        <f>'NT-VT'!C81</f>
        <v>#N/A</v>
      </c>
      <c r="C79" s="1304">
        <f>'NT-VT'!D81</f>
        <v>0</v>
      </c>
      <c r="D79" s="1305">
        <f>'NT-VT'!E81</f>
        <v>0</v>
      </c>
      <c r="E79" s="1302" t="str">
        <f>'NT-VT'!F82</f>
        <v/>
      </c>
      <c r="F79" s="1302" t="str">
        <f>'NT-VT'!G82</f>
        <v/>
      </c>
      <c r="G79" s="829">
        <f t="shared" si="1"/>
        <v>0</v>
      </c>
      <c r="H79" s="843"/>
      <c r="I79" s="819"/>
    </row>
    <row r="80" spans="1:9" ht="35.1" hidden="1" customHeight="1">
      <c r="A80" s="1302" t="e">
        <f>SUM($G$3:G80)</f>
        <v>#REF!</v>
      </c>
      <c r="B80" s="1303" t="e">
        <f>'NT-VT'!C82</f>
        <v>#N/A</v>
      </c>
      <c r="C80" s="1304">
        <f>'NT-VT'!D82</f>
        <v>0</v>
      </c>
      <c r="D80" s="1305">
        <f>'NT-VT'!E82</f>
        <v>0</v>
      </c>
      <c r="E80" s="1302" t="str">
        <f>'NT-VT'!F83</f>
        <v/>
      </c>
      <c r="F80" s="1302" t="str">
        <f>'NT-VT'!G83</f>
        <v/>
      </c>
      <c r="G80" s="829">
        <f t="shared" si="1"/>
        <v>0</v>
      </c>
      <c r="H80" s="843"/>
      <c r="I80" s="819"/>
    </row>
    <row r="81" spans="1:9" ht="35.1" hidden="1" customHeight="1">
      <c r="A81" s="1302" t="e">
        <f>SUM($G$3:G81)</f>
        <v>#REF!</v>
      </c>
      <c r="B81" s="1303" t="e">
        <f>'NT-VT'!C83</f>
        <v>#N/A</v>
      </c>
      <c r="C81" s="1304">
        <f>'NT-VT'!D83</f>
        <v>0</v>
      </c>
      <c r="D81" s="1305">
        <f>'NT-VT'!E83</f>
        <v>0</v>
      </c>
      <c r="E81" s="1302" t="str">
        <f>'NT-VT'!F84</f>
        <v/>
      </c>
      <c r="F81" s="1302" t="str">
        <f>'NT-VT'!G84</f>
        <v/>
      </c>
      <c r="G81" s="829">
        <f t="shared" si="1"/>
        <v>0</v>
      </c>
      <c r="H81" s="843"/>
      <c r="I81" s="819"/>
    </row>
    <row r="82" spans="1:9" ht="35.1" hidden="1" customHeight="1">
      <c r="A82" s="1302" t="e">
        <f>SUM($G$3:G82)</f>
        <v>#REF!</v>
      </c>
      <c r="B82" s="1303" t="e">
        <f>'NT-VT'!C84</f>
        <v>#N/A</v>
      </c>
      <c r="C82" s="1304">
        <f>'NT-VT'!D84</f>
        <v>0</v>
      </c>
      <c r="D82" s="1305">
        <f>'NT-VT'!E84</f>
        <v>0</v>
      </c>
      <c r="E82" s="1302" t="str">
        <f>'NT-VT'!F85</f>
        <v/>
      </c>
      <c r="F82" s="1302" t="str">
        <f>'NT-VT'!G85</f>
        <v/>
      </c>
      <c r="G82" s="829">
        <f t="shared" si="1"/>
        <v>0</v>
      </c>
      <c r="H82" s="843"/>
      <c r="I82" s="819"/>
    </row>
    <row r="83" spans="1:9" ht="35.1" hidden="1" customHeight="1">
      <c r="A83" s="1302" t="e">
        <f>SUM($G$3:G83)</f>
        <v>#REF!</v>
      </c>
      <c r="B83" s="1303" t="e">
        <f>'NT-VT'!C85</f>
        <v>#N/A</v>
      </c>
      <c r="C83" s="1304">
        <f>'NT-VT'!D85</f>
        <v>0</v>
      </c>
      <c r="D83" s="1305">
        <f>'NT-VT'!E85</f>
        <v>0</v>
      </c>
      <c r="E83" s="1302" t="str">
        <f>'NT-VT'!F86</f>
        <v/>
      </c>
      <c r="F83" s="1302" t="str">
        <f>'NT-VT'!G86</f>
        <v/>
      </c>
      <c r="G83" s="829">
        <f t="shared" si="1"/>
        <v>0</v>
      </c>
      <c r="H83" s="843"/>
      <c r="I83" s="819"/>
    </row>
    <row r="84" spans="1:9" ht="35.1" hidden="1" customHeight="1">
      <c r="A84" s="1302" t="e">
        <f>SUM($G$3:G84)</f>
        <v>#REF!</v>
      </c>
      <c r="B84" s="1303" t="e">
        <f>'NT-VT'!C86</f>
        <v>#N/A</v>
      </c>
      <c r="C84" s="1304">
        <f>'NT-VT'!D86</f>
        <v>0</v>
      </c>
      <c r="D84" s="1305">
        <f>'NT-VT'!E86</f>
        <v>0</v>
      </c>
      <c r="E84" s="1302" t="str">
        <f>'NT-VT'!F87</f>
        <v/>
      </c>
      <c r="F84" s="1302" t="str">
        <f>'NT-VT'!G87</f>
        <v/>
      </c>
      <c r="G84" s="829">
        <f t="shared" si="1"/>
        <v>0</v>
      </c>
      <c r="H84" s="843"/>
      <c r="I84" s="819"/>
    </row>
    <row r="85" spans="1:9" ht="35.1" hidden="1" customHeight="1">
      <c r="A85" s="1302" t="e">
        <f>SUM($G$3:G85)</f>
        <v>#REF!</v>
      </c>
      <c r="B85" s="1303" t="e">
        <f>'NT-VT'!C87</f>
        <v>#N/A</v>
      </c>
      <c r="C85" s="1304">
        <f>'NT-VT'!D87</f>
        <v>0</v>
      </c>
      <c r="D85" s="1305">
        <f>'NT-VT'!E87</f>
        <v>0</v>
      </c>
      <c r="E85" s="1302" t="str">
        <f>'NT-VT'!F88</f>
        <v/>
      </c>
      <c r="F85" s="1302" t="str">
        <f>'NT-VT'!G88</f>
        <v/>
      </c>
      <c r="G85" s="829">
        <f t="shared" si="1"/>
        <v>0</v>
      </c>
      <c r="H85" s="843"/>
      <c r="I85" s="819"/>
    </row>
    <row r="86" spans="1:9" ht="35.1" hidden="1" customHeight="1">
      <c r="A86" s="1302" t="e">
        <f>SUM($G$3:G86)</f>
        <v>#REF!</v>
      </c>
      <c r="B86" s="1303" t="e">
        <f>'NT-VT'!C88</f>
        <v>#N/A</v>
      </c>
      <c r="C86" s="1304">
        <f>'NT-VT'!D88</f>
        <v>0</v>
      </c>
      <c r="D86" s="1305">
        <f>'NT-VT'!E88</f>
        <v>0</v>
      </c>
      <c r="E86" s="1302" t="str">
        <f>'NT-VT'!F89</f>
        <v/>
      </c>
      <c r="F86" s="1302" t="str">
        <f>'NT-VT'!G89</f>
        <v/>
      </c>
      <c r="G86" s="829">
        <f t="shared" si="1"/>
        <v>0</v>
      </c>
      <c r="H86" s="843"/>
      <c r="I86" s="819"/>
    </row>
    <row r="87" spans="1:9" ht="35.1" hidden="1" customHeight="1">
      <c r="A87" s="1302" t="e">
        <f>SUM($G$3:G87)</f>
        <v>#REF!</v>
      </c>
      <c r="B87" s="1303" t="e">
        <f>'NT-VT'!C89</f>
        <v>#N/A</v>
      </c>
      <c r="C87" s="1304">
        <f>'NT-VT'!D89</f>
        <v>0</v>
      </c>
      <c r="D87" s="1305">
        <f>'NT-VT'!E89</f>
        <v>0</v>
      </c>
      <c r="E87" s="1302" t="str">
        <f>'NT-VT'!F90</f>
        <v/>
      </c>
      <c r="F87" s="1302" t="str">
        <f>'NT-VT'!G90</f>
        <v/>
      </c>
      <c r="G87" s="829">
        <f t="shared" si="1"/>
        <v>0</v>
      </c>
      <c r="H87" s="843"/>
      <c r="I87" s="819"/>
    </row>
    <row r="88" spans="1:9" ht="35.1" hidden="1" customHeight="1">
      <c r="A88" s="1302" t="e">
        <f>SUM($G$3:G88)</f>
        <v>#REF!</v>
      </c>
      <c r="B88" s="1303" t="e">
        <f>'NT-VT'!C90</f>
        <v>#N/A</v>
      </c>
      <c r="C88" s="1304">
        <f>'NT-VT'!D90</f>
        <v>0</v>
      </c>
      <c r="D88" s="1305">
        <f>'NT-VT'!E90</f>
        <v>0</v>
      </c>
      <c r="E88" s="1302" t="str">
        <f>'NT-VT'!F91</f>
        <v/>
      </c>
      <c r="F88" s="1302" t="str">
        <f>'NT-VT'!G91</f>
        <v/>
      </c>
      <c r="G88" s="829">
        <f t="shared" si="1"/>
        <v>0</v>
      </c>
      <c r="H88" s="843"/>
      <c r="I88" s="819"/>
    </row>
    <row r="89" spans="1:9" ht="35.1" hidden="1" customHeight="1">
      <c r="A89" s="1302" t="e">
        <f>SUM($G$3:G89)</f>
        <v>#REF!</v>
      </c>
      <c r="B89" s="1303" t="e">
        <f>'NT-VT'!C91</f>
        <v>#N/A</v>
      </c>
      <c r="C89" s="1304">
        <f>'NT-VT'!D91</f>
        <v>0</v>
      </c>
      <c r="D89" s="1305">
        <f>'NT-VT'!E91</f>
        <v>0</v>
      </c>
      <c r="E89" s="1302" t="str">
        <f>'NT-VT'!F92</f>
        <v/>
      </c>
      <c r="F89" s="1302" t="str">
        <f>'NT-VT'!G92</f>
        <v/>
      </c>
      <c r="G89" s="829">
        <f t="shared" si="1"/>
        <v>0</v>
      </c>
      <c r="H89" s="843"/>
      <c r="I89" s="819"/>
    </row>
    <row r="90" spans="1:9" ht="35.1" hidden="1" customHeight="1">
      <c r="A90" s="1302" t="e">
        <f>SUM($G$3:G90)</f>
        <v>#REF!</v>
      </c>
      <c r="B90" s="1303"/>
      <c r="C90" s="1304">
        <f>'NT-VT'!D93</f>
        <v>0</v>
      </c>
      <c r="D90" s="1305">
        <f>'NT-VT'!E93</f>
        <v>0</v>
      </c>
      <c r="E90" s="1302" t="str">
        <f>'NT-VT'!F93</f>
        <v/>
      </c>
      <c r="F90" s="1302" t="str">
        <f>'NT-VT'!G93</f>
        <v/>
      </c>
      <c r="G90" s="829">
        <f t="shared" si="1"/>
        <v>0</v>
      </c>
      <c r="H90" s="843"/>
      <c r="I90" s="819"/>
    </row>
    <row r="91" spans="1:9" ht="35.1" hidden="1" customHeight="1">
      <c r="A91" s="1302" t="e">
        <f>SUM($G$3:G91)</f>
        <v>#REF!</v>
      </c>
      <c r="B91" s="1303"/>
      <c r="C91" s="1304">
        <f>'NT-VT'!D94</f>
        <v>0</v>
      </c>
      <c r="D91" s="1305">
        <f>'NT-VT'!E94</f>
        <v>0</v>
      </c>
      <c r="E91" s="1302" t="str">
        <f>'NT-VT'!F94</f>
        <v/>
      </c>
      <c r="F91" s="1302" t="str">
        <f>'NT-VT'!G94</f>
        <v/>
      </c>
      <c r="G91" s="829">
        <f t="shared" si="1"/>
        <v>0</v>
      </c>
      <c r="H91" s="843"/>
      <c r="I91" s="819"/>
    </row>
    <row r="92" spans="1:9" ht="35.1" hidden="1" customHeight="1">
      <c r="A92" s="1302" t="e">
        <f>SUM($G$3:G92)</f>
        <v>#REF!</v>
      </c>
      <c r="B92" s="1303"/>
      <c r="C92" s="1304">
        <f>'NT-VT'!D95</f>
        <v>0</v>
      </c>
      <c r="D92" s="1305">
        <f>'NT-VT'!E95</f>
        <v>0</v>
      </c>
      <c r="E92" s="1302" t="str">
        <f>'NT-VT'!F95</f>
        <v/>
      </c>
      <c r="F92" s="1302" t="str">
        <f>'NT-VT'!G95</f>
        <v/>
      </c>
      <c r="G92" s="829">
        <f t="shared" si="1"/>
        <v>0</v>
      </c>
      <c r="H92" s="843"/>
      <c r="I92" s="819"/>
    </row>
    <row r="93" spans="1:9" ht="35.1" hidden="1" customHeight="1">
      <c r="A93" s="1302" t="e">
        <f>SUM($G$3:G93)</f>
        <v>#REF!</v>
      </c>
      <c r="B93" s="1303"/>
      <c r="C93" s="1304">
        <f>'NT-VT'!D96</f>
        <v>0</v>
      </c>
      <c r="D93" s="1305">
        <f>'NT-VT'!E96</f>
        <v>0</v>
      </c>
      <c r="E93" s="1302" t="str">
        <f>'NT-VT'!F96</f>
        <v/>
      </c>
      <c r="F93" s="1302" t="str">
        <f>'NT-VT'!G96</f>
        <v/>
      </c>
      <c r="G93" s="829">
        <f t="shared" si="1"/>
        <v>0</v>
      </c>
      <c r="H93" s="843"/>
      <c r="I93" s="819"/>
    </row>
    <row r="94" spans="1:9" ht="35.1" customHeight="1">
      <c r="A94" s="1302" t="e">
        <f>SUM($G$3:G94)</f>
        <v>#REF!</v>
      </c>
      <c r="B94" s="1303" t="s">
        <v>4427</v>
      </c>
      <c r="C94" s="1304"/>
      <c r="D94" s="1305"/>
      <c r="E94" s="1302" t="str">
        <f>'NT-VT'!F97</f>
        <v/>
      </c>
      <c r="F94" s="1302" t="str">
        <f>'NT-VT'!G97</f>
        <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2020-12-10T13:29:14Z</dcterms:modified>
</cp:coreProperties>
</file>