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HSTT\20200134150-DLCM-SuaChuaLon--\HoanCong\"/>
    </mc:Choice>
  </mc:AlternateContent>
  <xr:revisionPtr revIDLastSave="0" documentId="13_ncr:1_{AB9871CF-EB38-458D-B7BB-DA5F4BD0A057}" xr6:coauthVersionLast="45" xr6:coauthVersionMax="45" xr10:uidLastSave="{00000000-0000-0000-0000-000000000000}"/>
  <bookViews>
    <workbookView xWindow="-108" yWindow="-108" windowWidth="23256" windowHeight="12576" tabRatio="777" activeTab="11" xr2:uid="{00000000-000D-0000-FFFF-FFFF00000000}"/>
  </bookViews>
  <sheets>
    <sheet name="Thu loc" sheetId="12" r:id="rId1"/>
    <sheet name="QuyetToanKLA" sheetId="2" r:id="rId2"/>
    <sheet name="NhapThua" sheetId="3" r:id="rId3"/>
    <sheet name="KLTang" sheetId="4" r:id="rId4"/>
    <sheet name="KLTang (2)" sheetId="5" r:id="rId5"/>
    <sheet name="KLGiam" sheetId="6" r:id="rId6"/>
    <sheet name="KLGiam (2)" sheetId="7" r:id="rId7"/>
    <sheet name="THPS" sheetId="8" r:id="rId8"/>
    <sheet name="_chiTiet" sheetId="16" r:id="rId9"/>
    <sheet name="_klhd" sheetId="15" r:id="rId10"/>
    <sheet name="_a" sheetId="13" r:id="rId11"/>
    <sheet name="KL chi tiết" sheetId="9" r:id="rId12"/>
    <sheet name="KL theo HĐ" sheetId="10" r:id="rId13"/>
    <sheet name="QTVTA" sheetId="11" r:id="rId14"/>
  </sheets>
  <externalReferences>
    <externalReference r:id="rId15"/>
    <externalReference r:id="rId16"/>
  </externalReferences>
  <definedNames>
    <definedName name="_Builtin155" hidden="1">#N/A</definedName>
    <definedName name="_Fill" hidden="1">#REF!</definedName>
    <definedName name="_xlnm._FilterDatabase" localSheetId="10" hidden="1">_a!$A$9:$N$32</definedName>
    <definedName name="_xlnm._FilterDatabase" localSheetId="8" hidden="1">_chiTiet!$B$9:$K$130</definedName>
    <definedName name="_xlnm._FilterDatabase" localSheetId="9" hidden="1">_klhd!$B$10:$I$87</definedName>
    <definedName name="_xlnm._FilterDatabase" localSheetId="11" hidden="1">'KL chi tiết'!$B$10:$I$130</definedName>
    <definedName name="_xlnm._FilterDatabase" localSheetId="12" hidden="1">'KL theo HĐ'!$A$11:$AE$87</definedName>
    <definedName name="_xlnm._FilterDatabase" localSheetId="5" hidden="1">KLGiam!$A$5:$N$130</definedName>
    <definedName name="_xlnm._FilterDatabase" localSheetId="6" hidden="1">'KLGiam (2)'!$A$5:$N$130</definedName>
    <definedName name="_xlnm._FilterDatabase" localSheetId="3" hidden="1">KLTang!$A$5:$N$54</definedName>
    <definedName name="_xlnm._FilterDatabase" localSheetId="4" hidden="1">'KLTang (2)'!$A$5:$N$8</definedName>
    <definedName name="_xlnm._FilterDatabase" localSheetId="13" hidden="1">QTVTA!$A$9:$N$32</definedName>
    <definedName name="_xlnm._FilterDatabase" localSheetId="1" hidden="1">QuyetToanKLA!$C$6:$T$96</definedName>
    <definedName name="_Key1" hidden="1">#REF!</definedName>
    <definedName name="_Key2" hidden="1">#REF!</definedName>
    <definedName name="_KTV122" hidden="1">[2]LUONG!$H$129</definedName>
    <definedName name="_KTV222" hidden="1">[2]LUONG!$H$130</definedName>
    <definedName name="_LX114" hidden="1">[2]LUONG!$H$85</definedName>
    <definedName name="_LX124" hidden="1">[2]LUONG!$H$86</definedName>
    <definedName name="_LX134" hidden="1">[2]LUONG!$H$87</definedName>
    <definedName name="_LX144" hidden="1">[2]LUONG!$H$88</definedName>
    <definedName name="_LX214" hidden="1">[2]LUONG!$H$95</definedName>
    <definedName name="_LX224" hidden="1">[2]LUONG!$H$96</definedName>
    <definedName name="_LX234" hidden="1">[2]LUONG!$H$97</definedName>
    <definedName name="_LX244" hidden="1">[2]LUONG!$H$98</definedName>
    <definedName name="_LX314" hidden="1">[2]LUONG!$H$105</definedName>
    <definedName name="_LX324" hidden="1">[2]LUONG!$H$106</definedName>
    <definedName name="_LX334" hidden="1">[2]LUONG!$H$107</definedName>
    <definedName name="_LX344" hidden="1">[2]LUONG!$H$108</definedName>
    <definedName name="_MT12" hidden="1">[2]LUONG!$H$131</definedName>
    <definedName name="_MT22" hidden="1">[2]LUONG!$H$132</definedName>
    <definedName name="_NC12" hidden="1">[2]LUONG!$C$15</definedName>
    <definedName name="_NC13" hidden="1">[2]LUONG!$C$18</definedName>
    <definedName name="_NC14" hidden="1">[2]LUONG!$C$22</definedName>
    <definedName name="_NC15" hidden="1">[2]LUONG!$C$25</definedName>
    <definedName name="_NC16" hidden="1">[2]LUONG!$C$27</definedName>
    <definedName name="_NC17" hidden="1">[2]LUONG!$C$29</definedName>
    <definedName name="_NC22" hidden="1">[2]LUONG!$C$34</definedName>
    <definedName name="_NC23" hidden="1">[2]LUONG!$C$37</definedName>
    <definedName name="_NC24" hidden="1">[2]LUONG!$C$41</definedName>
    <definedName name="_NC25" hidden="1">[2]LUONG!$C$44</definedName>
    <definedName name="_NC26" hidden="1">[2]LUONG!$C$46</definedName>
    <definedName name="_NC27" hidden="1">[2]LUONG!$C$48</definedName>
    <definedName name="_Order1" hidden="1">255</definedName>
    <definedName name="_Order2" hidden="1">255</definedName>
    <definedName name="_Sort" hidden="1">#REF!</definedName>
    <definedName name="_TM107" hidden="1">[2]LUONG!$H$71</definedName>
    <definedName name="_TM207" hidden="1">[2]LUONG!$H$72</definedName>
    <definedName name="_TM24" hidden="1">[2]LUONG!$H$136</definedName>
    <definedName name="_TM307" hidden="1">[2]LUONG!$H$74</definedName>
    <definedName name="_TM34" hidden="1">[2]LUONG!$H$134</definedName>
    <definedName name="_TM407" hidden="1">[2]LUONG!$H$76</definedName>
    <definedName name="_TM44" hidden="1">[2]LUONG!$H$133</definedName>
    <definedName name="_TM507" hidden="1">[2]LUONG!$H$77</definedName>
    <definedName name="_TM607" hidden="1">[2]LUONG!$H$78</definedName>
    <definedName name="_TM707" hidden="1">[2]LUONG!$H$79</definedName>
    <definedName name="_TP112" hidden="1">[2]LUONG!$H$125</definedName>
    <definedName name="_TP122" hidden="1">[2]LUONG!$H$126</definedName>
    <definedName name="_TP212" hidden="1">[2]LUONG!$H$127</definedName>
    <definedName name="_TT24" hidden="1">[2]LUONG!$H$141</definedName>
    <definedName name="_TT34" hidden="1">[2]LUONG!$H$142</definedName>
    <definedName name="_TT44" hidden="1">[2]LUONG!$H$143</definedName>
    <definedName name="_TTR12" hidden="1">[2]LUONG!$H$123</definedName>
    <definedName name="_TTR22" hidden="1">[2]LUONG!$H$124</definedName>
    <definedName name="CA" hidden="1">"ca"</definedName>
    <definedName name="Cancunangluong" hidden="1">#REF!</definedName>
    <definedName name="Cancunhienlieu" hidden="1">#REF!</definedName>
    <definedName name="capdienap" hidden="1">#REF!</definedName>
    <definedName name="CG" hidden="1">"công"</definedName>
    <definedName name="CLVC3">0.1</definedName>
    <definedName name="diezel" hidden="1">#REF!</definedName>
    <definedName name="DIFF" hidden="1">"khác"</definedName>
    <definedName name="Document_array">{"Thuxm2.xls","Sheet1"}</definedName>
    <definedName name="EI" hidden="1">"8"</definedName>
    <definedName name="GIA" hidden="1">"GIA"</definedName>
    <definedName name="GiaDau" hidden="1">#REF!</definedName>
    <definedName name="GiadauH" hidden="1">#REF!</definedName>
    <definedName name="GiaDien" hidden="1">#REF!</definedName>
    <definedName name="GiaMazut" hidden="1">#REF!</definedName>
    <definedName name="GiaXang" hidden="1">#REF!</definedName>
    <definedName name="Heä_soá_laép_xaø_H">1.7</definedName>
    <definedName name="Hinh_thuc">"bangtra"</definedName>
    <definedName name="HpD" hidden="1">#REF!</definedName>
    <definedName name="HpK" hidden="1">#REF!</definedName>
    <definedName name="HpX" hidden="1">#REF!</definedName>
    <definedName name="HpZ" hidden="1">'[2]GIA CA MAY'!$H$19</definedName>
    <definedName name="HSCT3">0.1</definedName>
    <definedName name="HSI" hidden="1">1.8857</definedName>
    <definedName name="HSII" hidden="1">1.8255</definedName>
    <definedName name="HSIII" hidden="1">1.7333</definedName>
    <definedName name="HSIV" hidden="1">1.665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KS" hidden="1">"ks"</definedName>
    <definedName name="kwh" hidden="1">#REF!</definedName>
    <definedName name="LoaiCT" hidden="1">#REF!</definedName>
    <definedName name="LTT" hidden="1">#REF!</definedName>
    <definedName name="LuongHTXL" hidden="1">[2]LUONG!$A$13:$H$143</definedName>
    <definedName name="LuongPTthuy" hidden="1">[2]LUONG!$B$123:$H$143</definedName>
    <definedName name="LuongTho" hidden="1">[2]LUONG!$B$147:$H$301</definedName>
    <definedName name="LvI" hidden="1">#REF!</definedName>
    <definedName name="LvII" hidden="1">#REF!</definedName>
    <definedName name="LvIII" hidden="1">#REF!</definedName>
    <definedName name="LvIV" hidden="1">#REF!</definedName>
    <definedName name="MK" hidden="1">"Máy khác"</definedName>
    <definedName name="MTC" hidden="1">"Máy thi công"</definedName>
    <definedName name="nangluong" hidden="1">#REF!</definedName>
    <definedName name="ngay" hidden="1">[2]LUONG!$F$9</definedName>
    <definedName name="Nhienlieu" hidden="1">#REF!</definedName>
    <definedName name="nI" hidden="1">"ncI"</definedName>
    <definedName name="nII" hidden="1">"ncII"</definedName>
    <definedName name="PER" hidden="1">"%"</definedName>
    <definedName name="_xlnm.Print_Area" localSheetId="10">_a!$A$1:$M$48</definedName>
    <definedName name="_xlnm.Print_Area" localSheetId="8">_chiTiet!$A$1:$I$146</definedName>
    <definedName name="_xlnm.Print_Area" localSheetId="9">_klhd!$B$1:$I$104</definedName>
    <definedName name="_xlnm.Print_Area" localSheetId="11">'KL chi tiết'!$A$1:$I$146</definedName>
    <definedName name="_xlnm.Print_Area" localSheetId="12">'KL theo HĐ'!$B$1:$I$104</definedName>
    <definedName name="_xlnm.Print_Area" localSheetId="5">KLGiam!$C$1:$K$148</definedName>
    <definedName name="_xlnm.Print_Area" localSheetId="6">'KLGiam (2)'!$C$1:$K$148</definedName>
    <definedName name="_xlnm.Print_Area" localSheetId="3">KLTang!$C$1:$K$72</definedName>
    <definedName name="_xlnm.Print_Area" localSheetId="4">'KLTang (2)'!$C$1:$K$26</definedName>
    <definedName name="_xlnm.Print_Area" localSheetId="2">NhapThua!$C$1:$J$33</definedName>
    <definedName name="_xlnm.Print_Area" localSheetId="13">QTVTA!$A$1:$M$48</definedName>
    <definedName name="_xlnm.Print_Area" localSheetId="1">QuyetToanKLA!$C$1:$S$52</definedName>
    <definedName name="_xlnm.Print_Area" localSheetId="7">THPS!$A$1:$G$31</definedName>
    <definedName name="_xlnm.Print_Titles" localSheetId="10">_a!$8:$9</definedName>
    <definedName name="_xlnm.Print_Titles" localSheetId="8">_chiTiet!$8:$9</definedName>
    <definedName name="_xlnm.Print_Titles" localSheetId="9">_klhd!$9:$10</definedName>
    <definedName name="_xlnm.Print_Titles" localSheetId="11">'KL chi tiết'!$8:$9</definedName>
    <definedName name="_xlnm.Print_Titles" localSheetId="12">'KL theo HĐ'!$9:$10</definedName>
    <definedName name="_xlnm.Print_Titles" localSheetId="5">KLGiam!$4:$5</definedName>
    <definedName name="_xlnm.Print_Titles" localSheetId="6">'KLGiam (2)'!$4:$5</definedName>
    <definedName name="_xlnm.Print_Titles" localSheetId="3">KLTang!$4:$5</definedName>
    <definedName name="_xlnm.Print_Titles" localSheetId="4">'KLTang (2)'!$4:$5</definedName>
    <definedName name="_xlnm.Print_Titles" localSheetId="2">NhapThua!$15:$15</definedName>
    <definedName name="_xlnm.Print_Titles" localSheetId="13">QTVTA!$8:$9</definedName>
    <definedName name="_xlnm.Print_Titles" localSheetId="1">QuyetToanKLA!$5:$6</definedName>
    <definedName name="rate">14000</definedName>
    <definedName name="SV" hidden="1">"7"</definedName>
    <definedName name="VAÄT_LIEÄU">"ATRAM"</definedName>
    <definedName name="VLK" hidden="1">"Vật liệu khác"</definedName>
    <definedName name="Vung" hidden="1">#REF!</definedName>
    <definedName name="wrn.chi._.tiÆt." hidden="1">{#N/A,#N/A,FALSE,"Chi tiÆt"}</definedName>
    <definedName name="XCCT">0.5</definedName>
    <definedName name="Z_4DE83ABE_A74B_4828_BDA1_9398B70F0243_.wvu.Cols" localSheetId="5" hidden="1">KLGiam!$I:$J</definedName>
    <definedName name="Z_4DE83ABE_A74B_4828_BDA1_9398B70F0243_.wvu.Cols" localSheetId="3" hidden="1">KLTang!$I:$J</definedName>
    <definedName name="Z_4DE83ABE_A74B_4828_BDA1_9398B70F0243_.wvu.Cols" localSheetId="1" hidden="1">QuyetToanKLA!$I:$J</definedName>
    <definedName name="Z_4DE83ABE_A74B_4828_BDA1_9398B70F0243_.wvu.FilterData" localSheetId="5" hidden="1">KLGiam!$A$5:$N$130</definedName>
    <definedName name="Z_4DE83ABE_A74B_4828_BDA1_9398B70F0243_.wvu.FilterData" localSheetId="6" hidden="1">'KLGiam (2)'!$A$5:$N$79</definedName>
    <definedName name="Z_4DE83ABE_A74B_4828_BDA1_9398B70F0243_.wvu.FilterData" localSheetId="3" hidden="1">KLTang!$A$5:$N$31</definedName>
    <definedName name="Z_4DE83ABE_A74B_4828_BDA1_9398B70F0243_.wvu.FilterData" localSheetId="4" hidden="1">'KLTang (2)'!$A$5:$N$8</definedName>
    <definedName name="Z_4DE83ABE_A74B_4828_BDA1_9398B70F0243_.wvu.FilterData" localSheetId="1" hidden="1">QuyetToanKLA!$C$6:$T$96</definedName>
    <definedName name="Z_4DE83ABE_A74B_4828_BDA1_9398B70F0243_.wvu.PrintArea" localSheetId="5" hidden="1">KLGiam!$C$1:$K$130</definedName>
    <definedName name="Z_4DE83ABE_A74B_4828_BDA1_9398B70F0243_.wvu.PrintArea" localSheetId="6" hidden="1">'KLGiam (2)'!$C$1:$K$79</definedName>
    <definedName name="Z_4DE83ABE_A74B_4828_BDA1_9398B70F0243_.wvu.PrintArea" localSheetId="3" hidden="1">KLTang!$C$1:$K$31</definedName>
    <definedName name="Z_4DE83ABE_A74B_4828_BDA1_9398B70F0243_.wvu.PrintArea" localSheetId="4" hidden="1">'KLTang (2)'!$C$1:$K$8</definedName>
    <definedName name="Z_4DE83ABE_A74B_4828_BDA1_9398B70F0243_.wvu.PrintArea" localSheetId="2" hidden="1">NhapThua!$C$1:$J$33</definedName>
    <definedName name="Z_4DE83ABE_A74B_4828_BDA1_9398B70F0243_.wvu.PrintArea" localSheetId="1" hidden="1">QuyetToanKLA!$C:$S</definedName>
    <definedName name="Z_4DE83ABE_A74B_4828_BDA1_9398B70F0243_.wvu.PrintArea" localSheetId="7" hidden="1">THPS!$A$1:$G$14</definedName>
    <definedName name="Z_4DE83ABE_A74B_4828_BDA1_9398B70F0243_.wvu.PrintTitles" localSheetId="5" hidden="1">KLGiam!$4:$5</definedName>
    <definedName name="Z_4DE83ABE_A74B_4828_BDA1_9398B70F0243_.wvu.PrintTitles" localSheetId="6" hidden="1">'KLGiam (2)'!$4:$5</definedName>
    <definedName name="Z_4DE83ABE_A74B_4828_BDA1_9398B70F0243_.wvu.PrintTitles" localSheetId="3" hidden="1">KLTang!$4:$5</definedName>
    <definedName name="Z_4DE83ABE_A74B_4828_BDA1_9398B70F0243_.wvu.PrintTitles" localSheetId="4" hidden="1">'KLTang (2)'!$4:$5</definedName>
    <definedName name="Z_4DE83ABE_A74B_4828_BDA1_9398B70F0243_.wvu.PrintTitles" localSheetId="2" hidden="1">NhapThua!$15:$15</definedName>
    <definedName name="Z_4DE83ABE_A74B_4828_BDA1_9398B70F0243_.wvu.PrintTitles" localSheetId="1" hidden="1">QuyetToanKLA!$5:$6</definedName>
    <definedName name="Z_4DE83ABE_A74B_4828_BDA1_9398B70F0243_.wvu.Rows" localSheetId="5" hidden="1">KLGiam!$29:$30,KLGiam!#REF!,KLGiam!#REF!</definedName>
    <definedName name="Z_4DE83ABE_A74B_4828_BDA1_9398B70F0243_.wvu.Rows" localSheetId="6" hidden="1">'KLGiam (2)'!$28:$29,'KLGiam (2)'!$64:$64,'KLGiam (2)'!#REF!,'KLGiam (2)'!#REF!</definedName>
    <definedName name="Z_4DE83ABE_A74B_4828_BDA1_9398B70F0243_.wvu.Rows" localSheetId="3" hidden="1">KLTang!$20:$31,KLTang!#REF!</definedName>
    <definedName name="Z_4DE83ABE_A74B_4828_BDA1_9398B70F0243_.wvu.Rows" localSheetId="4" hidden="1">'KLTang (2)'!#REF!</definedName>
    <definedName name="Z_AB55E406_8F51_45CA_93E6_D8A631ED7648_.wvu.Cols" localSheetId="5" hidden="1">KLGiam!$I:$J</definedName>
    <definedName name="Z_AB55E406_8F51_45CA_93E6_D8A631ED7648_.wvu.Cols" localSheetId="3" hidden="1">KLTang!$I:$J</definedName>
    <definedName name="Z_AB55E406_8F51_45CA_93E6_D8A631ED7648_.wvu.Cols" localSheetId="1" hidden="1">QuyetToanKLA!$I:$J</definedName>
    <definedName name="Z_AB55E406_8F51_45CA_93E6_D8A631ED7648_.wvu.FilterData" localSheetId="5" hidden="1">KLGiam!$A$5:$N$130</definedName>
    <definedName name="Z_AB55E406_8F51_45CA_93E6_D8A631ED7648_.wvu.FilterData" localSheetId="6" hidden="1">'KLGiam (2)'!$A$5:$N$79</definedName>
    <definedName name="Z_AB55E406_8F51_45CA_93E6_D8A631ED7648_.wvu.FilterData" localSheetId="3" hidden="1">KLTang!$A$5:$N$31</definedName>
    <definedName name="Z_AB55E406_8F51_45CA_93E6_D8A631ED7648_.wvu.FilterData" localSheetId="4" hidden="1">'KLTang (2)'!$A$5:$N$8</definedName>
    <definedName name="Z_AB55E406_8F51_45CA_93E6_D8A631ED7648_.wvu.FilterData" localSheetId="1" hidden="1">QuyetToanKLA!$C$6:$T$96</definedName>
    <definedName name="Z_AB55E406_8F51_45CA_93E6_D8A631ED7648_.wvu.PrintArea" localSheetId="5" hidden="1">KLGiam!$C$1:$K$130</definedName>
    <definedName name="Z_AB55E406_8F51_45CA_93E6_D8A631ED7648_.wvu.PrintArea" localSheetId="6" hidden="1">'KLGiam (2)'!$C$1:$K$79</definedName>
    <definedName name="Z_AB55E406_8F51_45CA_93E6_D8A631ED7648_.wvu.PrintArea" localSheetId="3" hidden="1">KLTang!$C$1:$K$31</definedName>
    <definedName name="Z_AB55E406_8F51_45CA_93E6_D8A631ED7648_.wvu.PrintArea" localSheetId="4" hidden="1">'KLTang (2)'!$C$1:$K$8</definedName>
    <definedName name="Z_AB55E406_8F51_45CA_93E6_D8A631ED7648_.wvu.PrintArea" localSheetId="2" hidden="1">NhapThua!$C$1:$J$33</definedName>
    <definedName name="Z_AB55E406_8F51_45CA_93E6_D8A631ED7648_.wvu.PrintArea" localSheetId="1" hidden="1">QuyetToanKLA!$C:$S</definedName>
    <definedName name="Z_AB55E406_8F51_45CA_93E6_D8A631ED7648_.wvu.PrintArea" localSheetId="7" hidden="1">THPS!$A$1:$G$14</definedName>
    <definedName name="Z_AB55E406_8F51_45CA_93E6_D8A631ED7648_.wvu.PrintTitles" localSheetId="5" hidden="1">KLGiam!$4:$5</definedName>
    <definedName name="Z_AB55E406_8F51_45CA_93E6_D8A631ED7648_.wvu.PrintTitles" localSheetId="6" hidden="1">'KLGiam (2)'!$4:$5</definedName>
    <definedName name="Z_AB55E406_8F51_45CA_93E6_D8A631ED7648_.wvu.PrintTitles" localSheetId="3" hidden="1">KLTang!$4:$5</definedName>
    <definedName name="Z_AB55E406_8F51_45CA_93E6_D8A631ED7648_.wvu.PrintTitles" localSheetId="4" hidden="1">'KLTang (2)'!$4:$5</definedName>
    <definedName name="Z_AB55E406_8F51_45CA_93E6_D8A631ED7648_.wvu.PrintTitles" localSheetId="2" hidden="1">NhapThua!$15:$15</definedName>
    <definedName name="Z_AB55E406_8F51_45CA_93E6_D8A631ED7648_.wvu.PrintTitles" localSheetId="1" hidden="1">QuyetToanKLA!$5:$6</definedName>
    <definedName name="Z_AB55E406_8F51_45CA_93E6_D8A631ED7648_.wvu.Rows" localSheetId="5" hidden="1">KLGiam!$29:$30,KLGiam!#REF!,KLGiam!#REF!</definedName>
    <definedName name="Z_AB55E406_8F51_45CA_93E6_D8A631ED7648_.wvu.Rows" localSheetId="6" hidden="1">'KLGiam (2)'!$28:$29,'KLGiam (2)'!$64:$64,'KLGiam (2)'!#REF!,'KLGiam (2)'!#REF!</definedName>
    <definedName name="Z_AB55E406_8F51_45CA_93E6_D8A631ED7648_.wvu.Rows" localSheetId="3" hidden="1">KLTang!$20:$31,KLTang!#REF!</definedName>
    <definedName name="Z_AB55E406_8F51_45CA_93E6_D8A631ED7648_.wvu.Rows" localSheetId="4" hidden="1">'KLTang (2)'!#REF!</definedName>
    <definedName name="Z_EC23512C_144C_45A4_B885_A0043F0F19E7_.wvu.Cols" localSheetId="5" hidden="1">KLGiam!$I:$J</definedName>
    <definedName name="Z_EC23512C_144C_45A4_B885_A0043F0F19E7_.wvu.Cols" localSheetId="3" hidden="1">KLTang!$I:$J</definedName>
    <definedName name="Z_EC23512C_144C_45A4_B885_A0043F0F19E7_.wvu.Cols" localSheetId="1" hidden="1">QuyetToanKLA!$I:$J</definedName>
    <definedName name="Z_EC23512C_144C_45A4_B885_A0043F0F19E7_.wvu.FilterData" localSheetId="5" hidden="1">KLGiam!$A$5:$N$130</definedName>
    <definedName name="Z_EC23512C_144C_45A4_B885_A0043F0F19E7_.wvu.FilterData" localSheetId="6" hidden="1">'KLGiam (2)'!$A$5:$N$79</definedName>
    <definedName name="Z_EC23512C_144C_45A4_B885_A0043F0F19E7_.wvu.FilterData" localSheetId="3" hidden="1">KLTang!$A$5:$N$31</definedName>
    <definedName name="Z_EC23512C_144C_45A4_B885_A0043F0F19E7_.wvu.FilterData" localSheetId="4" hidden="1">'KLTang (2)'!$A$5:$N$8</definedName>
    <definedName name="Z_EC23512C_144C_45A4_B885_A0043F0F19E7_.wvu.FilterData" localSheetId="1" hidden="1">QuyetToanKLA!$C$6:$T$96</definedName>
    <definedName name="Z_EC23512C_144C_45A4_B885_A0043F0F19E7_.wvu.PrintArea" localSheetId="5" hidden="1">KLGiam!$C$1:$K$130</definedName>
    <definedName name="Z_EC23512C_144C_45A4_B885_A0043F0F19E7_.wvu.PrintArea" localSheetId="6" hidden="1">'KLGiam (2)'!$C$1:$K$79</definedName>
    <definedName name="Z_EC23512C_144C_45A4_B885_A0043F0F19E7_.wvu.PrintArea" localSheetId="3" hidden="1">KLTang!$C$1:$K$31</definedName>
    <definedName name="Z_EC23512C_144C_45A4_B885_A0043F0F19E7_.wvu.PrintArea" localSheetId="4" hidden="1">'KLTang (2)'!$C$1:$K$8</definedName>
    <definedName name="Z_EC23512C_144C_45A4_B885_A0043F0F19E7_.wvu.PrintArea" localSheetId="2" hidden="1">NhapThua!$C$1:$J$33</definedName>
    <definedName name="Z_EC23512C_144C_45A4_B885_A0043F0F19E7_.wvu.PrintArea" localSheetId="1" hidden="1">QuyetToanKLA!$C:$S</definedName>
    <definedName name="Z_EC23512C_144C_45A4_B885_A0043F0F19E7_.wvu.PrintArea" localSheetId="7" hidden="1">THPS!$A$1:$G$14</definedName>
    <definedName name="Z_EC23512C_144C_45A4_B885_A0043F0F19E7_.wvu.PrintTitles" localSheetId="5" hidden="1">KLGiam!$4:$5</definedName>
    <definedName name="Z_EC23512C_144C_45A4_B885_A0043F0F19E7_.wvu.PrintTitles" localSheetId="6" hidden="1">'KLGiam (2)'!$4:$5</definedName>
    <definedName name="Z_EC23512C_144C_45A4_B885_A0043F0F19E7_.wvu.PrintTitles" localSheetId="3" hidden="1">KLTang!$4:$5</definedName>
    <definedName name="Z_EC23512C_144C_45A4_B885_A0043F0F19E7_.wvu.PrintTitles" localSheetId="4" hidden="1">'KLTang (2)'!$4:$5</definedName>
    <definedName name="Z_EC23512C_144C_45A4_B885_A0043F0F19E7_.wvu.PrintTitles" localSheetId="2" hidden="1">NhapThua!$15:$15</definedName>
    <definedName name="Z_EC23512C_144C_45A4_B885_A0043F0F19E7_.wvu.PrintTitles" localSheetId="1" hidden="1">QuyetToanKLA!$5:$6</definedName>
    <definedName name="Z_EC23512C_144C_45A4_B885_A0043F0F19E7_.wvu.Rows" localSheetId="5" hidden="1">KLGiam!$29:$30,KLGiam!#REF!,KLGiam!#REF!</definedName>
    <definedName name="Z_EC23512C_144C_45A4_B885_A0043F0F19E7_.wvu.Rows" localSheetId="6" hidden="1">'KLGiam (2)'!$28:$29,'KLGiam (2)'!$64:$64,'KLGiam (2)'!#REF!,'KLGiam (2)'!#REF!</definedName>
    <definedName name="Z_EC23512C_144C_45A4_B885_A0043F0F19E7_.wvu.Rows" localSheetId="3" hidden="1">KLTang!$20:$31,KLTang!#REF!</definedName>
    <definedName name="Z_EC23512C_144C_45A4_B885_A0043F0F19E7_.wvu.Rows" localSheetId="4" hidden="1">'KLTang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E17" i="6"/>
  <c r="F17" i="6"/>
  <c r="G17" i="6"/>
  <c r="D16" i="6"/>
  <c r="E16" i="6"/>
  <c r="F16" i="6"/>
  <c r="G16" i="6"/>
  <c r="D14" i="6"/>
  <c r="E14" i="6"/>
  <c r="F14" i="6"/>
  <c r="D15" i="6"/>
  <c r="E15" i="6"/>
  <c r="F15" i="6"/>
  <c r="D12" i="6"/>
  <c r="E12" i="6"/>
  <c r="F12" i="6"/>
  <c r="D13" i="6"/>
  <c r="E13" i="6"/>
  <c r="F13" i="6"/>
  <c r="D11" i="6"/>
  <c r="E11" i="6"/>
  <c r="F11" i="6"/>
  <c r="G11" i="6"/>
  <c r="D9" i="6"/>
  <c r="E9" i="6"/>
  <c r="F9" i="6"/>
  <c r="D10" i="6"/>
  <c r="E10" i="6"/>
  <c r="F10" i="6"/>
  <c r="D8" i="6"/>
  <c r="E8" i="6"/>
  <c r="F8" i="6"/>
  <c r="G8" i="6"/>
  <c r="D7" i="6"/>
  <c r="E7" i="6"/>
  <c r="F7" i="6"/>
  <c r="G7" i="6"/>
  <c r="K7" i="4"/>
  <c r="D7" i="4"/>
  <c r="D7" i="5" s="1"/>
  <c r="E7" i="4"/>
  <c r="E7" i="5" s="1"/>
  <c r="F7" i="4"/>
  <c r="F7" i="5" s="1"/>
  <c r="G7" i="4"/>
  <c r="G7" i="5" s="1"/>
  <c r="J120" i="16"/>
  <c r="J121" i="16"/>
  <c r="J122" i="16"/>
  <c r="J123" i="16"/>
  <c r="J124" i="16"/>
  <c r="J125" i="16"/>
  <c r="J126" i="16"/>
  <c r="J127" i="16"/>
  <c r="J128" i="16"/>
  <c r="J129" i="16"/>
  <c r="J130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L29" i="16" s="1"/>
  <c r="J30" i="16"/>
  <c r="J31" i="16"/>
  <c r="L31" i="16" s="1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1" i="16"/>
  <c r="K14" i="16"/>
  <c r="K15" i="16"/>
  <c r="K16" i="16"/>
  <c r="K17" i="16"/>
  <c r="K18" i="16"/>
  <c r="K20" i="16"/>
  <c r="K23" i="16"/>
  <c r="K24" i="16"/>
  <c r="K25" i="16"/>
  <c r="K26" i="16"/>
  <c r="K28" i="16"/>
  <c r="K29" i="16"/>
  <c r="K30" i="16"/>
  <c r="K31" i="16"/>
  <c r="K32" i="16"/>
  <c r="K33" i="16"/>
  <c r="K34" i="16"/>
  <c r="K36" i="16"/>
  <c r="K37" i="16"/>
  <c r="K38" i="16"/>
  <c r="K39" i="16"/>
  <c r="K40" i="16"/>
  <c r="K41" i="16"/>
  <c r="K43" i="16"/>
  <c r="K44" i="16"/>
  <c r="K45" i="16"/>
  <c r="K46" i="16"/>
  <c r="K47" i="16"/>
  <c r="K48" i="16"/>
  <c r="K49" i="16"/>
  <c r="K51" i="16"/>
  <c r="K52" i="16"/>
  <c r="K53" i="16"/>
  <c r="K54" i="16"/>
  <c r="K55" i="16"/>
  <c r="K57" i="16"/>
  <c r="K58" i="16"/>
  <c r="K60" i="16"/>
  <c r="K61" i="16"/>
  <c r="K63" i="16"/>
  <c r="K64" i="16"/>
  <c r="K65" i="16"/>
  <c r="K67" i="16"/>
  <c r="K68" i="16"/>
  <c r="K70" i="16"/>
  <c r="K71" i="16"/>
  <c r="K72" i="16"/>
  <c r="K74" i="16"/>
  <c r="K75" i="16"/>
  <c r="K76" i="16"/>
  <c r="K78" i="16"/>
  <c r="K79" i="16"/>
  <c r="K81" i="16"/>
  <c r="K82" i="16"/>
  <c r="K84" i="16"/>
  <c r="K85" i="16"/>
  <c r="K86" i="16"/>
  <c r="K88" i="16"/>
  <c r="K89" i="16"/>
  <c r="K90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A3" i="8"/>
  <c r="A2" i="8"/>
  <c r="C3" i="6"/>
  <c r="C2" i="6"/>
  <c r="C3" i="5"/>
  <c r="C2" i="5"/>
  <c r="H130" i="16" l="1"/>
  <c r="L130" i="16" s="1"/>
  <c r="H129" i="16"/>
  <c r="L129" i="16" s="1"/>
  <c r="H128" i="16"/>
  <c r="L128" i="16" s="1"/>
  <c r="G128" i="16"/>
  <c r="H127" i="16"/>
  <c r="L127" i="16" s="1"/>
  <c r="G126" i="16"/>
  <c r="H125" i="16"/>
  <c r="L125" i="16" s="1"/>
  <c r="G125" i="16"/>
  <c r="H124" i="16"/>
  <c r="L124" i="16" s="1"/>
  <c r="G123" i="16"/>
  <c r="H122" i="16"/>
  <c r="L122" i="16" s="1"/>
  <c r="G122" i="16"/>
  <c r="H121" i="16"/>
  <c r="L121" i="16" s="1"/>
  <c r="H120" i="16"/>
  <c r="L120" i="16" s="1"/>
  <c r="G120" i="16"/>
  <c r="H119" i="16"/>
  <c r="L119" i="16" s="1"/>
  <c r="G118" i="16"/>
  <c r="H117" i="16"/>
  <c r="L117" i="16" s="1"/>
  <c r="G117" i="16"/>
  <c r="F114" i="16"/>
  <c r="H114" i="16" s="1"/>
  <c r="L114" i="16" s="1"/>
  <c r="F113" i="16"/>
  <c r="G113" i="16" s="1"/>
  <c r="H112" i="16"/>
  <c r="L112" i="16" s="1"/>
  <c r="G112" i="16"/>
  <c r="F111" i="16"/>
  <c r="H111" i="16" s="1"/>
  <c r="L111" i="16" s="1"/>
  <c r="F110" i="16"/>
  <c r="G110" i="16" s="1"/>
  <c r="F109" i="16"/>
  <c r="H109" i="16" s="1"/>
  <c r="L109" i="16" s="1"/>
  <c r="H108" i="16"/>
  <c r="L108" i="16" s="1"/>
  <c r="H107" i="16"/>
  <c r="L107" i="16" s="1"/>
  <c r="H106" i="16"/>
  <c r="L106" i="16" s="1"/>
  <c r="G106" i="16"/>
  <c r="H105" i="16"/>
  <c r="L105" i="16" s="1"/>
  <c r="H104" i="16"/>
  <c r="L104" i="16" s="1"/>
  <c r="G104" i="16"/>
  <c r="H103" i="16"/>
  <c r="L103" i="16" s="1"/>
  <c r="G102" i="16"/>
  <c r="H101" i="16"/>
  <c r="L101" i="16" s="1"/>
  <c r="G101" i="16"/>
  <c r="H100" i="16"/>
  <c r="L100" i="16" s="1"/>
  <c r="G99" i="16"/>
  <c r="A99" i="16"/>
  <c r="H98" i="16"/>
  <c r="L98" i="16" s="1"/>
  <c r="G97" i="16"/>
  <c r="H96" i="16"/>
  <c r="L96" i="16" s="1"/>
  <c r="G96" i="16"/>
  <c r="A96" i="16"/>
  <c r="A97" i="16" s="1"/>
  <c r="G95" i="16"/>
  <c r="H94" i="16"/>
  <c r="L94" i="16" s="1"/>
  <c r="G94" i="16"/>
  <c r="H93" i="16"/>
  <c r="L93" i="16" s="1"/>
  <c r="H92" i="16"/>
  <c r="L92" i="16" s="1"/>
  <c r="H91" i="16"/>
  <c r="L91" i="16" s="1"/>
  <c r="G91" i="16"/>
  <c r="H90" i="16"/>
  <c r="L90" i="16" s="1"/>
  <c r="F89" i="16"/>
  <c r="H89" i="16" s="1"/>
  <c r="L89" i="16" s="1"/>
  <c r="H88" i="16"/>
  <c r="L88" i="16" s="1"/>
  <c r="G88" i="16"/>
  <c r="H87" i="16"/>
  <c r="L87" i="16" s="1"/>
  <c r="H86" i="16"/>
  <c r="L86" i="16" s="1"/>
  <c r="G86" i="16"/>
  <c r="H85" i="16"/>
  <c r="L85" i="16" s="1"/>
  <c r="G85" i="16"/>
  <c r="H84" i="16"/>
  <c r="L84" i="16" s="1"/>
  <c r="G83" i="16"/>
  <c r="F81" i="16"/>
  <c r="H81" i="16" s="1"/>
  <c r="L81" i="16" s="1"/>
  <c r="H80" i="16"/>
  <c r="L80" i="16" s="1"/>
  <c r="G80" i="16"/>
  <c r="F82" i="16"/>
  <c r="F78" i="16"/>
  <c r="G78" i="16" s="1"/>
  <c r="H77" i="16"/>
  <c r="L77" i="16" s="1"/>
  <c r="G77" i="16"/>
  <c r="F79" i="16"/>
  <c r="F75" i="16"/>
  <c r="F74" i="16"/>
  <c r="G14" i="6" s="1"/>
  <c r="F72" i="16"/>
  <c r="G72" i="16" s="1"/>
  <c r="F70" i="16"/>
  <c r="H69" i="16"/>
  <c r="L69" i="16" s="1"/>
  <c r="G69" i="16"/>
  <c r="F71" i="16"/>
  <c r="G13" i="6" s="1"/>
  <c r="F68" i="16"/>
  <c r="H68" i="16" s="1"/>
  <c r="L68" i="16" s="1"/>
  <c r="F67" i="16"/>
  <c r="H67" i="16" s="1"/>
  <c r="L67" i="16" s="1"/>
  <c r="H66" i="16"/>
  <c r="L66" i="16" s="1"/>
  <c r="G66" i="16"/>
  <c r="F64" i="16"/>
  <c r="H61" i="16"/>
  <c r="L61" i="16" s="1"/>
  <c r="G61" i="16"/>
  <c r="H60" i="16"/>
  <c r="L60" i="16" s="1"/>
  <c r="H59" i="16"/>
  <c r="L59" i="16" s="1"/>
  <c r="G59" i="16"/>
  <c r="F58" i="16"/>
  <c r="F54" i="16"/>
  <c r="G54" i="16" s="1"/>
  <c r="F53" i="16"/>
  <c r="H53" i="16" s="1"/>
  <c r="L53" i="16" s="1"/>
  <c r="F51" i="16"/>
  <c r="H51" i="16" s="1"/>
  <c r="L51" i="16" s="1"/>
  <c r="H50" i="16"/>
  <c r="L50" i="16" s="1"/>
  <c r="G50" i="16"/>
  <c r="F55" i="16"/>
  <c r="F49" i="16"/>
  <c r="H49" i="16" s="1"/>
  <c r="L49" i="16" s="1"/>
  <c r="F48" i="16"/>
  <c r="G48" i="16" s="1"/>
  <c r="F46" i="16"/>
  <c r="H46" i="16" s="1"/>
  <c r="L46" i="16" s="1"/>
  <c r="F45" i="16"/>
  <c r="H45" i="16" s="1"/>
  <c r="L45" i="16" s="1"/>
  <c r="F43" i="16"/>
  <c r="H43" i="16" s="1"/>
  <c r="L43" i="16" s="1"/>
  <c r="H42" i="16"/>
  <c r="L42" i="16" s="1"/>
  <c r="G42" i="16"/>
  <c r="F47" i="16"/>
  <c r="F40" i="16"/>
  <c r="H40" i="16" s="1"/>
  <c r="L40" i="16" s="1"/>
  <c r="F37" i="16"/>
  <c r="G10" i="6" s="1"/>
  <c r="H34" i="16"/>
  <c r="L34" i="16" s="1"/>
  <c r="G34" i="16"/>
  <c r="H32" i="16"/>
  <c r="L32" i="16" s="1"/>
  <c r="H30" i="16"/>
  <c r="L30" i="16" s="1"/>
  <c r="G30" i="16"/>
  <c r="H27" i="16"/>
  <c r="L27" i="16" s="1"/>
  <c r="G27" i="16"/>
  <c r="F26" i="16"/>
  <c r="G26" i="16" s="1"/>
  <c r="F25" i="16"/>
  <c r="H25" i="16" s="1"/>
  <c r="L25" i="16" s="1"/>
  <c r="F23" i="16"/>
  <c r="G23" i="16" s="1"/>
  <c r="H22" i="16"/>
  <c r="L22" i="16" s="1"/>
  <c r="G22" i="16"/>
  <c r="F24" i="16"/>
  <c r="H21" i="16"/>
  <c r="L21" i="16" s="1"/>
  <c r="G21" i="16"/>
  <c r="F20" i="16"/>
  <c r="H20" i="16" s="1"/>
  <c r="L20" i="16" s="1"/>
  <c r="H19" i="16"/>
  <c r="L19" i="16" s="1"/>
  <c r="G19" i="16"/>
  <c r="F18" i="16"/>
  <c r="H18" i="16" s="1"/>
  <c r="L18" i="16" s="1"/>
  <c r="F17" i="16"/>
  <c r="H17" i="16" s="1"/>
  <c r="L17" i="16" s="1"/>
  <c r="F16" i="16"/>
  <c r="H16" i="16" s="1"/>
  <c r="L16" i="16" s="1"/>
  <c r="F15" i="16"/>
  <c r="F115" i="16" s="1"/>
  <c r="F14" i="16"/>
  <c r="G14" i="16" s="1"/>
  <c r="H13" i="16"/>
  <c r="L13" i="16" s="1"/>
  <c r="G13" i="16"/>
  <c r="G12" i="16"/>
  <c r="H11" i="16"/>
  <c r="L11" i="16" s="1"/>
  <c r="G11" i="16"/>
  <c r="H10" i="16"/>
  <c r="G10" i="16"/>
  <c r="H75" i="16" l="1"/>
  <c r="L75" i="16" s="1"/>
  <c r="G15" i="6"/>
  <c r="H70" i="16"/>
  <c r="L70" i="16" s="1"/>
  <c r="G12" i="6"/>
  <c r="H72" i="16"/>
  <c r="L72" i="16" s="1"/>
  <c r="G109" i="16"/>
  <c r="G45" i="16"/>
  <c r="G53" i="16"/>
  <c r="H14" i="16"/>
  <c r="L14" i="16" s="1"/>
  <c r="G25" i="16"/>
  <c r="G16" i="16"/>
  <c r="H33" i="16"/>
  <c r="L33" i="16" s="1"/>
  <c r="G33" i="16"/>
  <c r="H79" i="16"/>
  <c r="L79" i="16" s="1"/>
  <c r="G79" i="16"/>
  <c r="H47" i="16"/>
  <c r="L47" i="16" s="1"/>
  <c r="G47" i="16"/>
  <c r="G64" i="16"/>
  <c r="H64" i="16"/>
  <c r="L64" i="16" s="1"/>
  <c r="H37" i="16"/>
  <c r="L37" i="16" s="1"/>
  <c r="G37" i="16"/>
  <c r="H71" i="16"/>
  <c r="L71" i="16" s="1"/>
  <c r="G71" i="16"/>
  <c r="H115" i="16"/>
  <c r="L115" i="16" s="1"/>
  <c r="G115" i="16"/>
  <c r="H55" i="16"/>
  <c r="L55" i="16" s="1"/>
  <c r="G55" i="16"/>
  <c r="G58" i="16"/>
  <c r="H58" i="16"/>
  <c r="L58" i="16" s="1"/>
  <c r="H24" i="16"/>
  <c r="L24" i="16" s="1"/>
  <c r="G24" i="16"/>
  <c r="H82" i="16"/>
  <c r="L82" i="16" s="1"/>
  <c r="G82" i="16"/>
  <c r="H74" i="16"/>
  <c r="L74" i="16" s="1"/>
  <c r="G74" i="16"/>
  <c r="G92" i="16"/>
  <c r="G70" i="16"/>
  <c r="H83" i="16"/>
  <c r="L83" i="16" s="1"/>
  <c r="H99" i="16"/>
  <c r="L99" i="16" s="1"/>
  <c r="H12" i="16"/>
  <c r="L12" i="16" s="1"/>
  <c r="H23" i="16"/>
  <c r="L23" i="16" s="1"/>
  <c r="H35" i="16"/>
  <c r="L35" i="16" s="1"/>
  <c r="F41" i="16"/>
  <c r="G46" i="16"/>
  <c r="F57" i="16"/>
  <c r="G73" i="16"/>
  <c r="G81" i="16"/>
  <c r="G87" i="16"/>
  <c r="H95" i="16"/>
  <c r="L95" i="16" s="1"/>
  <c r="H97" i="16"/>
  <c r="L97" i="16" s="1"/>
  <c r="H102" i="16"/>
  <c r="L102" i="16" s="1"/>
  <c r="G105" i="16"/>
  <c r="H110" i="16"/>
  <c r="L110" i="16" s="1"/>
  <c r="H113" i="16"/>
  <c r="L113" i="16" s="1"/>
  <c r="G121" i="16"/>
  <c r="H126" i="16"/>
  <c r="L126" i="16" s="1"/>
  <c r="G129" i="16"/>
  <c r="G17" i="16"/>
  <c r="G28" i="16"/>
  <c r="G67" i="16"/>
  <c r="G75" i="16"/>
  <c r="G20" i="16"/>
  <c r="H28" i="16"/>
  <c r="L28" i="16" s="1"/>
  <c r="G35" i="16"/>
  <c r="G43" i="16"/>
  <c r="F65" i="16"/>
  <c r="F116" i="16"/>
  <c r="H118" i="16"/>
  <c r="L118" i="16" s="1"/>
  <c r="H123" i="16"/>
  <c r="L123" i="16" s="1"/>
  <c r="G15" i="16"/>
  <c r="F76" i="16"/>
  <c r="H15" i="16"/>
  <c r="L15" i="16" s="1"/>
  <c r="G18" i="16"/>
  <c r="H26" i="16"/>
  <c r="L26" i="16" s="1"/>
  <c r="F36" i="16"/>
  <c r="G9" i="6" s="1"/>
  <c r="F44" i="16"/>
  <c r="G49" i="16"/>
  <c r="F52" i="16"/>
  <c r="H54" i="16"/>
  <c r="L54" i="16" s="1"/>
  <c r="G60" i="16"/>
  <c r="F63" i="16"/>
  <c r="G68" i="16"/>
  <c r="H73" i="16"/>
  <c r="L73" i="16" s="1"/>
  <c r="G84" i="16"/>
  <c r="G90" i="16"/>
  <c r="G93" i="16"/>
  <c r="G100" i="16"/>
  <c r="G108" i="16"/>
  <c r="G119" i="16"/>
  <c r="G124" i="16"/>
  <c r="G89" i="16"/>
  <c r="F38" i="16"/>
  <c r="G51" i="16"/>
  <c r="G62" i="16"/>
  <c r="H62" i="16"/>
  <c r="L62" i="16" s="1"/>
  <c r="H78" i="16"/>
  <c r="L78" i="16" s="1"/>
  <c r="F39" i="16"/>
  <c r="G98" i="16"/>
  <c r="G103" i="16"/>
  <c r="G111" i="16"/>
  <c r="G114" i="16"/>
  <c r="G127" i="16"/>
  <c r="G32" i="16"/>
  <c r="G40" i="16"/>
  <c r="G56" i="16"/>
  <c r="G107" i="16"/>
  <c r="H48" i="16"/>
  <c r="L48" i="16" s="1"/>
  <c r="H56" i="16"/>
  <c r="L56" i="16" s="1"/>
  <c r="G130" i="16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12" i="15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" i="12"/>
  <c r="K13" i="15"/>
  <c r="K14" i="15"/>
  <c r="K15" i="15"/>
  <c r="K16" i="15"/>
  <c r="K17" i="15"/>
  <c r="K18" i="15"/>
  <c r="K19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12" i="15"/>
  <c r="E21" i="3"/>
  <c r="E20" i="3"/>
  <c r="E18" i="3"/>
  <c r="E19" i="3"/>
  <c r="E16" i="3"/>
  <c r="E17" i="3"/>
  <c r="D21" i="3"/>
  <c r="D20" i="3"/>
  <c r="D18" i="3"/>
  <c r="D19" i="3"/>
  <c r="D16" i="3"/>
  <c r="D17" i="3"/>
  <c r="I32" i="13"/>
  <c r="J32" i="13" s="1"/>
  <c r="I31" i="13"/>
  <c r="J31" i="13" s="1"/>
  <c r="J29" i="13"/>
  <c r="I28" i="13"/>
  <c r="J28" i="13" s="1"/>
  <c r="I27" i="13"/>
  <c r="J27" i="13" s="1"/>
  <c r="I26" i="13"/>
  <c r="J26" i="13" s="1"/>
  <c r="J24" i="13"/>
  <c r="I24" i="13"/>
  <c r="I23" i="13"/>
  <c r="J23" i="13" s="1"/>
  <c r="I22" i="13"/>
  <c r="J22" i="13" s="1"/>
  <c r="J20" i="13"/>
  <c r="I19" i="13"/>
  <c r="J19" i="13" s="1"/>
  <c r="I17" i="13"/>
  <c r="I18" i="13" s="1"/>
  <c r="J18" i="13" s="1"/>
  <c r="I16" i="13"/>
  <c r="J16" i="13" s="1"/>
  <c r="I15" i="13"/>
  <c r="H15" i="13"/>
  <c r="J14" i="13"/>
  <c r="I13" i="13"/>
  <c r="J13" i="13" s="1"/>
  <c r="I11" i="13"/>
  <c r="J11" i="13" s="1"/>
  <c r="N11" i="13"/>
  <c r="I10" i="13"/>
  <c r="J10" i="13" s="1"/>
  <c r="G81" i="12"/>
  <c r="F80" i="12"/>
  <c r="G80" i="12" s="1"/>
  <c r="G79" i="12"/>
  <c r="G78" i="12"/>
  <c r="F78" i="12"/>
  <c r="G77" i="12"/>
  <c r="G76" i="12"/>
  <c r="F76" i="12"/>
  <c r="G75" i="12"/>
  <c r="F74" i="12"/>
  <c r="G74" i="12" s="1"/>
  <c r="G73" i="12"/>
  <c r="F72" i="12"/>
  <c r="G72" i="12" s="1"/>
  <c r="G71" i="12"/>
  <c r="G70" i="12"/>
  <c r="F69" i="12"/>
  <c r="G69" i="12" s="1"/>
  <c r="G68" i="12"/>
  <c r="G67" i="12"/>
  <c r="G66" i="12"/>
  <c r="G65" i="12"/>
  <c r="G64" i="12"/>
  <c r="G62" i="12"/>
  <c r="G61" i="12"/>
  <c r="F60" i="12"/>
  <c r="G60" i="12" s="1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F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4" i="12" s="1"/>
  <c r="G8" i="12"/>
  <c r="H116" i="16" l="1"/>
  <c r="L116" i="16" s="1"/>
  <c r="G116" i="16"/>
  <c r="H63" i="16"/>
  <c r="L63" i="16" s="1"/>
  <c r="G63" i="16"/>
  <c r="H41" i="16"/>
  <c r="L41" i="16" s="1"/>
  <c r="G41" i="16"/>
  <c r="H52" i="16"/>
  <c r="L52" i="16" s="1"/>
  <c r="G52" i="16"/>
  <c r="H36" i="16"/>
  <c r="L36" i="16" s="1"/>
  <c r="G36" i="16"/>
  <c r="H57" i="16"/>
  <c r="L57" i="16" s="1"/>
  <c r="G57" i="16"/>
  <c r="H65" i="16"/>
  <c r="L65" i="16" s="1"/>
  <c r="G65" i="16"/>
  <c r="H39" i="16"/>
  <c r="L39" i="16" s="1"/>
  <c r="G39" i="16"/>
  <c r="H76" i="16"/>
  <c r="L76" i="16" s="1"/>
  <c r="G76" i="16"/>
  <c r="G38" i="16"/>
  <c r="H38" i="16"/>
  <c r="L38" i="16" s="1"/>
  <c r="H44" i="16"/>
  <c r="L44" i="16" s="1"/>
  <c r="G44" i="16"/>
  <c r="J17" i="13"/>
  <c r="J15" i="13"/>
  <c r="J29" i="11" l="1"/>
  <c r="J20" i="11"/>
  <c r="I17" i="11"/>
  <c r="J17" i="11" s="1"/>
  <c r="H15" i="11"/>
  <c r="J14" i="11"/>
  <c r="N11" i="11"/>
  <c r="F71" i="10"/>
  <c r="H71" i="10" s="1"/>
  <c r="F70" i="10"/>
  <c r="G70" i="10" s="1"/>
  <c r="F69" i="10"/>
  <c r="G69" i="10" s="1"/>
  <c r="F57" i="10"/>
  <c r="F51" i="10"/>
  <c r="G51" i="10" s="1"/>
  <c r="F49" i="10"/>
  <c r="F43" i="10"/>
  <c r="G43" i="10" s="1"/>
  <c r="H31" i="10"/>
  <c r="G31" i="10"/>
  <c r="F27" i="10"/>
  <c r="H130" i="9"/>
  <c r="G130" i="9"/>
  <c r="F87" i="10"/>
  <c r="F85" i="10"/>
  <c r="G127" i="9"/>
  <c r="H126" i="9"/>
  <c r="G126" i="9"/>
  <c r="F83" i="10"/>
  <c r="H125" i="9"/>
  <c r="G125" i="9"/>
  <c r="H124" i="9"/>
  <c r="H122" i="9"/>
  <c r="J120" i="9"/>
  <c r="G120" i="9"/>
  <c r="H119" i="9"/>
  <c r="H118" i="9"/>
  <c r="F74" i="10"/>
  <c r="F114" i="9"/>
  <c r="G114" i="9" s="1"/>
  <c r="F113" i="9"/>
  <c r="G113" i="9" s="1"/>
  <c r="H112" i="9"/>
  <c r="G112" i="9"/>
  <c r="H111" i="9"/>
  <c r="F111" i="9"/>
  <c r="G111" i="9" s="1"/>
  <c r="F110" i="9"/>
  <c r="F66" i="10" s="1"/>
  <c r="F109" i="9"/>
  <c r="G109" i="9" s="1"/>
  <c r="H108" i="9"/>
  <c r="F64" i="10"/>
  <c r="F48" i="10"/>
  <c r="G103" i="9"/>
  <c r="H102" i="9"/>
  <c r="G101" i="9"/>
  <c r="H100" i="9"/>
  <c r="A99" i="9"/>
  <c r="G98" i="9"/>
  <c r="F50" i="10"/>
  <c r="A97" i="9"/>
  <c r="H96" i="9"/>
  <c r="G96" i="9"/>
  <c r="A96" i="9"/>
  <c r="F15" i="10"/>
  <c r="H15" i="10" s="1"/>
  <c r="H94" i="9"/>
  <c r="G94" i="9"/>
  <c r="F56" i="10"/>
  <c r="G92" i="9"/>
  <c r="H91" i="9"/>
  <c r="G91" i="9"/>
  <c r="H90" i="9"/>
  <c r="H88" i="9"/>
  <c r="G88" i="9"/>
  <c r="F89" i="9"/>
  <c r="H86" i="9"/>
  <c r="G86" i="9"/>
  <c r="H85" i="9"/>
  <c r="G85" i="9"/>
  <c r="H84" i="9"/>
  <c r="G83" i="9"/>
  <c r="G82" i="9"/>
  <c r="F81" i="9"/>
  <c r="F82" i="9"/>
  <c r="H82" i="9" s="1"/>
  <c r="F75" i="9"/>
  <c r="H75" i="9" s="1"/>
  <c r="H69" i="9"/>
  <c r="F68" i="9"/>
  <c r="F42" i="10" s="1"/>
  <c r="F64" i="9"/>
  <c r="G61" i="9"/>
  <c r="H59" i="9"/>
  <c r="G59" i="9"/>
  <c r="G56" i="9"/>
  <c r="F54" i="9"/>
  <c r="F49" i="9"/>
  <c r="F46" i="9"/>
  <c r="F38" i="9"/>
  <c r="F28" i="10"/>
  <c r="G30" i="9"/>
  <c r="F20" i="10"/>
  <c r="H27" i="9"/>
  <c r="F26" i="9"/>
  <c r="H21" i="9"/>
  <c r="G21" i="9"/>
  <c r="H19" i="9"/>
  <c r="F18" i="9"/>
  <c r="F17" i="9"/>
  <c r="H17" i="9" s="1"/>
  <c r="F16" i="9"/>
  <c r="H16" i="9" s="1"/>
  <c r="F15" i="9"/>
  <c r="G15" i="9" s="1"/>
  <c r="F14" i="9"/>
  <c r="F16" i="10" s="1"/>
  <c r="G13" i="9"/>
  <c r="G12" i="9"/>
  <c r="H11" i="9"/>
  <c r="G11" i="9"/>
  <c r="H10" i="9"/>
  <c r="G10" i="9"/>
  <c r="F25" i="10" l="1"/>
  <c r="G64" i="9"/>
  <c r="G35" i="9"/>
  <c r="H61" i="9"/>
  <c r="F65" i="9"/>
  <c r="H103" i="9"/>
  <c r="G117" i="9"/>
  <c r="H43" i="10"/>
  <c r="H70" i="10"/>
  <c r="H12" i="9"/>
  <c r="G16" i="9"/>
  <c r="H30" i="9"/>
  <c r="F36" i="9"/>
  <c r="F40" i="9"/>
  <c r="H40" i="9" s="1"/>
  <c r="H56" i="9"/>
  <c r="G62" i="9"/>
  <c r="G66" i="9"/>
  <c r="F76" i="10"/>
  <c r="H117" i="9"/>
  <c r="F58" i="9"/>
  <c r="H62" i="9"/>
  <c r="H66" i="9"/>
  <c r="G95" i="9"/>
  <c r="G97" i="9"/>
  <c r="H101" i="9"/>
  <c r="F14" i="10"/>
  <c r="F32" i="10"/>
  <c r="H51" i="10"/>
  <c r="F79" i="10"/>
  <c r="H79" i="10" s="1"/>
  <c r="G110" i="9"/>
  <c r="H113" i="9"/>
  <c r="H127" i="9"/>
  <c r="F84" i="10"/>
  <c r="H84" i="10" s="1"/>
  <c r="F39" i="9"/>
  <c r="H35" i="9"/>
  <c r="G104" i="9"/>
  <c r="H109" i="9"/>
  <c r="G122" i="9"/>
  <c r="G27" i="9"/>
  <c r="G102" i="9"/>
  <c r="G106" i="9"/>
  <c r="H110" i="9"/>
  <c r="F26" i="10"/>
  <c r="H26" i="10" s="1"/>
  <c r="F33" i="10"/>
  <c r="H33" i="10" s="1"/>
  <c r="F65" i="10"/>
  <c r="H13" i="9"/>
  <c r="F37" i="9"/>
  <c r="G37" i="9" s="1"/>
  <c r="F41" i="9"/>
  <c r="F63" i="9"/>
  <c r="F67" i="9"/>
  <c r="H67" i="9" s="1"/>
  <c r="H95" i="9"/>
  <c r="H97" i="9"/>
  <c r="G14" i="9"/>
  <c r="G80" i="9"/>
  <c r="H98" i="9"/>
  <c r="H106" i="9"/>
  <c r="H114" i="9"/>
  <c r="H120" i="9"/>
  <c r="G128" i="9"/>
  <c r="H54" i="9"/>
  <c r="G54" i="9"/>
  <c r="G89" i="9"/>
  <c r="F59" i="10"/>
  <c r="H89" i="9"/>
  <c r="H26" i="9"/>
  <c r="F39" i="10"/>
  <c r="G26" i="9"/>
  <c r="H49" i="9"/>
  <c r="G49" i="9"/>
  <c r="H66" i="10"/>
  <c r="G66" i="10"/>
  <c r="H38" i="9"/>
  <c r="F45" i="9"/>
  <c r="G42" i="9"/>
  <c r="F47" i="9"/>
  <c r="F44" i="9"/>
  <c r="F43" i="9"/>
  <c r="G58" i="9"/>
  <c r="F60" i="10"/>
  <c r="G38" i="9"/>
  <c r="F48" i="9"/>
  <c r="H58" i="9"/>
  <c r="F44" i="10"/>
  <c r="G99" i="9"/>
  <c r="F63" i="10"/>
  <c r="G107" i="9"/>
  <c r="F80" i="10"/>
  <c r="G123" i="9"/>
  <c r="F12" i="10"/>
  <c r="H16" i="10"/>
  <c r="G16" i="10"/>
  <c r="F25" i="9"/>
  <c r="G22" i="9"/>
  <c r="F24" i="9"/>
  <c r="F23" i="9"/>
  <c r="F34" i="10"/>
  <c r="H46" i="9"/>
  <c r="G65" i="9"/>
  <c r="H65" i="9"/>
  <c r="G77" i="9"/>
  <c r="F79" i="9"/>
  <c r="F78" i="9"/>
  <c r="H56" i="10"/>
  <c r="G56" i="10"/>
  <c r="I16" i="11"/>
  <c r="J16" i="11" s="1"/>
  <c r="H42" i="9"/>
  <c r="F61" i="10"/>
  <c r="G17" i="9"/>
  <c r="F54" i="10"/>
  <c r="G67" i="9"/>
  <c r="F74" i="9"/>
  <c r="F76" i="9"/>
  <c r="G73" i="9"/>
  <c r="H73" i="9"/>
  <c r="H99" i="9"/>
  <c r="H107" i="9"/>
  <c r="H123" i="9"/>
  <c r="H48" i="10"/>
  <c r="G48" i="10"/>
  <c r="H85" i="10"/>
  <c r="G85" i="10"/>
  <c r="H57" i="10"/>
  <c r="G57" i="10"/>
  <c r="H50" i="10"/>
  <c r="G50" i="10"/>
  <c r="F53" i="10"/>
  <c r="H18" i="9"/>
  <c r="G18" i="9"/>
  <c r="H22" i="9"/>
  <c r="F38" i="10"/>
  <c r="G32" i="9"/>
  <c r="F53" i="9"/>
  <c r="G50" i="9"/>
  <c r="F55" i="9"/>
  <c r="F52" i="9"/>
  <c r="F51" i="9"/>
  <c r="H60" i="9"/>
  <c r="G60" i="9"/>
  <c r="H42" i="10"/>
  <c r="G42" i="10"/>
  <c r="F17" i="10"/>
  <c r="G75" i="9"/>
  <c r="G81" i="9"/>
  <c r="H81" i="9"/>
  <c r="H74" i="10"/>
  <c r="G74" i="10"/>
  <c r="I28" i="11"/>
  <c r="J28" i="11" s="1"/>
  <c r="G26" i="10"/>
  <c r="H25" i="10"/>
  <c r="G25" i="10"/>
  <c r="I27" i="11"/>
  <c r="J27" i="11" s="1"/>
  <c r="F115" i="9"/>
  <c r="H15" i="9"/>
  <c r="F46" i="10"/>
  <c r="G19" i="9"/>
  <c r="F20" i="9"/>
  <c r="H32" i="9"/>
  <c r="F68" i="10"/>
  <c r="G40" i="9"/>
  <c r="H50" i="9"/>
  <c r="F72" i="9"/>
  <c r="G69" i="9"/>
  <c r="F71" i="9"/>
  <c r="F70" i="9"/>
  <c r="G87" i="9"/>
  <c r="H87" i="9"/>
  <c r="G105" i="9"/>
  <c r="F47" i="10"/>
  <c r="H105" i="9"/>
  <c r="G121" i="9"/>
  <c r="H121" i="9"/>
  <c r="F78" i="10"/>
  <c r="G129" i="9"/>
  <c r="H129" i="9"/>
  <c r="F86" i="10"/>
  <c r="G15" i="10"/>
  <c r="G33" i="10"/>
  <c r="G76" i="10"/>
  <c r="H76" i="10"/>
  <c r="F19" i="10"/>
  <c r="G28" i="9"/>
  <c r="H83" i="10"/>
  <c r="G83" i="10"/>
  <c r="H65" i="10"/>
  <c r="G65" i="10"/>
  <c r="H64" i="10"/>
  <c r="G64" i="10"/>
  <c r="H87" i="10"/>
  <c r="G87" i="10"/>
  <c r="H27" i="10"/>
  <c r="F55" i="10"/>
  <c r="H28" i="9"/>
  <c r="F58" i="10"/>
  <c r="H41" i="9"/>
  <c r="G41" i="9"/>
  <c r="G46" i="9"/>
  <c r="F57" i="9"/>
  <c r="H77" i="9"/>
  <c r="H83" i="9"/>
  <c r="H92" i="9"/>
  <c r="F75" i="10"/>
  <c r="G118" i="9"/>
  <c r="H49" i="10"/>
  <c r="G49" i="10"/>
  <c r="I15" i="11"/>
  <c r="J15" i="11" s="1"/>
  <c r="H14" i="9"/>
  <c r="H37" i="9"/>
  <c r="H64" i="9"/>
  <c r="H80" i="9"/>
  <c r="H104" i="9"/>
  <c r="H128" i="9"/>
  <c r="F62" i="10"/>
  <c r="F81" i="10"/>
  <c r="G84" i="9"/>
  <c r="G90" i="9"/>
  <c r="G93" i="9"/>
  <c r="G100" i="9"/>
  <c r="G108" i="9"/>
  <c r="G119" i="9"/>
  <c r="G124" i="9"/>
  <c r="F22" i="10"/>
  <c r="G27" i="10"/>
  <c r="G71" i="10"/>
  <c r="G79" i="10"/>
  <c r="F82" i="10"/>
  <c r="I13" i="11"/>
  <c r="J13" i="11" s="1"/>
  <c r="G68" i="9"/>
  <c r="H68" i="9"/>
  <c r="H93" i="9"/>
  <c r="F77" i="10"/>
  <c r="F45" i="10"/>
  <c r="G84" i="10" l="1"/>
  <c r="G34" i="9"/>
  <c r="F35" i="10"/>
  <c r="H34" i="9"/>
  <c r="G36" i="9"/>
  <c r="H36" i="9"/>
  <c r="G63" i="9"/>
  <c r="H63" i="9"/>
  <c r="F30" i="10"/>
  <c r="H32" i="10"/>
  <c r="G32" i="10"/>
  <c r="H39" i="9"/>
  <c r="G39" i="9"/>
  <c r="G14" i="10"/>
  <c r="H14" i="10"/>
  <c r="H75" i="10"/>
  <c r="G75" i="10"/>
  <c r="H58" i="10"/>
  <c r="G58" i="10"/>
  <c r="G71" i="9"/>
  <c r="H71" i="9"/>
  <c r="G61" i="10"/>
  <c r="H61" i="10"/>
  <c r="F40" i="10"/>
  <c r="H25" i="9"/>
  <c r="G25" i="9"/>
  <c r="H45" i="9"/>
  <c r="G45" i="9"/>
  <c r="H39" i="10"/>
  <c r="G39" i="10"/>
  <c r="H38" i="10"/>
  <c r="G38" i="10"/>
  <c r="H63" i="10"/>
  <c r="G63" i="10"/>
  <c r="F52" i="10"/>
  <c r="H70" i="9"/>
  <c r="G70" i="9"/>
  <c r="F24" i="10"/>
  <c r="H46" i="10"/>
  <c r="G46" i="10"/>
  <c r="H77" i="10"/>
  <c r="G77" i="10"/>
  <c r="H55" i="10"/>
  <c r="G55" i="10"/>
  <c r="H72" i="9"/>
  <c r="G72" i="9"/>
  <c r="H60" i="10"/>
  <c r="G60" i="10"/>
  <c r="G78" i="10"/>
  <c r="H78" i="10"/>
  <c r="H53" i="9"/>
  <c r="G53" i="9"/>
  <c r="H47" i="10"/>
  <c r="G47" i="10"/>
  <c r="F72" i="10"/>
  <c r="H115" i="9"/>
  <c r="G115" i="9"/>
  <c r="H51" i="9"/>
  <c r="G51" i="9"/>
  <c r="F37" i="10"/>
  <c r="H76" i="9"/>
  <c r="G76" i="9"/>
  <c r="H34" i="10"/>
  <c r="G34" i="10"/>
  <c r="H44" i="10"/>
  <c r="G44" i="10"/>
  <c r="G59" i="10"/>
  <c r="H59" i="10"/>
  <c r="H82" i="10"/>
  <c r="G82" i="10"/>
  <c r="F29" i="10"/>
  <c r="G20" i="9"/>
  <c r="F116" i="9"/>
  <c r="H20" i="9"/>
  <c r="I23" i="11"/>
  <c r="J23" i="11" s="1"/>
  <c r="H22" i="10"/>
  <c r="G22" i="10"/>
  <c r="H62" i="10"/>
  <c r="G62" i="10"/>
  <c r="H57" i="9"/>
  <c r="G57" i="9"/>
  <c r="F67" i="10"/>
  <c r="H33" i="9"/>
  <c r="G33" i="9"/>
  <c r="F36" i="10"/>
  <c r="G86" i="10"/>
  <c r="H86" i="10"/>
  <c r="G52" i="9"/>
  <c r="H52" i="9"/>
  <c r="H74" i="9"/>
  <c r="G74" i="9"/>
  <c r="F23" i="10"/>
  <c r="F13" i="10"/>
  <c r="G43" i="9"/>
  <c r="H43" i="9"/>
  <c r="G80" i="10"/>
  <c r="H80" i="10"/>
  <c r="H81" i="10"/>
  <c r="G81" i="10"/>
  <c r="H68" i="10"/>
  <c r="G68" i="10"/>
  <c r="H55" i="9"/>
  <c r="G55" i="9"/>
  <c r="G53" i="10"/>
  <c r="H53" i="10"/>
  <c r="H78" i="9"/>
  <c r="G78" i="9"/>
  <c r="F21" i="10"/>
  <c r="G23" i="9"/>
  <c r="H23" i="9"/>
  <c r="I10" i="11"/>
  <c r="J10" i="11" s="1"/>
  <c r="G12" i="10"/>
  <c r="H12" i="10"/>
  <c r="G48" i="9"/>
  <c r="H48" i="9"/>
  <c r="G44" i="9"/>
  <c r="H44" i="9"/>
  <c r="G45" i="10"/>
  <c r="H45" i="10"/>
  <c r="H19" i="10"/>
  <c r="G19" i="10"/>
  <c r="I18" i="11"/>
  <c r="J18" i="11" s="1"/>
  <c r="H17" i="10"/>
  <c r="G17" i="10"/>
  <c r="H54" i="10"/>
  <c r="G54" i="10"/>
  <c r="G79" i="9"/>
  <c r="H79" i="9"/>
  <c r="G24" i="9"/>
  <c r="F18" i="10"/>
  <c r="H24" i="9"/>
  <c r="H47" i="9"/>
  <c r="F41" i="10"/>
  <c r="G47" i="9"/>
  <c r="G35" i="10" l="1"/>
  <c r="H35" i="10"/>
  <c r="I32" i="11"/>
  <c r="J32" i="11" s="1"/>
  <c r="H30" i="10"/>
  <c r="G30" i="10"/>
  <c r="G72" i="10"/>
  <c r="H72" i="10"/>
  <c r="H24" i="10"/>
  <c r="G24" i="10"/>
  <c r="I26" i="11"/>
  <c r="J26" i="11" s="1"/>
  <c r="H36" i="10"/>
  <c r="G36" i="10"/>
  <c r="H13" i="10"/>
  <c r="G13" i="10"/>
  <c r="I11" i="11"/>
  <c r="J11" i="11" s="1"/>
  <c r="G37" i="10"/>
  <c r="H37" i="10"/>
  <c r="I24" i="11"/>
  <c r="J24" i="11" s="1"/>
  <c r="H23" i="10"/>
  <c r="G23" i="10"/>
  <c r="H52" i="10"/>
  <c r="G52" i="10"/>
  <c r="H41" i="10"/>
  <c r="G41" i="10"/>
  <c r="H18" i="10"/>
  <c r="G18" i="10"/>
  <c r="I19" i="11"/>
  <c r="J19" i="11" s="1"/>
  <c r="I22" i="11"/>
  <c r="J22" i="11" s="1"/>
  <c r="H21" i="10"/>
  <c r="G21" i="10"/>
  <c r="G67" i="10"/>
  <c r="H67" i="10"/>
  <c r="G116" i="9"/>
  <c r="H116" i="9"/>
  <c r="F73" i="10"/>
  <c r="I31" i="11"/>
  <c r="J31" i="11" s="1"/>
  <c r="H29" i="10"/>
  <c r="G29" i="10"/>
  <c r="H40" i="10"/>
  <c r="G40" i="10"/>
  <c r="H73" i="10" l="1"/>
  <c r="G73" i="10"/>
  <c r="I11" i="8" l="1"/>
  <c r="I12" i="8" s="1"/>
  <c r="H130" i="7"/>
  <c r="B130" i="7"/>
  <c r="I130" i="7" s="1"/>
  <c r="B129" i="7"/>
  <c r="I128" i="7"/>
  <c r="B128" i="7"/>
  <c r="H128" i="7" s="1"/>
  <c r="M128" i="7" s="1"/>
  <c r="H127" i="7"/>
  <c r="B127" i="7"/>
  <c r="B126" i="7"/>
  <c r="I125" i="7"/>
  <c r="H125" i="7"/>
  <c r="B125" i="7"/>
  <c r="I124" i="7"/>
  <c r="B124" i="7"/>
  <c r="H124" i="7" s="1"/>
  <c r="B123" i="7"/>
  <c r="B122" i="7"/>
  <c r="B121" i="7"/>
  <c r="I120" i="7"/>
  <c r="H120" i="7"/>
  <c r="B120" i="7"/>
  <c r="H119" i="7"/>
  <c r="B119" i="7"/>
  <c r="B118" i="7"/>
  <c r="I117" i="7"/>
  <c r="B117" i="7"/>
  <c r="H116" i="7"/>
  <c r="B116" i="7"/>
  <c r="I116" i="7" s="1"/>
  <c r="B115" i="7"/>
  <c r="B114" i="7"/>
  <c r="I113" i="7"/>
  <c r="H113" i="7"/>
  <c r="B113" i="7"/>
  <c r="H112" i="7"/>
  <c r="B112" i="7"/>
  <c r="I111" i="7"/>
  <c r="B111" i="7"/>
  <c r="I110" i="7"/>
  <c r="B110" i="7"/>
  <c r="I109" i="7"/>
  <c r="B109" i="7"/>
  <c r="B108" i="7"/>
  <c r="H107" i="7"/>
  <c r="B107" i="7"/>
  <c r="B106" i="7"/>
  <c r="I105" i="7"/>
  <c r="H105" i="7"/>
  <c r="B105" i="7"/>
  <c r="H104" i="7"/>
  <c r="B104" i="7"/>
  <c r="H103" i="7"/>
  <c r="B103" i="7"/>
  <c r="I102" i="7"/>
  <c r="B102" i="7"/>
  <c r="B101" i="7"/>
  <c r="I101" i="7" s="1"/>
  <c r="B100" i="7"/>
  <c r="H100" i="7" s="1"/>
  <c r="M100" i="7" s="1"/>
  <c r="B99" i="7"/>
  <c r="B98" i="7"/>
  <c r="I97" i="7"/>
  <c r="H97" i="7"/>
  <c r="B97" i="7"/>
  <c r="H96" i="7"/>
  <c r="M96" i="7" s="1"/>
  <c r="B96" i="7"/>
  <c r="B95" i="7"/>
  <c r="I94" i="7"/>
  <c r="H94" i="7"/>
  <c r="B94" i="7"/>
  <c r="B93" i="7"/>
  <c r="B92" i="7"/>
  <c r="B91" i="7"/>
  <c r="B90" i="7"/>
  <c r="I89" i="7"/>
  <c r="J89" i="7" s="1"/>
  <c r="B89" i="7"/>
  <c r="H88" i="7"/>
  <c r="H87" i="7"/>
  <c r="M87" i="7" s="1"/>
  <c r="H86" i="7"/>
  <c r="H85" i="7"/>
  <c r="H84" i="7"/>
  <c r="H82" i="7"/>
  <c r="H81" i="7"/>
  <c r="M81" i="7" s="1"/>
  <c r="H80" i="7"/>
  <c r="M80" i="7" s="1"/>
  <c r="I78" i="7"/>
  <c r="B78" i="7"/>
  <c r="H77" i="7"/>
  <c r="M77" i="7" s="1"/>
  <c r="H75" i="7"/>
  <c r="H74" i="7"/>
  <c r="M74" i="7" s="1"/>
  <c r="H72" i="7"/>
  <c r="M72" i="7" s="1"/>
  <c r="H69" i="7"/>
  <c r="H67" i="7"/>
  <c r="M67" i="7" s="1"/>
  <c r="H66" i="7"/>
  <c r="M66" i="7" s="1"/>
  <c r="H65" i="7"/>
  <c r="H61" i="7"/>
  <c r="M61" i="7" s="1"/>
  <c r="H59" i="7"/>
  <c r="H58" i="7"/>
  <c r="M58" i="7" s="1"/>
  <c r="H57" i="7"/>
  <c r="H56" i="7"/>
  <c r="M56" i="7" s="1"/>
  <c r="H54" i="7"/>
  <c r="H53" i="7"/>
  <c r="H50" i="7"/>
  <c r="M50" i="7" s="1"/>
  <c r="H49" i="7"/>
  <c r="H48" i="7"/>
  <c r="H47" i="7"/>
  <c r="M47" i="7" s="1"/>
  <c r="H46" i="7"/>
  <c r="M46" i="7" s="1"/>
  <c r="H45" i="7"/>
  <c r="M45" i="7" s="1"/>
  <c r="H43" i="7"/>
  <c r="H37" i="7"/>
  <c r="H36" i="7"/>
  <c r="H34" i="7"/>
  <c r="H33" i="7"/>
  <c r="B31" i="7"/>
  <c r="I31" i="7" s="1"/>
  <c r="I30" i="7"/>
  <c r="H30" i="7"/>
  <c r="M30" i="7" s="1"/>
  <c r="B30" i="7"/>
  <c r="M29" i="7"/>
  <c r="I29" i="7"/>
  <c r="J29" i="7" s="1"/>
  <c r="H29" i="7"/>
  <c r="B29" i="7"/>
  <c r="H28" i="7"/>
  <c r="M28" i="7" s="1"/>
  <c r="H27" i="7"/>
  <c r="M27" i="7" s="1"/>
  <c r="H26" i="7"/>
  <c r="M26" i="7" s="1"/>
  <c r="H25" i="7"/>
  <c r="M25" i="7" s="1"/>
  <c r="H24" i="7"/>
  <c r="M24" i="7" s="1"/>
  <c r="H23" i="7"/>
  <c r="J23" i="7" s="1"/>
  <c r="B23" i="7"/>
  <c r="H22" i="7"/>
  <c r="M22" i="7" s="1"/>
  <c r="B22" i="7"/>
  <c r="I22" i="7" s="1"/>
  <c r="H21" i="7"/>
  <c r="M21" i="7" s="1"/>
  <c r="H20" i="7"/>
  <c r="M20" i="7" s="1"/>
  <c r="H19" i="7"/>
  <c r="M19" i="7" s="1"/>
  <c r="H18" i="7"/>
  <c r="H16" i="7"/>
  <c r="H15" i="7"/>
  <c r="I12" i="7"/>
  <c r="H11" i="7"/>
  <c r="H10" i="7"/>
  <c r="H9" i="7"/>
  <c r="H7" i="7"/>
  <c r="M7" i="7" s="1"/>
  <c r="G148" i="6"/>
  <c r="G142" i="6"/>
  <c r="H127" i="6"/>
  <c r="M127" i="6" s="1"/>
  <c r="H124" i="6"/>
  <c r="H123" i="6"/>
  <c r="H122" i="6"/>
  <c r="M122" i="6" s="1"/>
  <c r="H121" i="6"/>
  <c r="H120" i="6"/>
  <c r="M120" i="6" s="1"/>
  <c r="H119" i="6"/>
  <c r="M119" i="6" s="1"/>
  <c r="H118" i="6"/>
  <c r="M118" i="6" s="1"/>
  <c r="H116" i="6"/>
  <c r="H114" i="6"/>
  <c r="H113" i="6"/>
  <c r="M113" i="6" s="1"/>
  <c r="H112" i="6"/>
  <c r="H108" i="6"/>
  <c r="M108" i="6" s="1"/>
  <c r="H107" i="6"/>
  <c r="M107" i="6" s="1"/>
  <c r="H104" i="6"/>
  <c r="H102" i="6"/>
  <c r="M102" i="6" s="1"/>
  <c r="H100" i="6"/>
  <c r="H99" i="6"/>
  <c r="M99" i="6" s="1"/>
  <c r="H97" i="6"/>
  <c r="H96" i="6"/>
  <c r="H95" i="6"/>
  <c r="H94" i="6"/>
  <c r="H92" i="6"/>
  <c r="M92" i="6" s="1"/>
  <c r="H91" i="6"/>
  <c r="C91" i="6" s="1"/>
  <c r="H90" i="6"/>
  <c r="M90" i="6" s="1"/>
  <c r="H88" i="6"/>
  <c r="M88" i="6" s="1"/>
  <c r="B88" i="7"/>
  <c r="I88" i="7" s="1"/>
  <c r="B87" i="7"/>
  <c r="I87" i="7" s="1"/>
  <c r="J87" i="7" s="1"/>
  <c r="B86" i="7"/>
  <c r="I86" i="7" s="1"/>
  <c r="H85" i="6"/>
  <c r="M85" i="6" s="1"/>
  <c r="B85" i="7"/>
  <c r="I85" i="7" s="1"/>
  <c r="B84" i="7"/>
  <c r="I84" i="7" s="1"/>
  <c r="B82" i="7"/>
  <c r="I82" i="7" s="1"/>
  <c r="B81" i="7"/>
  <c r="I81" i="7" s="1"/>
  <c r="B80" i="7"/>
  <c r="I80" i="7" s="1"/>
  <c r="H79" i="6"/>
  <c r="M79" i="6" s="1"/>
  <c r="H78" i="6"/>
  <c r="M78" i="6" s="1"/>
  <c r="B76" i="7"/>
  <c r="I76" i="7" s="1"/>
  <c r="H75" i="6"/>
  <c r="M75" i="6" s="1"/>
  <c r="B75" i="7"/>
  <c r="I75" i="7" s="1"/>
  <c r="B74" i="7"/>
  <c r="I74" i="7" s="1"/>
  <c r="I73" i="6"/>
  <c r="H73" i="6"/>
  <c r="M73" i="6" s="1"/>
  <c r="B73" i="7"/>
  <c r="I73" i="7" s="1"/>
  <c r="H72" i="6"/>
  <c r="M72" i="6" s="1"/>
  <c r="B72" i="7"/>
  <c r="I72" i="7" s="1"/>
  <c r="B71" i="7"/>
  <c r="I71" i="7" s="1"/>
  <c r="H70" i="6"/>
  <c r="M70" i="6" s="1"/>
  <c r="B70" i="7"/>
  <c r="I70" i="7" s="1"/>
  <c r="H69" i="6"/>
  <c r="M69" i="6" s="1"/>
  <c r="H68" i="6"/>
  <c r="M68" i="6" s="1"/>
  <c r="B68" i="7"/>
  <c r="I68" i="7" s="1"/>
  <c r="B67" i="7"/>
  <c r="I67" i="7" s="1"/>
  <c r="H66" i="6"/>
  <c r="M66" i="6" s="1"/>
  <c r="B66" i="7"/>
  <c r="I66" i="7" s="1"/>
  <c r="J66" i="7" s="1"/>
  <c r="H65" i="6"/>
  <c r="M65" i="6" s="1"/>
  <c r="B65" i="7"/>
  <c r="I65" i="7" s="1"/>
  <c r="B64" i="7"/>
  <c r="I64" i="7" s="1"/>
  <c r="H63" i="6"/>
  <c r="M63" i="6" s="1"/>
  <c r="B63" i="7"/>
  <c r="I63" i="7" s="1"/>
  <c r="H62" i="6"/>
  <c r="M62" i="6" s="1"/>
  <c r="H61" i="6"/>
  <c r="M61" i="6" s="1"/>
  <c r="B61" i="7"/>
  <c r="I61" i="7" s="1"/>
  <c r="B60" i="7"/>
  <c r="I60" i="7" s="1"/>
  <c r="J59" i="6"/>
  <c r="H59" i="6"/>
  <c r="M59" i="6" s="1"/>
  <c r="B59" i="7"/>
  <c r="I59" i="7" s="1"/>
  <c r="H58" i="6"/>
  <c r="M58" i="6" s="1"/>
  <c r="H57" i="6"/>
  <c r="M57" i="6" s="1"/>
  <c r="B57" i="7"/>
  <c r="I57" i="7" s="1"/>
  <c r="H55" i="6"/>
  <c r="M55" i="6" s="1"/>
  <c r="B55" i="7"/>
  <c r="I55" i="7" s="1"/>
  <c r="H54" i="6"/>
  <c r="M54" i="6" s="1"/>
  <c r="H53" i="6"/>
  <c r="M53" i="6" s="1"/>
  <c r="B53" i="7"/>
  <c r="I53" i="7" s="1"/>
  <c r="B52" i="7"/>
  <c r="I52" i="7" s="1"/>
  <c r="H51" i="6"/>
  <c r="M51" i="6" s="1"/>
  <c r="B51" i="7"/>
  <c r="I51" i="7" s="1"/>
  <c r="H50" i="6"/>
  <c r="M50" i="6" s="1"/>
  <c r="H49" i="6"/>
  <c r="M49" i="6" s="1"/>
  <c r="B49" i="7"/>
  <c r="I49" i="7" s="1"/>
  <c r="B48" i="7"/>
  <c r="I48" i="7" s="1"/>
  <c r="H47" i="6"/>
  <c r="M47" i="6" s="1"/>
  <c r="B47" i="7"/>
  <c r="I47" i="7" s="1"/>
  <c r="J47" i="7" s="1"/>
  <c r="H46" i="6"/>
  <c r="M46" i="6" s="1"/>
  <c r="H45" i="6"/>
  <c r="M45" i="6" s="1"/>
  <c r="B45" i="7"/>
  <c r="I45" i="7" s="1"/>
  <c r="B44" i="7"/>
  <c r="I44" i="7" s="1"/>
  <c r="H43" i="6"/>
  <c r="M43" i="6" s="1"/>
  <c r="B43" i="7"/>
  <c r="I43" i="7" s="1"/>
  <c r="H42" i="6"/>
  <c r="M42" i="6" s="1"/>
  <c r="H41" i="6"/>
  <c r="M41" i="6" s="1"/>
  <c r="B41" i="7"/>
  <c r="I41" i="7" s="1"/>
  <c r="B40" i="7"/>
  <c r="I40" i="7" s="1"/>
  <c r="H39" i="6"/>
  <c r="M39" i="6" s="1"/>
  <c r="B39" i="7"/>
  <c r="I39" i="7" s="1"/>
  <c r="H38" i="6"/>
  <c r="M38" i="6" s="1"/>
  <c r="H37" i="6"/>
  <c r="M37" i="6" s="1"/>
  <c r="B37" i="7"/>
  <c r="I37" i="7" s="1"/>
  <c r="B36" i="7"/>
  <c r="I36" i="7" s="1"/>
  <c r="H35" i="6"/>
  <c r="M35" i="6" s="1"/>
  <c r="B35" i="7"/>
  <c r="I35" i="7" s="1"/>
  <c r="H34" i="6"/>
  <c r="M34" i="6" s="1"/>
  <c r="H33" i="6"/>
  <c r="M33" i="6" s="1"/>
  <c r="B33" i="7"/>
  <c r="I33" i="7" s="1"/>
  <c r="B32" i="7"/>
  <c r="I32" i="7" s="1"/>
  <c r="J32" i="7" s="1"/>
  <c r="I31" i="6"/>
  <c r="I30" i="6"/>
  <c r="J30" i="6" s="1"/>
  <c r="H30" i="6"/>
  <c r="M30" i="6" s="1"/>
  <c r="M29" i="6"/>
  <c r="I29" i="6"/>
  <c r="J29" i="6" s="1"/>
  <c r="H29" i="6"/>
  <c r="H28" i="6"/>
  <c r="M28" i="6" s="1"/>
  <c r="B28" i="7"/>
  <c r="I28" i="7" s="1"/>
  <c r="J28" i="7" s="1"/>
  <c r="H27" i="6"/>
  <c r="M27" i="6" s="1"/>
  <c r="I25" i="6"/>
  <c r="H25" i="6"/>
  <c r="M25" i="6" s="1"/>
  <c r="B25" i="7"/>
  <c r="H24" i="6"/>
  <c r="M24" i="6" s="1"/>
  <c r="B24" i="7"/>
  <c r="I24" i="7" s="1"/>
  <c r="J24" i="7" s="1"/>
  <c r="H23" i="6"/>
  <c r="M23" i="6" s="1"/>
  <c r="H22" i="6"/>
  <c r="M22" i="6" s="1"/>
  <c r="H21" i="6"/>
  <c r="M21" i="6" s="1"/>
  <c r="H19" i="6"/>
  <c r="M19" i="6" s="1"/>
  <c r="B19" i="7"/>
  <c r="B18" i="7"/>
  <c r="I18" i="7" s="1"/>
  <c r="B17" i="7"/>
  <c r="H16" i="6"/>
  <c r="M16" i="6" s="1"/>
  <c r="B16" i="7"/>
  <c r="H15" i="6"/>
  <c r="M15" i="6" s="1"/>
  <c r="B15" i="7"/>
  <c r="I15" i="7" s="1"/>
  <c r="B14" i="7"/>
  <c r="H13" i="6"/>
  <c r="M13" i="6" s="1"/>
  <c r="H11" i="6"/>
  <c r="M11" i="6" s="1"/>
  <c r="B11" i="7"/>
  <c r="I11" i="7" s="1"/>
  <c r="B10" i="7"/>
  <c r="B9" i="7"/>
  <c r="I9" i="7" s="1"/>
  <c r="H8" i="6"/>
  <c r="M8" i="6" s="1"/>
  <c r="B8" i="7"/>
  <c r="H7" i="6"/>
  <c r="M7" i="6" s="1"/>
  <c r="B7" i="7"/>
  <c r="J7" i="7" s="1"/>
  <c r="H52" i="4"/>
  <c r="H51" i="4"/>
  <c r="M51" i="4" s="1"/>
  <c r="H48" i="4"/>
  <c r="H44" i="4"/>
  <c r="M44" i="4" s="1"/>
  <c r="H42" i="4"/>
  <c r="M42" i="4" s="1"/>
  <c r="H36" i="4"/>
  <c r="H35" i="4"/>
  <c r="H34" i="4"/>
  <c r="M34" i="4" s="1"/>
  <c r="H32" i="4"/>
  <c r="H26" i="4"/>
  <c r="M26" i="4" s="1"/>
  <c r="H24" i="4"/>
  <c r="H23" i="4"/>
  <c r="I16" i="4"/>
  <c r="I15" i="4"/>
  <c r="I14" i="4"/>
  <c r="I13" i="4"/>
  <c r="H11" i="4"/>
  <c r="M11" i="4" s="1"/>
  <c r="H10" i="4"/>
  <c r="M10" i="4" s="1"/>
  <c r="M9" i="4"/>
  <c r="J9" i="4"/>
  <c r="C3" i="7"/>
  <c r="C2" i="7"/>
  <c r="C21" i="3"/>
  <c r="C20" i="3"/>
  <c r="C19" i="3"/>
  <c r="C18" i="3"/>
  <c r="C17" i="3"/>
  <c r="C16" i="3"/>
  <c r="Q35" i="2"/>
  <c r="C35" i="2"/>
  <c r="A35" i="2"/>
  <c r="C34" i="2"/>
  <c r="A34" i="2"/>
  <c r="P33" i="2"/>
  <c r="G33" i="2"/>
  <c r="M33" i="2" s="1"/>
  <c r="D33" i="2"/>
  <c r="C33" i="2"/>
  <c r="A33" i="2"/>
  <c r="L33" i="2" s="1"/>
  <c r="C32" i="2"/>
  <c r="A32" i="2"/>
  <c r="R31" i="2"/>
  <c r="C31" i="2"/>
  <c r="A31" i="2"/>
  <c r="K30" i="2"/>
  <c r="G30" i="2"/>
  <c r="D30" i="2"/>
  <c r="C30" i="2"/>
  <c r="A30" i="2"/>
  <c r="P30" i="2" s="1"/>
  <c r="P29" i="2"/>
  <c r="K29" i="2"/>
  <c r="G29" i="2"/>
  <c r="M29" i="2" s="1"/>
  <c r="D29" i="2"/>
  <c r="C29" i="2"/>
  <c r="A29" i="2"/>
  <c r="L29" i="2" s="1"/>
  <c r="C28" i="2"/>
  <c r="A28" i="2"/>
  <c r="L27" i="2"/>
  <c r="K27" i="2"/>
  <c r="G27" i="2"/>
  <c r="M27" i="2" s="1"/>
  <c r="D27" i="2"/>
  <c r="C27" i="2"/>
  <c r="A27" i="2"/>
  <c r="P27" i="2" s="1"/>
  <c r="Q27" i="2" s="1"/>
  <c r="L26" i="2"/>
  <c r="K26" i="2"/>
  <c r="G26" i="2"/>
  <c r="M26" i="2" s="1"/>
  <c r="D26" i="2"/>
  <c r="C26" i="2"/>
  <c r="A26" i="2"/>
  <c r="P26" i="2" s="1"/>
  <c r="Q26" i="2" s="1"/>
  <c r="P25" i="2"/>
  <c r="Q25" i="2" s="1"/>
  <c r="D25" i="2"/>
  <c r="C25" i="2"/>
  <c r="A25" i="2"/>
  <c r="L24" i="2"/>
  <c r="K24" i="2"/>
  <c r="G24" i="2"/>
  <c r="M24" i="2" s="1"/>
  <c r="D24" i="2"/>
  <c r="C24" i="2"/>
  <c r="A24" i="2"/>
  <c r="P24" i="2" s="1"/>
  <c r="Q24" i="2" s="1"/>
  <c r="D23" i="2"/>
  <c r="C23" i="2"/>
  <c r="A23" i="2"/>
  <c r="L23" i="2" s="1"/>
  <c r="K22" i="2"/>
  <c r="H22" i="2"/>
  <c r="G22" i="2"/>
  <c r="M22" i="2" s="1"/>
  <c r="D22" i="2"/>
  <c r="C22" i="2"/>
  <c r="A22" i="2"/>
  <c r="P22" i="2" s="1"/>
  <c r="D21" i="2"/>
  <c r="C21" i="2"/>
  <c r="A21" i="2"/>
  <c r="P21" i="2" s="1"/>
  <c r="L20" i="2"/>
  <c r="K20" i="2"/>
  <c r="G20" i="2"/>
  <c r="D20" i="2"/>
  <c r="C20" i="2"/>
  <c r="A20" i="2"/>
  <c r="P20" i="2" s="1"/>
  <c r="K19" i="2"/>
  <c r="D19" i="2"/>
  <c r="C19" i="2"/>
  <c r="A19" i="2"/>
  <c r="G19" i="2" s="1"/>
  <c r="H19" i="2" s="1"/>
  <c r="C18" i="2"/>
  <c r="A18" i="2"/>
  <c r="H17" i="2"/>
  <c r="C17" i="2"/>
  <c r="A17" i="2"/>
  <c r="H16" i="2"/>
  <c r="N67" i="2"/>
  <c r="D16" i="2"/>
  <c r="C16" i="2"/>
  <c r="A16" i="2"/>
  <c r="Q15" i="2"/>
  <c r="D15" i="2"/>
  <c r="C15" i="2"/>
  <c r="A15" i="2"/>
  <c r="D14" i="2"/>
  <c r="C14" i="2"/>
  <c r="A14" i="2"/>
  <c r="M14" i="2" s="1"/>
  <c r="D13" i="2"/>
  <c r="C13" i="2"/>
  <c r="A13" i="2"/>
  <c r="Q13" i="2" s="1"/>
  <c r="D12" i="2"/>
  <c r="C12" i="2"/>
  <c r="A12" i="2"/>
  <c r="C11" i="2"/>
  <c r="A11" i="2"/>
  <c r="C10" i="2"/>
  <c r="A10" i="2"/>
  <c r="Q9" i="2"/>
  <c r="C9" i="2"/>
  <c r="A9" i="2"/>
  <c r="M9" i="2" s="1"/>
  <c r="R9" i="2" s="1"/>
  <c r="C8" i="2"/>
  <c r="A8" i="2"/>
  <c r="Q7" i="2"/>
  <c r="C7" i="2"/>
  <c r="A7" i="2"/>
  <c r="C3" i="2"/>
  <c r="J63" i="6" l="1"/>
  <c r="J61" i="6"/>
  <c r="J47" i="6"/>
  <c r="J45" i="6"/>
  <c r="H12" i="6"/>
  <c r="M12" i="6" s="1"/>
  <c r="H77" i="6"/>
  <c r="M77" i="6" s="1"/>
  <c r="H93" i="6"/>
  <c r="M93" i="6" s="1"/>
  <c r="H129" i="6"/>
  <c r="M23" i="7"/>
  <c r="H44" i="7"/>
  <c r="J25" i="6"/>
  <c r="Q33" i="2"/>
  <c r="J10" i="4"/>
  <c r="H20" i="6"/>
  <c r="M20" i="6" s="1"/>
  <c r="J41" i="6"/>
  <c r="J43" i="6"/>
  <c r="J45" i="7"/>
  <c r="J57" i="6"/>
  <c r="J61" i="7"/>
  <c r="J73" i="6"/>
  <c r="H76" i="6"/>
  <c r="M76" i="6" s="1"/>
  <c r="H80" i="6"/>
  <c r="M80" i="6" s="1"/>
  <c r="H81" i="6"/>
  <c r="M81" i="6" s="1"/>
  <c r="H86" i="6"/>
  <c r="M86" i="6" s="1"/>
  <c r="H109" i="6"/>
  <c r="M109" i="6" s="1"/>
  <c r="H117" i="6"/>
  <c r="C117" i="6" s="1"/>
  <c r="J25" i="7"/>
  <c r="H38" i="7"/>
  <c r="H41" i="7"/>
  <c r="H52" i="7"/>
  <c r="H55" i="7"/>
  <c r="M55" i="7" s="1"/>
  <c r="H62" i="7"/>
  <c r="M62" i="7" s="1"/>
  <c r="H70" i="7"/>
  <c r="H76" i="7"/>
  <c r="M7" i="2"/>
  <c r="M15" i="2"/>
  <c r="F21" i="3" s="1"/>
  <c r="H50" i="4"/>
  <c r="M50" i="4" s="1"/>
  <c r="I28" i="6"/>
  <c r="C2" i="2"/>
  <c r="C7" i="3" s="1"/>
  <c r="C12" i="3" s="1"/>
  <c r="M10" i="2"/>
  <c r="Q29" i="2"/>
  <c r="H10" i="6"/>
  <c r="M10" i="6" s="1"/>
  <c r="J11" i="6"/>
  <c r="J37" i="6"/>
  <c r="J39" i="6"/>
  <c r="J53" i="6"/>
  <c r="J55" i="6"/>
  <c r="H71" i="6"/>
  <c r="M71" i="6" s="1"/>
  <c r="I80" i="6"/>
  <c r="J80" i="6" s="1"/>
  <c r="H84" i="6"/>
  <c r="M84" i="6" s="1"/>
  <c r="C118" i="6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H126" i="6"/>
  <c r="H128" i="6"/>
  <c r="H130" i="6"/>
  <c r="M130" i="6" s="1"/>
  <c r="H14" i="7"/>
  <c r="H32" i="7"/>
  <c r="M32" i="7" s="1"/>
  <c r="H35" i="7"/>
  <c r="M35" i="7" s="1"/>
  <c r="H40" i="7"/>
  <c r="H64" i="7"/>
  <c r="H73" i="7"/>
  <c r="H79" i="7"/>
  <c r="M79" i="7" s="1"/>
  <c r="M11" i="2"/>
  <c r="M12" i="2"/>
  <c r="H41" i="4"/>
  <c r="H43" i="4"/>
  <c r="M43" i="4" s="1"/>
  <c r="H45" i="4"/>
  <c r="M45" i="4" s="1"/>
  <c r="H49" i="4"/>
  <c r="M49" i="4" s="1"/>
  <c r="J7" i="6"/>
  <c r="H14" i="6"/>
  <c r="M14" i="6" s="1"/>
  <c r="H18" i="6"/>
  <c r="M18" i="6" s="1"/>
  <c r="J19" i="6"/>
  <c r="H26" i="6"/>
  <c r="M26" i="6" s="1"/>
  <c r="J15" i="6"/>
  <c r="I33" i="6"/>
  <c r="J33" i="6" s="1"/>
  <c r="I35" i="6"/>
  <c r="J35" i="6" s="1"/>
  <c r="J49" i="6"/>
  <c r="J51" i="6"/>
  <c r="H67" i="6"/>
  <c r="M67" i="6" s="1"/>
  <c r="H83" i="6"/>
  <c r="M83" i="6" s="1"/>
  <c r="I84" i="6"/>
  <c r="J84" i="6" s="1"/>
  <c r="H98" i="6"/>
  <c r="M98" i="6" s="1"/>
  <c r="H103" i="6"/>
  <c r="M103" i="6" s="1"/>
  <c r="H115" i="6"/>
  <c r="M115" i="6" s="1"/>
  <c r="H125" i="6"/>
  <c r="M125" i="6" s="1"/>
  <c r="H8" i="7"/>
  <c r="H42" i="7"/>
  <c r="M42" i="7" s="1"/>
  <c r="H51" i="7"/>
  <c r="H60" i="7"/>
  <c r="H63" i="7"/>
  <c r="M63" i="7" s="1"/>
  <c r="H78" i="7"/>
  <c r="Q10" i="2"/>
  <c r="H13" i="4"/>
  <c r="M13" i="4" s="1"/>
  <c r="H27" i="4"/>
  <c r="M27" i="4" s="1"/>
  <c r="H31" i="4"/>
  <c r="M31" i="4" s="1"/>
  <c r="H9" i="6"/>
  <c r="M9" i="6" s="1"/>
  <c r="I68" i="6"/>
  <c r="J68" i="6" s="1"/>
  <c r="I70" i="6"/>
  <c r="J70" i="6" s="1"/>
  <c r="H82" i="6"/>
  <c r="M82" i="6" s="1"/>
  <c r="H87" i="6"/>
  <c r="M87" i="6" s="1"/>
  <c r="H105" i="6"/>
  <c r="H110" i="6"/>
  <c r="M110" i="6" s="1"/>
  <c r="H13" i="7"/>
  <c r="H17" i="7"/>
  <c r="H39" i="7"/>
  <c r="H68" i="7"/>
  <c r="J68" i="7" s="1"/>
  <c r="H71" i="7"/>
  <c r="M71" i="7" s="1"/>
  <c r="H83" i="7"/>
  <c r="M83" i="7" s="1"/>
  <c r="H118" i="7"/>
  <c r="C118" i="7" s="1"/>
  <c r="J11" i="4"/>
  <c r="H28" i="4"/>
  <c r="M28" i="4" s="1"/>
  <c r="H53" i="4"/>
  <c r="M53" i="4" s="1"/>
  <c r="R29" i="2"/>
  <c r="R27" i="2"/>
  <c r="Q17" i="2"/>
  <c r="R24" i="2"/>
  <c r="M28" i="2"/>
  <c r="R28" i="2" s="1"/>
  <c r="H7" i="4"/>
  <c r="R7" i="2"/>
  <c r="M19" i="2"/>
  <c r="R22" i="2"/>
  <c r="Q31" i="2"/>
  <c r="J71" i="7"/>
  <c r="M16" i="2"/>
  <c r="R16" i="2" s="1"/>
  <c r="R33" i="2"/>
  <c r="J120" i="7"/>
  <c r="R21" i="2"/>
  <c r="Q21" i="2"/>
  <c r="R32" i="2"/>
  <c r="Q32" i="2"/>
  <c r="R26" i="2"/>
  <c r="R10" i="2"/>
  <c r="M36" i="4"/>
  <c r="Q16" i="2"/>
  <c r="L25" i="2"/>
  <c r="K25" i="2"/>
  <c r="G25" i="2"/>
  <c r="M25" i="2" s="1"/>
  <c r="R25" i="2" s="1"/>
  <c r="Q30" i="2"/>
  <c r="L30" i="2"/>
  <c r="Q11" i="2"/>
  <c r="M17" i="2"/>
  <c r="R17" i="2" s="1"/>
  <c r="F18" i="3"/>
  <c r="H22" i="4"/>
  <c r="M52" i="4"/>
  <c r="M8" i="2"/>
  <c r="Q14" i="2"/>
  <c r="Q22" i="2"/>
  <c r="L22" i="2"/>
  <c r="G18" i="3"/>
  <c r="H14" i="4"/>
  <c r="M35" i="4"/>
  <c r="P19" i="2"/>
  <c r="Q19" i="2" s="1"/>
  <c r="H20" i="2"/>
  <c r="Q20" i="2" s="1"/>
  <c r="Q34" i="2"/>
  <c r="Q12" i="2"/>
  <c r="M13" i="2"/>
  <c r="R13" i="2" s="1"/>
  <c r="Q28" i="2"/>
  <c r="M34" i="2"/>
  <c r="J13" i="4"/>
  <c r="J14" i="4"/>
  <c r="M24" i="4"/>
  <c r="K23" i="2"/>
  <c r="G23" i="2"/>
  <c r="M23" i="2" s="1"/>
  <c r="P23" i="2"/>
  <c r="Q23" i="2" s="1"/>
  <c r="M35" i="2"/>
  <c r="R35" i="2" s="1"/>
  <c r="D89" i="7"/>
  <c r="H16" i="4"/>
  <c r="L21" i="2"/>
  <c r="K21" i="2"/>
  <c r="G21" i="2"/>
  <c r="Q8" i="2"/>
  <c r="G21" i="3"/>
  <c r="G17" i="3"/>
  <c r="L19" i="2"/>
  <c r="M30" i="2"/>
  <c r="R30" i="2" s="1"/>
  <c r="F19" i="3"/>
  <c r="H17" i="4"/>
  <c r="M32" i="4"/>
  <c r="F17" i="3"/>
  <c r="M23" i="4"/>
  <c r="B13" i="7"/>
  <c r="I13" i="7" s="1"/>
  <c r="J13" i="7" s="1"/>
  <c r="J13" i="6"/>
  <c r="B69" i="7"/>
  <c r="I69" i="7" s="1"/>
  <c r="I69" i="6"/>
  <c r="J69" i="6" s="1"/>
  <c r="M95" i="6"/>
  <c r="M105" i="6"/>
  <c r="M54" i="7"/>
  <c r="H25" i="4"/>
  <c r="H33" i="4"/>
  <c r="B27" i="7"/>
  <c r="I27" i="7" s="1"/>
  <c r="J27" i="7" s="1"/>
  <c r="I27" i="6"/>
  <c r="J27" i="6" s="1"/>
  <c r="B79" i="7"/>
  <c r="I79" i="7" s="1"/>
  <c r="J79" i="7" s="1"/>
  <c r="I79" i="6"/>
  <c r="J79" i="6" s="1"/>
  <c r="M34" i="7"/>
  <c r="M51" i="7"/>
  <c r="J51" i="7"/>
  <c r="M75" i="7"/>
  <c r="J75" i="7"/>
  <c r="M107" i="7"/>
  <c r="B12" i="7"/>
  <c r="H32" i="6"/>
  <c r="M32" i="6" s="1"/>
  <c r="H36" i="6"/>
  <c r="M36" i="6" s="1"/>
  <c r="H40" i="6"/>
  <c r="M40" i="6" s="1"/>
  <c r="H44" i="6"/>
  <c r="M44" i="6" s="1"/>
  <c r="H48" i="6"/>
  <c r="M48" i="6" s="1"/>
  <c r="H52" i="6"/>
  <c r="M52" i="6" s="1"/>
  <c r="H56" i="6"/>
  <c r="M56" i="6" s="1"/>
  <c r="H60" i="6"/>
  <c r="M60" i="6" s="1"/>
  <c r="H64" i="6"/>
  <c r="M64" i="6" s="1"/>
  <c r="M97" i="6"/>
  <c r="M112" i="6"/>
  <c r="M48" i="7"/>
  <c r="J48" i="7"/>
  <c r="B26" i="7"/>
  <c r="I26" i="6"/>
  <c r="J26" i="6" s="1"/>
  <c r="H30" i="4"/>
  <c r="H38" i="4"/>
  <c r="H40" i="4"/>
  <c r="M41" i="4"/>
  <c r="M48" i="4"/>
  <c r="H54" i="4"/>
  <c r="J21" i="6"/>
  <c r="B21" i="7"/>
  <c r="M96" i="6"/>
  <c r="J44" i="7"/>
  <c r="M44" i="7"/>
  <c r="H21" i="4"/>
  <c r="H29" i="4"/>
  <c r="H37" i="4"/>
  <c r="H47" i="4"/>
  <c r="B77" i="7"/>
  <c r="I77" i="7" s="1"/>
  <c r="J77" i="7" s="1"/>
  <c r="I77" i="6"/>
  <c r="J77" i="6" s="1"/>
  <c r="B83" i="7"/>
  <c r="I83" i="7" s="1"/>
  <c r="J83" i="7" s="1"/>
  <c r="I83" i="6"/>
  <c r="J83" i="6" s="1"/>
  <c r="M91" i="6"/>
  <c r="J41" i="7"/>
  <c r="M41" i="7"/>
  <c r="H93" i="7"/>
  <c r="I93" i="7"/>
  <c r="K33" i="2"/>
  <c r="F16" i="3"/>
  <c r="F20" i="3"/>
  <c r="H15" i="4"/>
  <c r="H18" i="4"/>
  <c r="H19" i="4"/>
  <c r="H20" i="4"/>
  <c r="D116" i="7"/>
  <c r="H46" i="4"/>
  <c r="B20" i="7"/>
  <c r="J20" i="6"/>
  <c r="H74" i="6"/>
  <c r="M74" i="6" s="1"/>
  <c r="G16" i="3"/>
  <c r="H17" i="6"/>
  <c r="M17" i="6" s="1"/>
  <c r="J28" i="6"/>
  <c r="B34" i="7"/>
  <c r="I34" i="7" s="1"/>
  <c r="J34" i="7" s="1"/>
  <c r="I34" i="6"/>
  <c r="J34" i="6" s="1"/>
  <c r="B38" i="7"/>
  <c r="I38" i="7" s="1"/>
  <c r="J38" i="7" s="1"/>
  <c r="J38" i="6"/>
  <c r="B42" i="7"/>
  <c r="I42" i="7" s="1"/>
  <c r="J42" i="6"/>
  <c r="B46" i="7"/>
  <c r="I46" i="7" s="1"/>
  <c r="J46" i="7" s="1"/>
  <c r="J46" i="6"/>
  <c r="B50" i="7"/>
  <c r="I50" i="7" s="1"/>
  <c r="J50" i="7" s="1"/>
  <c r="J50" i="6"/>
  <c r="B54" i="7"/>
  <c r="I54" i="7" s="1"/>
  <c r="J54" i="7" s="1"/>
  <c r="J54" i="6"/>
  <c r="B58" i="7"/>
  <c r="I58" i="7" s="1"/>
  <c r="J58" i="7" s="1"/>
  <c r="J58" i="6"/>
  <c r="B62" i="7"/>
  <c r="I62" i="7" s="1"/>
  <c r="J62" i="7" s="1"/>
  <c r="J62" i="6"/>
  <c r="J37" i="7"/>
  <c r="M37" i="7"/>
  <c r="J8" i="6"/>
  <c r="J16" i="6"/>
  <c r="I75" i="6"/>
  <c r="J75" i="6" s="1"/>
  <c r="I81" i="6"/>
  <c r="J81" i="6" s="1"/>
  <c r="I85" i="6"/>
  <c r="J85" i="6" s="1"/>
  <c r="M117" i="6"/>
  <c r="J40" i="7"/>
  <c r="B56" i="7"/>
  <c r="I56" i="7" s="1"/>
  <c r="J56" i="7" s="1"/>
  <c r="M78" i="7"/>
  <c r="J78" i="7"/>
  <c r="J82" i="7"/>
  <c r="M82" i="7"/>
  <c r="M104" i="7"/>
  <c r="H111" i="7"/>
  <c r="M124" i="7"/>
  <c r="J124" i="7"/>
  <c r="J9" i="6"/>
  <c r="J17" i="6"/>
  <c r="I32" i="6"/>
  <c r="J32" i="6" s="1"/>
  <c r="J36" i="6"/>
  <c r="J44" i="6"/>
  <c r="I67" i="6"/>
  <c r="J67" i="6" s="1"/>
  <c r="M129" i="6"/>
  <c r="M11" i="7"/>
  <c r="J11" i="7"/>
  <c r="M13" i="7"/>
  <c r="J17" i="7"/>
  <c r="M17" i="7"/>
  <c r="M43" i="7"/>
  <c r="J43" i="7"/>
  <c r="J18" i="6"/>
  <c r="I24" i="6"/>
  <c r="J24" i="6" s="1"/>
  <c r="I76" i="6"/>
  <c r="J76" i="6" s="1"/>
  <c r="I82" i="6"/>
  <c r="J82" i="6" s="1"/>
  <c r="M124" i="6"/>
  <c r="J15" i="7"/>
  <c r="M15" i="7"/>
  <c r="M33" i="7"/>
  <c r="J33" i="7"/>
  <c r="M36" i="7"/>
  <c r="J36" i="7"/>
  <c r="J57" i="7"/>
  <c r="M57" i="7"/>
  <c r="J60" i="7"/>
  <c r="M60" i="7"/>
  <c r="M64" i="7"/>
  <c r="J64" i="7"/>
  <c r="M70" i="7"/>
  <c r="J70" i="7"/>
  <c r="M84" i="7"/>
  <c r="J84" i="7"/>
  <c r="M94" i="6"/>
  <c r="M100" i="6"/>
  <c r="M104" i="6"/>
  <c r="H111" i="6"/>
  <c r="M121" i="6"/>
  <c r="M126" i="6"/>
  <c r="M39" i="7"/>
  <c r="J39" i="7"/>
  <c r="M40" i="7"/>
  <c r="J49" i="7"/>
  <c r="M49" i="7"/>
  <c r="M53" i="7"/>
  <c r="J53" i="7"/>
  <c r="J67" i="7"/>
  <c r="J97" i="7"/>
  <c r="M97" i="7"/>
  <c r="M114" i="6"/>
  <c r="M123" i="6"/>
  <c r="M128" i="6"/>
  <c r="M10" i="7"/>
  <c r="J10" i="7"/>
  <c r="H12" i="7"/>
  <c r="J26" i="7"/>
  <c r="J52" i="7"/>
  <c r="M52" i="7"/>
  <c r="J55" i="7"/>
  <c r="M59" i="7"/>
  <c r="J59" i="7"/>
  <c r="J76" i="7"/>
  <c r="M76" i="7"/>
  <c r="M88" i="7"/>
  <c r="J88" i="7"/>
  <c r="J105" i="7"/>
  <c r="M105" i="7"/>
  <c r="M9" i="7"/>
  <c r="J9" i="7"/>
  <c r="J16" i="7"/>
  <c r="M16" i="7"/>
  <c r="M18" i="7"/>
  <c r="J18" i="7"/>
  <c r="M38" i="7"/>
  <c r="J73" i="7"/>
  <c r="M73" i="7"/>
  <c r="M85" i="7"/>
  <c r="J85" i="7"/>
  <c r="H92" i="7"/>
  <c r="I92" i="7"/>
  <c r="H101" i="6"/>
  <c r="H106" i="6"/>
  <c r="M14" i="7"/>
  <c r="J14" i="7"/>
  <c r="J22" i="7"/>
  <c r="J35" i="7"/>
  <c r="J65" i="7"/>
  <c r="M65" i="7"/>
  <c r="M69" i="7"/>
  <c r="J69" i="7"/>
  <c r="M127" i="7"/>
  <c r="J19" i="7"/>
  <c r="J20" i="7"/>
  <c r="J21" i="7"/>
  <c r="J81" i="7"/>
  <c r="I95" i="7"/>
  <c r="J113" i="7"/>
  <c r="J72" i="7"/>
  <c r="J80" i="7"/>
  <c r="H98" i="7"/>
  <c r="I98" i="7"/>
  <c r="I99" i="7"/>
  <c r="H102" i="7"/>
  <c r="M112" i="7"/>
  <c r="M113" i="7"/>
  <c r="H117" i="7"/>
  <c r="H123" i="7"/>
  <c r="M125" i="7"/>
  <c r="J125" i="7"/>
  <c r="J42" i="7"/>
  <c r="J74" i="7"/>
  <c r="H95" i="7"/>
  <c r="H99" i="7"/>
  <c r="I108" i="7"/>
  <c r="H114" i="7"/>
  <c r="I114" i="7"/>
  <c r="I115" i="7"/>
  <c r="J116" i="7"/>
  <c r="I91" i="7"/>
  <c r="M94" i="7"/>
  <c r="J94" i="7"/>
  <c r="M103" i="7"/>
  <c r="H108" i="7"/>
  <c r="H109" i="7"/>
  <c r="M118" i="7"/>
  <c r="M119" i="7"/>
  <c r="M120" i="7"/>
  <c r="I122" i="7"/>
  <c r="H126" i="7"/>
  <c r="I126" i="7"/>
  <c r="M130" i="7"/>
  <c r="J130" i="7"/>
  <c r="J86" i="7"/>
  <c r="H90" i="7"/>
  <c r="I90" i="7"/>
  <c r="I103" i="7"/>
  <c r="J103" i="7" s="1"/>
  <c r="H115" i="7"/>
  <c r="I118" i="7"/>
  <c r="J118" i="7" s="1"/>
  <c r="H129" i="7"/>
  <c r="I129" i="7"/>
  <c r="M86" i="7"/>
  <c r="H91" i="7"/>
  <c r="I100" i="7"/>
  <c r="J100" i="7" s="1"/>
  <c r="H106" i="7"/>
  <c r="I106" i="7"/>
  <c r="I107" i="7"/>
  <c r="J107" i="7" s="1"/>
  <c r="H110" i="7"/>
  <c r="H121" i="7"/>
  <c r="I121" i="7"/>
  <c r="H122" i="7"/>
  <c r="J128" i="7"/>
  <c r="H101" i="7"/>
  <c r="C119" i="7"/>
  <c r="C120" i="7" s="1"/>
  <c r="I123" i="7"/>
  <c r="I96" i="7"/>
  <c r="J96" i="7" s="1"/>
  <c r="I104" i="7"/>
  <c r="J104" i="7" s="1"/>
  <c r="I112" i="7"/>
  <c r="J112" i="7" s="1"/>
  <c r="I119" i="7"/>
  <c r="J119" i="7" s="1"/>
  <c r="I127" i="7"/>
  <c r="J127" i="7" s="1"/>
  <c r="J10" i="6" l="1"/>
  <c r="I7" i="4"/>
  <c r="J7" i="4" s="1"/>
  <c r="J6" i="4" s="1"/>
  <c r="H7" i="5"/>
  <c r="J7" i="5" s="1"/>
  <c r="M7" i="5" s="1"/>
  <c r="J52" i="6"/>
  <c r="J40" i="6"/>
  <c r="J56" i="6"/>
  <c r="J64" i="6"/>
  <c r="J60" i="6"/>
  <c r="J12" i="6"/>
  <c r="C130" i="6"/>
  <c r="R15" i="2"/>
  <c r="M20" i="2"/>
  <c r="R20" i="2" s="1"/>
  <c r="M8" i="7"/>
  <c r="J8" i="7"/>
  <c r="J14" i="6"/>
  <c r="M68" i="7"/>
  <c r="J63" i="7"/>
  <c r="C93" i="6"/>
  <c r="M7" i="4"/>
  <c r="R34" i="2"/>
  <c r="R14" i="2"/>
  <c r="H18" i="3"/>
  <c r="M91" i="7"/>
  <c r="C91" i="7"/>
  <c r="C92" i="7" s="1"/>
  <c r="C93" i="7" s="1"/>
  <c r="J91" i="7"/>
  <c r="M123" i="7"/>
  <c r="J123" i="7"/>
  <c r="M19" i="4"/>
  <c r="M29" i="4"/>
  <c r="M30" i="4"/>
  <c r="H17" i="3"/>
  <c r="M110" i="7"/>
  <c r="J110" i="7"/>
  <c r="M90" i="7"/>
  <c r="J90" i="7"/>
  <c r="M126" i="7"/>
  <c r="J126" i="7"/>
  <c r="M109" i="7"/>
  <c r="J109" i="7"/>
  <c r="M114" i="7"/>
  <c r="J114" i="7"/>
  <c r="M117" i="7"/>
  <c r="C117" i="7"/>
  <c r="J117" i="7"/>
  <c r="J92" i="7"/>
  <c r="M92" i="7"/>
  <c r="M111" i="7"/>
  <c r="J111" i="7"/>
  <c r="M18" i="4"/>
  <c r="M21" i="4"/>
  <c r="J108" i="7"/>
  <c r="M108" i="7"/>
  <c r="J98" i="7"/>
  <c r="M98" i="7"/>
  <c r="M54" i="4"/>
  <c r="J15" i="4"/>
  <c r="M15" i="4"/>
  <c r="G20" i="3"/>
  <c r="H20" i="3" s="1"/>
  <c r="M46" i="4"/>
  <c r="M33" i="4"/>
  <c r="H18" i="2"/>
  <c r="Q18" i="2" s="1"/>
  <c r="Q36" i="2" s="1"/>
  <c r="R19" i="2"/>
  <c r="M115" i="7"/>
  <c r="J115" i="7"/>
  <c r="M122" i="7"/>
  <c r="J122" i="7"/>
  <c r="M102" i="7"/>
  <c r="J102" i="7"/>
  <c r="M106" i="6"/>
  <c r="M93" i="7"/>
  <c r="J93" i="7"/>
  <c r="M25" i="4"/>
  <c r="M16" i="4"/>
  <c r="J16" i="4"/>
  <c r="M99" i="7"/>
  <c r="J99" i="7"/>
  <c r="M101" i="6"/>
  <c r="M40" i="4"/>
  <c r="M17" i="4"/>
  <c r="M14" i="4"/>
  <c r="M22" i="4"/>
  <c r="M101" i="7"/>
  <c r="J101" i="7"/>
  <c r="M106" i="7"/>
  <c r="J106" i="7"/>
  <c r="M12" i="7"/>
  <c r="J12" i="7"/>
  <c r="J6" i="7" s="1"/>
  <c r="D10" i="8" s="1"/>
  <c r="J48" i="6"/>
  <c r="J31" i="6" s="1"/>
  <c r="M47" i="4"/>
  <c r="M38" i="4"/>
  <c r="J17" i="4"/>
  <c r="H21" i="3"/>
  <c r="R12" i="2"/>
  <c r="M121" i="7"/>
  <c r="C121" i="7"/>
  <c r="C122" i="7" s="1"/>
  <c r="C123" i="7" s="1"/>
  <c r="C124" i="7" s="1"/>
  <c r="C125" i="7" s="1"/>
  <c r="C126" i="7" s="1"/>
  <c r="C127" i="7" s="1"/>
  <c r="C128" i="7" s="1"/>
  <c r="C129" i="7" s="1"/>
  <c r="C130" i="7" s="1"/>
  <c r="J121" i="7"/>
  <c r="M129" i="7"/>
  <c r="J129" i="7"/>
  <c r="M95" i="7"/>
  <c r="J95" i="7"/>
  <c r="M111" i="6"/>
  <c r="M20" i="4"/>
  <c r="H16" i="3"/>
  <c r="M37" i="4"/>
  <c r="G19" i="3"/>
  <c r="H19" i="3" s="1"/>
  <c r="R23" i="2"/>
  <c r="R8" i="2"/>
  <c r="R11" i="2"/>
  <c r="J6" i="5" l="1"/>
  <c r="D7" i="8" s="1"/>
  <c r="E7" i="8" s="1"/>
  <c r="F7" i="8" s="1"/>
  <c r="J6" i="6"/>
  <c r="C94" i="7"/>
  <c r="C95" i="7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94" i="6"/>
  <c r="C95" i="6"/>
  <c r="C99" i="6" s="1"/>
  <c r="C100" i="6" s="1"/>
  <c r="C102" i="6" s="1"/>
  <c r="C104" i="6" s="1"/>
  <c r="C105" i="6" s="1"/>
  <c r="C106" i="6" s="1"/>
  <c r="C107" i="6" s="1"/>
  <c r="C108" i="6" s="1"/>
  <c r="C110" i="6" s="1"/>
  <c r="C111" i="6" s="1"/>
  <c r="C112" i="6" s="1"/>
  <c r="C113" i="6" s="1"/>
  <c r="C114" i="6" s="1"/>
  <c r="J8" i="4"/>
  <c r="J31" i="7"/>
  <c r="D11" i="8" s="1"/>
  <c r="E11" i="8" s="1"/>
  <c r="F11" i="8" s="1"/>
  <c r="E10" i="8"/>
  <c r="F10" i="8" s="1"/>
  <c r="H22" i="3"/>
  <c r="D8" i="8"/>
  <c r="M8" i="5"/>
  <c r="M18" i="2"/>
  <c r="R18" i="2" s="1"/>
  <c r="R36" i="2" s="1"/>
  <c r="D9" i="8" l="1"/>
  <c r="E9" i="8" s="1"/>
  <c r="F9" i="8" s="1"/>
  <c r="E8" i="8"/>
  <c r="F8" i="8" s="1"/>
  <c r="D6" i="8"/>
  <c r="D12" i="8" l="1"/>
  <c r="E6" i="8"/>
  <c r="F6" i="8" s="1"/>
  <c r="F12" i="8" s="1"/>
</calcChain>
</file>

<file path=xl/sharedStrings.xml><?xml version="1.0" encoding="utf-8"?>
<sst xmlns="http://schemas.openxmlformats.org/spreadsheetml/2006/main" count="2969" uniqueCount="598">
  <si>
    <t>BẢNG CHI TIẾT QUYẾT TOÁN KHỐI LƯỢNG VẬT TƯ A CẤP</t>
  </si>
  <si>
    <t>Stt</t>
  </si>
  <si>
    <t>Mô tả công việc</t>
  </si>
  <si>
    <t>Đơn
 vị tính</t>
  </si>
  <si>
    <t xml:space="preserve">Khối lượng </t>
  </si>
  <si>
    <t>Phiếu xuất</t>
  </si>
  <si>
    <t>Phiếu nhập</t>
  </si>
  <si>
    <t>Đơn giá</t>
  </si>
  <si>
    <t>Thành tiền</t>
  </si>
  <si>
    <t>Ghi Chú</t>
  </si>
  <si>
    <t>Dự 
toán</t>
  </si>
  <si>
    <t>Thực
 lãnh</t>
  </si>
  <si>
    <t>Thi 
công</t>
  </si>
  <si>
    <t>Số phiếu</t>
  </si>
  <si>
    <t>Ngày lập</t>
  </si>
  <si>
    <t>KL. Thừa</t>
  </si>
  <si>
    <t>Quyết toán</t>
  </si>
  <si>
    <t>Nhập thừa</t>
  </si>
  <si>
    <t>T12540</t>
  </si>
  <si>
    <t>T14</t>
  </si>
  <si>
    <t>SD</t>
  </si>
  <si>
    <t>CSD</t>
  </si>
  <si>
    <t>Stply</t>
  </si>
  <si>
    <t>soc</t>
  </si>
  <si>
    <t>XLPE150</t>
  </si>
  <si>
    <t>XLPE25</t>
  </si>
  <si>
    <t>m25</t>
  </si>
  <si>
    <t>AC120</t>
  </si>
  <si>
    <t>XLPE185A</t>
  </si>
  <si>
    <t>C5/8</t>
  </si>
  <si>
    <t>kg</t>
  </si>
  <si>
    <t>Tỉ trọng 0.454kg/m</t>
  </si>
  <si>
    <t>ACX50</t>
  </si>
  <si>
    <t>d12</t>
  </si>
  <si>
    <t>d15</t>
  </si>
  <si>
    <t>ltd6</t>
  </si>
  <si>
    <t>d200</t>
  </si>
  <si>
    <t>t115</t>
  </si>
  <si>
    <t>d22</t>
  </si>
  <si>
    <t>B cấp 02 thanh</t>
  </si>
  <si>
    <t>t81</t>
  </si>
  <si>
    <t>B cấp 04 thanh</t>
  </si>
  <si>
    <t>Duplex 216</t>
  </si>
  <si>
    <t>SN</t>
  </si>
  <si>
    <t>GIÁM SÁT THI CÔNG</t>
  </si>
  <si>
    <t>GIÁM SÁT B</t>
  </si>
  <si>
    <t>Hoàng Như Hoàn</t>
  </si>
  <si>
    <t>CHỦ ĐẦU TƯ</t>
  </si>
  <si>
    <t>ĐƠN VỊ GIÁM SÁT</t>
  </si>
  <si>
    <t>ĐƠN VỊ THI CÔNG</t>
  </si>
  <si>
    <t>ĐIỆN LỰC XUÂN LỘC</t>
  </si>
  <si>
    <t>CÔNG TY TNHH THU LỘC</t>
  </si>
  <si>
    <t>GIÁM ĐỐC</t>
  </si>
  <si>
    <t>Phạm Quang Vĩnh Phú</t>
  </si>
  <si>
    <t>Trần Thị Ngọc Thọ</t>
  </si>
  <si>
    <t>Nguyễn Thành Long</t>
  </si>
  <si>
    <t>CÔNG TY CPKT-TM &amp;TV</t>
  </si>
  <si>
    <t>THIÊN PHÚ</t>
  </si>
  <si>
    <t>Dương Bình Chánh</t>
  </si>
  <si>
    <t>CỘNG HÒA XÃ HỘI CHỦ NGHĨA VIỆT NAM</t>
  </si>
  <si>
    <t>Độc lập – Tự do – Hạnh phúc</t>
  </si>
  <si>
    <t>Xuân Lộc, ngày       tháng      năm 2019</t>
  </si>
  <si>
    <t>PHIẾU ĐỀ NGHỊ NHẬP VẬT TƯ THỪA</t>
  </si>
  <si>
    <t xml:space="preserve">                                         Kính gửi: </t>
  </si>
  <si>
    <t xml:space="preserve">                                                           - Giám Đốc Điện Lực Xuân Lộc;</t>
  </si>
  <si>
    <t xml:space="preserve">                                                           - Phòng KH-KT.</t>
  </si>
  <si>
    <t xml:space="preserve">        Công ty TNHH Thu Lộc đề nghị Giám đốc Điện lực Xuân Lộc, Phòng KH-KT nhập vật tư mới còn thừa sau khi thi công công trình với khối lượng như sau:</t>
  </si>
  <si>
    <t>STT</t>
  </si>
  <si>
    <t>Hạng mục – quy cách</t>
  </si>
  <si>
    <t>Đơn vị</t>
  </si>
  <si>
    <t>K.lượng</t>
  </si>
  <si>
    <t>Thành tiền nhập thừa</t>
  </si>
  <si>
    <t>Số phiếu tham chiếu</t>
  </si>
  <si>
    <t>Ngày xuất</t>
  </si>
  <si>
    <t>1T12540</t>
  </si>
  <si>
    <t>1SD</t>
  </si>
  <si>
    <t>1CSD</t>
  </si>
  <si>
    <t>1Stply</t>
  </si>
  <si>
    <t>1soc</t>
  </si>
  <si>
    <t>1m25</t>
  </si>
  <si>
    <t>Tổng cộng</t>
  </si>
  <si>
    <t>BẢNG KÊ KHỐI LƯỢNG PHÁT SINH TĂNG TRONG THẦU</t>
  </si>
  <si>
    <t>Đơn vị tính</t>
  </si>
  <si>
    <t>Khối lượng</t>
  </si>
  <si>
    <t>thành tiền</t>
  </si>
  <si>
    <t>Ghi chú</t>
  </si>
  <si>
    <t>Đơn giá
 dự thầu</t>
  </si>
  <si>
    <t>Khối lượng hợp đồng</t>
  </si>
  <si>
    <t>Khối lượng thực hiện</t>
  </si>
  <si>
    <t>Phát sinh tăng</t>
  </si>
  <si>
    <t>A</t>
  </si>
  <si>
    <t>PHẦN VẬT TƯ A CẤP</t>
  </si>
  <si>
    <t>B</t>
  </si>
  <si>
    <t>PHẦN VẬT TƯ B CẤP VÀ NHÂN CÔNG</t>
  </si>
  <si>
    <t>I</t>
  </si>
  <si>
    <t>II</t>
  </si>
  <si>
    <t>Tháo sứ đứng</t>
  </si>
  <si>
    <t>Tháo sứ đỉnh</t>
  </si>
  <si>
    <t>Tháo bộ đỡ trung hòa</t>
  </si>
  <si>
    <t>Tháo sứ treo thủy tinh</t>
  </si>
  <si>
    <t>Tháo sứ treo Polymer</t>
  </si>
  <si>
    <t>Tháo R4 sứ</t>
  </si>
  <si>
    <t>Tháo R3 sứ</t>
  </si>
  <si>
    <t>Tháo hộp Domino</t>
  </si>
  <si>
    <t>Tháo dây AC95</t>
  </si>
  <si>
    <t>Tháo dây AC70</t>
  </si>
  <si>
    <t>Tháo dây AC50</t>
  </si>
  <si>
    <t>Số dây Dupplex trên trụ</t>
  </si>
  <si>
    <t>Tháo X-composite 0,8m</t>
  </si>
  <si>
    <t>Tháo X-1,66Đ</t>
  </si>
  <si>
    <t>Tháo X-1,66K</t>
  </si>
  <si>
    <t>Tháo X-2,2K</t>
  </si>
  <si>
    <t>Tháo bộ chằng xuống</t>
  </si>
  <si>
    <t>Tháo bộ chằng lệch</t>
  </si>
  <si>
    <t>Nhổ trụ 12m</t>
  </si>
  <si>
    <t>Nhổ trụ 8,4m</t>
  </si>
  <si>
    <t>Tháo tủ hạ thế</t>
  </si>
  <si>
    <t>Tháo TBA 1P 75KVA</t>
  </si>
  <si>
    <t>Tháo TBA 1P: 100KVA</t>
  </si>
  <si>
    <t>Tháo FCO</t>
  </si>
  <si>
    <t>Tháo LA</t>
  </si>
  <si>
    <t>Tháo LTD</t>
  </si>
  <si>
    <t>Lắp sứ đỉnh</t>
  </si>
  <si>
    <t>Lắp sứ treo Polymer</t>
  </si>
  <si>
    <t>Lắp R4 sứ</t>
  </si>
  <si>
    <t>Lắp R3 sứ</t>
  </si>
  <si>
    <t>Lắp hộp Domino</t>
  </si>
  <si>
    <t>Lắp X-composite 0,8m</t>
  </si>
  <si>
    <t>Lắp X-2,2K</t>
  </si>
  <si>
    <t>Lắp TBA 1P 75KVA</t>
  </si>
  <si>
    <t>Lắp TBA 1P 100KVA</t>
  </si>
  <si>
    <t>Lắp FCO</t>
  </si>
  <si>
    <t>Lắp LA</t>
  </si>
  <si>
    <t>Lắp LTD</t>
  </si>
  <si>
    <t xml:space="preserve">  GIÁM SÁT B</t>
  </si>
  <si>
    <t>ĐƠN VỊ THIẾT KẾ</t>
  </si>
  <si>
    <t>TRUNG TÂM KHUYẾN CÔNG VÀ TVPT CÔNG NGHIỆP
TỈNH ĐỒNG NAI</t>
  </si>
  <si>
    <t>CÔNG TY TNHH CP 
KT-TM VÀ TƯ VẤN THIÊN PHÚ</t>
  </si>
  <si>
    <t xml:space="preserve">         GIÁM SÁT A                                        P.GIÁM ĐỐC</t>
  </si>
  <si>
    <t xml:space="preserve">   Trần Quang Phúc                                       Chu Văn Hiếu</t>
  </si>
  <si>
    <t>BẢNG DỰ TOÁN PHÁT SINH TĂNG TRONG THẦU</t>
  </si>
  <si>
    <t>BẢNG KÊ KHỐI LƯỢNG PHÁT SINH GIẢM TRONG THẦU</t>
  </si>
  <si>
    <t>Phát sinh Giảm</t>
  </si>
  <si>
    <t>Đth-U</t>
  </si>
  <si>
    <t>COS150</t>
  </si>
  <si>
    <t>BẢNG DỰ TOÁN PHÁT SINH GIẢM TRONG THẦU</t>
  </si>
  <si>
    <t xml:space="preserve">BẢNG TỔNG HỢP GIÁ TRỊ PHÁT SINH </t>
  </si>
  <si>
    <t>Hạng mục</t>
  </si>
  <si>
    <t>Cách tính</t>
  </si>
  <si>
    <t>Giá trị trước thuế</t>
  </si>
  <si>
    <t>Thế VAT</t>
  </si>
  <si>
    <t>Giá trị phát sinh tăng</t>
  </si>
  <si>
    <t>1.1</t>
  </si>
  <si>
    <t>Phần vật tư A cấp</t>
  </si>
  <si>
    <t>Bảng chiết tính</t>
  </si>
  <si>
    <t>1.2</t>
  </si>
  <si>
    <t>Phần vật tư B cấp và nhân công</t>
  </si>
  <si>
    <t>Giá trị phát sinh giảm</t>
  </si>
  <si>
    <t>2.1</t>
  </si>
  <si>
    <t>2.2</t>
  </si>
  <si>
    <t>TỔNG GIÁ TRỊ PHÁT SINH</t>
  </si>
  <si>
    <t>Bằng chữ: Một trăm lẻ bốn triệu, sáu trăm bốn mươi tám ngàn, tám trăm chín mươi lăm đồng.</t>
  </si>
  <si>
    <t xml:space="preserve">   </t>
  </si>
  <si>
    <t>P.GIÁM ĐỐC</t>
  </si>
  <si>
    <t>Chu Văn Hiếu</t>
  </si>
  <si>
    <t>–––––––––––––––––––</t>
  </si>
  <si>
    <t>Độc Lập - Tự Do - Hạnh Phúc</t>
  </si>
  <si>
    <t>–––––––––––––––––––––––––</t>
  </si>
  <si>
    <t xml:space="preserve">BẢNG KÊ TỔNG HỢP KHỐI LƯỢNG XÂY LẮP HOÀN THÀNH </t>
  </si>
  <si>
    <t>Gói thầu số 1: Thi công xây lắp</t>
  </si>
  <si>
    <t>Tên công trình: Sửa chữa đường dây trung thế huyện Cẩm Mỹ năm 2020.</t>
  </si>
  <si>
    <t>Địa điểm: Huyện Cẩm Mỹ - Tỉnh Đồng Nai.</t>
  </si>
  <si>
    <t>MHĐM</t>
  </si>
  <si>
    <t>Danh mục</t>
  </si>
  <si>
    <t>Phát Sinh</t>
  </si>
  <si>
    <t>Hợp đồng</t>
  </si>
  <si>
    <t>Thực tế</t>
  </si>
  <si>
    <t>Tăng</t>
  </si>
  <si>
    <t>Giảm</t>
  </si>
  <si>
    <t>PHẦN ĐƯỜNG DÂY TRUNG THẾ</t>
  </si>
  <si>
    <t>Phần móng và tiếp địa</t>
  </si>
  <si>
    <t>M12</t>
  </si>
  <si>
    <t>Móng M12</t>
  </si>
  <si>
    <t>Móng</t>
  </si>
  <si>
    <t>Tiếp địa lặp lại bổ sung mới</t>
  </si>
  <si>
    <t>Bộ</t>
  </si>
  <si>
    <t>Cáp đồng trần M25mm2 (0,224kg/m)</t>
  </si>
  <si>
    <t>Cọc tiếp địa mạ đồng 16x2400</t>
  </si>
  <si>
    <t>cọc</t>
  </si>
  <si>
    <t>Kẹp ép WR 279</t>
  </si>
  <si>
    <t>cái</t>
  </si>
  <si>
    <t>Ốc siết cáp 38mm2</t>
  </si>
  <si>
    <t>Kẹp cọc tiếp địa Cu</t>
  </si>
  <si>
    <t xml:space="preserve">BTLT 12 </t>
  </si>
  <si>
    <t>Trụ bê tông ly tâm 12m trồng thủ công + cơ giới</t>
  </si>
  <si>
    <t>Trụ</t>
  </si>
  <si>
    <t>Trụ BTLT 12m F540 dự ứng lực</t>
  </si>
  <si>
    <t>trụ</t>
  </si>
  <si>
    <t>Phần xà, néo</t>
  </si>
  <si>
    <t>Bộ đà tháp U160x64x5 - 2200mm tháp trụ I</t>
  </si>
  <si>
    <t>Đà tháp U160x64x5 - 2200mm (1 cái/ bộ)</t>
  </si>
  <si>
    <t>Chân sứ đỉnh thẳng dài 870 - 4 ly sứ 24kV (không bọc chì)</t>
  </si>
  <si>
    <t>(SDL sứ hiện hữu) (1 cái/ bộ)</t>
  </si>
  <si>
    <t>Boulon D16x50 + 02 long đền vuông D18-50x50x3/Zn: (02 cái/ bộ)</t>
  </si>
  <si>
    <t>Boulon D16x300VRS + 02 long đền vuông D18-50x50x3/Zn: (02 cái/ bộ)</t>
  </si>
  <si>
    <t>Bộ xà Composite bắt LA, FCO 1 pha</t>
  </si>
  <si>
    <t>Sử dụng lại tại trụ 037 nhánh Lò Than 4, trụ 001 nhánh Lò Than 5</t>
  </si>
  <si>
    <t>Đà hộp composite 110x80x5-800</t>
  </si>
  <si>
    <t>Đà hộp composite 110x80x5-800 SDL</t>
  </si>
  <si>
    <t>Thanh chống composite 10x40x720</t>
  </si>
  <si>
    <t>Thanh chống composite 10x40x710</t>
  </si>
  <si>
    <t>Boulon 16x350+ 2 long đền vuông D18-50x50x3/Zn</t>
  </si>
  <si>
    <t>bộ</t>
  </si>
  <si>
    <t>Boulon 16x250 + 02 long đền vuông D18-50x50x3/Zn</t>
  </si>
  <si>
    <t>Boulon 14x120+ 2 long đền vuông D16-50x50x3/Zn</t>
  </si>
  <si>
    <t>CX12-C</t>
  </si>
  <si>
    <t>Bộ chằng xuống đơn cho trụ 12m: CX12-B</t>
  </si>
  <si>
    <t>Giảm 02 bộ tại trụ 009A nhánh Lâm San 338 do vướng mặt bằng không thể làm được.</t>
  </si>
  <si>
    <t>Cáp chằng D5/8" mạ kẽm nhúng</t>
  </si>
  <si>
    <t>mét</t>
  </si>
  <si>
    <t>Sứ chằng lớn (90N): 01 cái/ bộ</t>
  </si>
  <si>
    <t>Kẹp chằng 3 boulon 5/8"/Zn (B46x130): 08 cái/ bộ</t>
  </si>
  <si>
    <t>Boulon mắt 16x250 + 01 long đền vuông D18-50x50x3/Zn</t>
  </si>
  <si>
    <t>Yếm đỡ dây chằng Ø1/2" mạ kẽm - dày 2mm đỡ dây chằng 5/8: 02 cái / bộ</t>
  </si>
  <si>
    <t>Máng che dây chằng 0,8x2000: 01 cái/ bộ</t>
  </si>
  <si>
    <t>CL12-C</t>
  </si>
  <si>
    <t>Bộ chằng lệch đơn cho trụ 12m: CL12-B</t>
  </si>
  <si>
    <t>Bộ chống chằng hẹp Φ60/50x1500+2BL12x40+BL16x250/80</t>
  </si>
  <si>
    <t>Bộ chằng vượt băng đường SG cho trụ 12m.</t>
  </si>
  <si>
    <t>NXX</t>
  </si>
  <si>
    <t>Bộ móng neo xòe cho chằng xuống: NXX</t>
  </si>
  <si>
    <t>Giảm 02 bộ tại trụ 009A nhánh Lâm San 338</t>
  </si>
  <si>
    <t>Ty neo Ø22x2400</t>
  </si>
  <si>
    <t>Neo xòe 8H-135inch2 + đĩa sen (sơn đen)</t>
  </si>
  <si>
    <t>III</t>
  </si>
  <si>
    <t>Phần dây, sứ và phụ kiện</t>
  </si>
  <si>
    <t>SDL</t>
  </si>
  <si>
    <t>Cáp nhôm lõi thép AC-50: (0,196x1,02xCd)(sử dụng lại dây pha hiện hữu)</t>
  </si>
  <si>
    <t>Do khoảng cách thực tế</t>
  </si>
  <si>
    <t>Cáp ACX 50/8mm2 (24)KV: (1,02xCd)</t>
  </si>
  <si>
    <t>Bộ Uclevis đỡ dây trung hòa gắn vào trụ BTLT</t>
  </si>
  <si>
    <t>Uclevis - 3mm</t>
  </si>
  <si>
    <t>Sứ ống chỉ</t>
  </si>
  <si>
    <t>Bộ dừng dây trung hòa vào trụ đơn</t>
  </si>
  <si>
    <t>Giảm 02 bộ tại trụ 008 nhánh Lâm San 343</t>
  </si>
  <si>
    <t>Kẹp dừng dây 3U-4mm (50-70mm2)</t>
  </si>
  <si>
    <t>Boulon mắt 16x300 + 1 long đền vuông D18-50x50x3/Zn</t>
  </si>
  <si>
    <t>Bộ cách điện đỉnh thẳng: SĐI</t>
  </si>
  <si>
    <t>Giảm 01 bộ tại trụ 003 nhánh Lò Than 7; 01 bộ tại trụ 017 Lò Than 8,9; 02 bộ tại trụ 024 và 025 nhánh Lâm San 338; 03 bộ tại trụ 016,018 và 021 nhánh Lâm San 343 do các vị trí trụ này là trụ 2DT</t>
  </si>
  <si>
    <t>Sứ đứng 24KV ĐR540mm (không bọc chì)</t>
  </si>
  <si>
    <t>Bộ cách điện đỉnh góc: SĐU</t>
  </si>
  <si>
    <t>Giảm 01 bộ tại trụ 009 nhánh TX. Xuân Tây 7 do theo thiết kế chuyển từ trụ F sang trụ G tuy nhiên do góc lớn nên chuyển từ trụ F sang 2DT</t>
  </si>
  <si>
    <t>Chân sứ đỉnh cong dài 870 - 4 ly  sứ 24kV (không bọc chì)</t>
  </si>
  <si>
    <t>Boulon 16x300 + 02 long đền vuông D18-50x50x3/Zn</t>
  </si>
  <si>
    <t>Ty sứ đỉnh thẳng (không bọc chì) (SDL sứ đứng hh)</t>
  </si>
  <si>
    <t>Do tại trụ 005 nhánh TX Xuân Tây 
7 sử dụng chung với bulon mắt sứ treo Polymer</t>
  </si>
  <si>
    <t>Ty sứ đỉnh góc (không bọc chì)</t>
  </si>
  <si>
    <t>Chuổi sứ treo Polymer 24kV gắn vào trụ</t>
  </si>
  <si>
    <t>Sứ treo polymer 24kV</t>
  </si>
  <si>
    <t>chuỗi</t>
  </si>
  <si>
    <t>Do Điện lực cấp chỉ 50 cái</t>
  </si>
  <si>
    <t>Móc treo chữ U Ø16: dài 100</t>
  </si>
  <si>
    <t>Chuổi sứ treo Polymer 24kV gắn vào đà</t>
  </si>
  <si>
    <t>Giáp níu dừng dây bọc trung thế ACX50mm2 + Yếm móng U giáp níu</t>
  </si>
  <si>
    <t>Phụ kiện đường dây</t>
  </si>
  <si>
    <t>Kẹp ép WR 419 (120/120)</t>
  </si>
  <si>
    <t>Cáp CXV 25mm2</t>
  </si>
  <si>
    <t>Vật tư thay thế</t>
  </si>
  <si>
    <t>Cáp CXV 50mm2</t>
  </si>
  <si>
    <t>Kẹp quai Al-Cu 8 ly (4/0)</t>
  </si>
  <si>
    <t>Giảm 1 cái tại trụ 036 vì sử dụng chung  cho 2 nhánh Lò Than 4,5</t>
  </si>
  <si>
    <t>Hotline clamp mạ Sn 2/0</t>
  </si>
  <si>
    <t>Hotline clamp mạ Sn 4/0</t>
  </si>
  <si>
    <t>Chụp kẹp quai hotline</t>
  </si>
  <si>
    <t>Giảm 2 cái tại trụ 225 nhánh Lâm San 13 và trụ 205 nhánh Lâm San338</t>
  </si>
  <si>
    <t>Chụp FCO (Trên + Dưới)</t>
  </si>
  <si>
    <t>Chụp LA</t>
  </si>
  <si>
    <t>Giảm 01 cái tại trụ 010 nhánh 
Lâm San 13</t>
  </si>
  <si>
    <t>Bass LI bắt FCO</t>
  </si>
  <si>
    <t>Bass LL bắt FCO &amp; LA</t>
  </si>
  <si>
    <t>Dây buộc cổ sứ đỡ thẳng vào dây ACX50mm2</t>
  </si>
  <si>
    <t>Theo thực tế thi công</t>
  </si>
  <si>
    <t>Dây buộc cổ sứ đỡ góc vào dây ACX50mm2</t>
  </si>
  <si>
    <r>
      <t>Ống nối dây AC95mm</t>
    </r>
    <r>
      <rPr>
        <vertAlign val="superscript"/>
        <sz val="13"/>
        <color theme="1"/>
        <rFont val="Times New Roman"/>
        <family val="1"/>
      </rPr>
      <t xml:space="preserve">2 </t>
    </r>
    <r>
      <rPr>
        <sz val="13"/>
        <color theme="1"/>
        <rFont val="Times New Roman"/>
        <family val="1"/>
      </rPr>
      <t>(không có lõi thép)</t>
    </r>
  </si>
  <si>
    <t>ống</t>
  </si>
  <si>
    <r>
      <t>Ống nối dây AC50mm</t>
    </r>
    <r>
      <rPr>
        <vertAlign val="superscript"/>
        <sz val="13"/>
        <color theme="1"/>
        <rFont val="Times New Roman"/>
        <family val="1"/>
      </rPr>
      <t xml:space="preserve">2 </t>
    </r>
    <r>
      <rPr>
        <sz val="13"/>
        <color theme="1"/>
        <rFont val="Times New Roman"/>
        <family val="1"/>
      </rPr>
      <t>(không có lõi thép)</t>
    </r>
  </si>
  <si>
    <t>Ống co nhiệt cách điện loại Ф 50/25 độ dày &gt;1mm</t>
  </si>
  <si>
    <t>Dây nhôm A70 (buộc sứ ống chỉ vào AC 70; 1,2m/tao/sứ)</t>
  </si>
  <si>
    <t>Sơn trắng (sơn nền):1kg/20 trụ</t>
  </si>
  <si>
    <t>Sơn đen (sơn chữ): 400ml (1bình/15 trụ)</t>
  </si>
  <si>
    <t>bình</t>
  </si>
  <si>
    <t>PHẦN NHÂN CÔNG</t>
  </si>
  <si>
    <t>Đào đất cấp III : 0,226m3/móng M12; 0,25m3/móng neo xuống; 0,25m3/móng neo lệch.</t>
  </si>
  <si>
    <t>m3</t>
  </si>
  <si>
    <t>Đắp đất k=0,9 : 0,18m3/móng M12; 0,25m3/móng neo xuống; 0,25m3/móng neo lệch.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</si>
  <si>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</si>
  <si>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</si>
  <si>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</si>
  <si>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</si>
  <si>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</si>
  <si>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</si>
  <si>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</si>
  <si>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</si>
  <si>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</si>
  <si>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</si>
  <si>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</si>
  <si>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 xml:space="preserve">Tháo kẹp dừng dây 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</si>
  <si>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</si>
  <si>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</si>
  <si>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</si>
  <si>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</si>
  <si>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</t>
  </si>
  <si>
    <t>TP. KHKT: Nguyễn Trọng Tín ……………</t>
  </si>
  <si>
    <t>Giám sát chính: Huỳnh Văn Muộn ……………</t>
  </si>
  <si>
    <t>Giám sát phụ: Lê Minh Thiện ……………</t>
  </si>
  <si>
    <t>Giám sát phụ: Nguyễn Ngọc Tân ……………</t>
  </si>
  <si>
    <t>Giám sát phụ: Nguyễn Anh Tuấn ……………</t>
  </si>
  <si>
    <t>Giám sát phụ: Nguyễn Quốc Bảo ……………</t>
  </si>
  <si>
    <t>CHỦ ĐẦU TƯ  &amp; Đ.VỊ  GIÁM SÁT</t>
  </si>
  <si>
    <t xml:space="preserve"> ĐƠN VỊ THI CÔNG</t>
  </si>
  <si>
    <t>ĐIỆN LỰC CẨM MỸ</t>
  </si>
  <si>
    <t>Nguyễn Vĩnh Tuấn</t>
  </si>
  <si>
    <t xml:space="preserve">BẢNG KÊ KHỐI LƯỢNG XÂY LẮP HOÀN THÀNH </t>
  </si>
  <si>
    <t>Nội dung công việc</t>
  </si>
  <si>
    <t>Phần vật tư, thiết bị Điện lực cấp</t>
  </si>
  <si>
    <t>1</t>
  </si>
  <si>
    <t>Do khoảng cách thực tế giảm</t>
  </si>
  <si>
    <t>2</t>
  </si>
  <si>
    <t>3</t>
  </si>
  <si>
    <t>Vật tư thay thế do Điện lực cấp</t>
  </si>
  <si>
    <t>4</t>
  </si>
  <si>
    <t>5</t>
  </si>
  <si>
    <t>6</t>
  </si>
  <si>
    <t>7</t>
  </si>
  <si>
    <t>8</t>
  </si>
  <si>
    <t>Do Điện lực cấp</t>
  </si>
  <si>
    <t>9</t>
  </si>
  <si>
    <t>10</t>
  </si>
  <si>
    <t>11</t>
  </si>
  <si>
    <t>Nguyên nhân giảm được giải thích bên bảng tổng hợp khối lượng hoàn thành</t>
  </si>
  <si>
    <t>12</t>
  </si>
  <si>
    <t>13</t>
  </si>
  <si>
    <t>14</t>
  </si>
  <si>
    <t>15</t>
  </si>
  <si>
    <t>16</t>
  </si>
  <si>
    <t>17</t>
  </si>
  <si>
    <t>Phần vật tư nhà thầu cấp</t>
  </si>
  <si>
    <t>Xem lại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</si>
  <si>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</si>
  <si>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</si>
  <si>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</si>
  <si>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</si>
  <si>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</si>
  <si>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</si>
  <si>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</si>
  <si>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</si>
  <si>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</si>
  <si>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</si>
  <si>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</si>
  <si>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</si>
  <si>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</si>
  <si>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</si>
  <si>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</si>
  <si>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Ống nối dây AC50mm2 (không có lõi thép)</t>
  </si>
  <si>
    <t>33</t>
  </si>
  <si>
    <t>Ống nối dây AC95mm2 (không có lõi thép)</t>
  </si>
  <si>
    <t>34</t>
  </si>
  <si>
    <t>35</t>
  </si>
  <si>
    <t>36</t>
  </si>
  <si>
    <t>37</t>
  </si>
  <si>
    <t>C</t>
  </si>
  <si>
    <t>Phần nhân công, máy thi công</t>
  </si>
  <si>
    <t>Độc lập - Tự do - Hạnh phúc</t>
  </si>
  <si>
    <t>–––––––––––––––––––––––––––––</t>
  </si>
  <si>
    <t>BẢNG QUYẾT TOÁN VẬT TƯ A CẤP</t>
  </si>
  <si>
    <t>Mã vật tư</t>
  </si>
  <si>
    <t>HẠNG MỤC</t>
  </si>
  <si>
    <t>ĐƠN VỊ</t>
  </si>
  <si>
    <t>PHIẾU XUẤT</t>
  </si>
  <si>
    <t>SỐ LƯỢNG</t>
  </si>
  <si>
    <t>PHIẾU NHẬP</t>
  </si>
  <si>
    <t>GHI CHÚ</t>
  </si>
  <si>
    <t>SỐ</t>
  </si>
  <si>
    <t>NGÀY</t>
  </si>
  <si>
    <t>HỢP ĐỒNG</t>
  </si>
  <si>
    <t xml:space="preserve">THỰC LÃNH </t>
  </si>
  <si>
    <t>THI CÔNG</t>
  </si>
  <si>
    <t>THỪA</t>
  </si>
  <si>
    <t>3.15.96.050.VIE.00.000</t>
  </si>
  <si>
    <t>03.PZ1.41.0001</t>
  </si>
  <si>
    <t>27/03/2020</t>
  </si>
  <si>
    <t>01.PZ1.11.0008</t>
  </si>
  <si>
    <t>2.50.05.208.VIE.00.000</t>
  </si>
  <si>
    <t>01.PZ1.11.0011</t>
  </si>
  <si>
    <t>3.15.82.025.VIE.00.000</t>
  </si>
  <si>
    <t>3.15.25.025.VIE.00.000</t>
  </si>
  <si>
    <t>3.10.92.875.VIE.00.000</t>
  </si>
  <si>
    <t>Chân sứ đỉnh cong dài 870</t>
  </si>
  <si>
    <t>3.10.94.870.VIE.00.000</t>
  </si>
  <si>
    <t>3.10.92.870.VIE.00.000</t>
  </si>
  <si>
    <t>Chân sứ đỉnh thẳng dài 870</t>
  </si>
  <si>
    <t>3.06.40.800.VIE.00.000</t>
  </si>
  <si>
    <t>3.06.40.800.VIE.00.A80</t>
  </si>
  <si>
    <t>03.PZ2.41.0001</t>
  </si>
  <si>
    <t>3.06.30.372.VIE.00.000</t>
  </si>
  <si>
    <t>3.15.27.070.VIE.00.000</t>
  </si>
  <si>
    <t>Dây nhôm A70 mm</t>
  </si>
  <si>
    <t>03.PZ1.41.0002</t>
  </si>
  <si>
    <t>3.10.08.005.VE.00.000</t>
  </si>
  <si>
    <t>3.10.86.024.VIE.00.A80</t>
  </si>
  <si>
    <t>Sứ đứng 24KV</t>
  </si>
  <si>
    <t>01.PZ2.11.0004</t>
  </si>
  <si>
    <t>3.10.08.004.VIE.00.000</t>
  </si>
  <si>
    <t>3.10.88.001.KOR.00.000</t>
  </si>
  <si>
    <t>3.06.40.852.VIE.00.000</t>
  </si>
  <si>
    <t>3.06.40.850.VIE.00.A80</t>
  </si>
  <si>
    <t>0</t>
  </si>
  <si>
    <t>3.02.20.125.VIE.00.000</t>
  </si>
  <si>
    <t>3.06.60.901.VIE.00.000</t>
  </si>
  <si>
    <t>Giám sát phụ: Lê Minh Thiện ……………….</t>
  </si>
  <si>
    <t>BẢNG TỔNG HỢP GIÁ DỰ THẦU</t>
  </si>
  <si>
    <r>
      <t>CÔNG TRÌNH:</t>
    </r>
    <r>
      <rPr>
        <b/>
        <i/>
        <sz val="14"/>
        <color indexed="8"/>
        <rFont val="Times New Roman"/>
        <family val="1"/>
      </rPr>
      <t xml:space="preserve"> Sửa chữa đường dây trung thế Huyện Cẩm Mỹ 2020</t>
    </r>
  </si>
  <si>
    <r>
      <t>ĐỊA ĐIỂM:</t>
    </r>
    <r>
      <rPr>
        <b/>
        <i/>
        <sz val="14"/>
        <color indexed="8"/>
        <rFont val="Times New Roman"/>
        <family val="1"/>
      </rPr>
      <t xml:space="preserve">  Huyện Cẩm Mỹ - Tỉnh Đồng Nai</t>
    </r>
  </si>
  <si>
    <t>Mô tả công việc mời thầu</t>
  </si>
  <si>
    <t>Yêu cầu kỹ thuật/Chỉ dẫn kỹ thuật</t>
  </si>
  <si>
    <t>Khối lượng mời thầu</t>
  </si>
  <si>
    <t>Điện lực cấp</t>
  </si>
  <si>
    <t>Mô tả kỹ thuật theo chương V - 
Hàng mới 100%</t>
  </si>
  <si>
    <t>Khối lượng chi tiết theo chương V</t>
  </si>
  <si>
    <t>TỔNG CỘNG</t>
  </si>
  <si>
    <r>
      <t xml:space="preserve">Bằng chữ: </t>
    </r>
    <r>
      <rPr>
        <b/>
        <sz val="12"/>
        <color rgb="FFFF0000"/>
        <rFont val="Times New Roman"/>
        <family val="1"/>
      </rPr>
      <t>Bốn trăm mười chín triệu, ba trăm hai mươi chín ngàn, năm trăm đồng</t>
    </r>
  </si>
  <si>
    <t>Xuân Lộc , ngày        tháng 02 năm 2020</t>
  </si>
  <si>
    <t>ĐẠI DIỆN NHÀ THẦU</t>
  </si>
  <si>
    <t>-</t>
  </si>
  <si>
    <t>Sứ treo polymer</t>
  </si>
  <si>
    <t>Sứ chằng</t>
  </si>
  <si>
    <t>Cáp nhôm lõi thép AC-120/19</t>
  </si>
  <si>
    <t>Đà Sắt góc L75 x75 x8 dài 2,2m (4 ốp)</t>
  </si>
  <si>
    <t>Thanh chống đà sắt góc L50x50x5 dài 0,81m</t>
  </si>
  <si>
    <t>LTD 1P 24KV - 600A</t>
  </si>
  <si>
    <t>Trụ BTLT 14m F650 dự ứng lực</t>
  </si>
  <si>
    <t xml:space="preserve">Sứ đứng 24KV </t>
  </si>
  <si>
    <t>Chân sứ đứng D20</t>
  </si>
  <si>
    <t>07.PV3.53.0006</t>
  </si>
  <si>
    <t>07.PV3.53.0018</t>
  </si>
  <si>
    <t>07.PV3.53.0022</t>
  </si>
  <si>
    <t>07.PV3.53.0016</t>
  </si>
  <si>
    <t>07.PV3.53.0005</t>
  </si>
  <si>
    <t>07.PV3.53.0028</t>
  </si>
  <si>
    <t>thanh</t>
  </si>
  <si>
    <t>m</t>
  </si>
  <si>
    <t>Boulon mắt 16x300+ 1 long đền vuông D18-50x50x3/Zn</t>
  </si>
  <si>
    <t>Tháo sứ đứng + ty</t>
  </si>
  <si>
    <t>sứ</t>
  </si>
  <si>
    <t>Tháo sứ đứng + chân sứ đỉnh</t>
  </si>
  <si>
    <t>Tháo Rack 1 + sứ ống chỉ</t>
  </si>
  <si>
    <t>Tháo sứ treo thủy tinh (2 bát)</t>
  </si>
  <si>
    <t>Tháo chuỗi sứ treo Polymer</t>
  </si>
  <si>
    <t>Tháo Rack 4 + sứ ống chỉ</t>
  </si>
  <si>
    <t>Tháo Rack 3 + sứ ống chỉ</t>
  </si>
  <si>
    <t>Thaó hộp Domino</t>
  </si>
  <si>
    <t>Tháo hạ dây AC95</t>
  </si>
  <si>
    <t>Tháo hạ dây AC70</t>
  </si>
  <si>
    <t>Tháo hạ dây AC50</t>
  </si>
  <si>
    <t>Tháo dây Branchment</t>
  </si>
  <si>
    <t>sợi</t>
  </si>
  <si>
    <t>Tháo bộ xà compoxit 0,8m</t>
  </si>
  <si>
    <t>Tháo xà đỡ X-16Đ</t>
  </si>
  <si>
    <t>Tháo xà kép X-16K</t>
  </si>
  <si>
    <t>Tháo xà X-2,2K</t>
  </si>
  <si>
    <t>Nhổ trụ  BTLT 12m</t>
  </si>
  <si>
    <t>Nhổ trụ BTLT 8,4m</t>
  </si>
  <si>
    <t>Tháo tủ điện hạ thế</t>
  </si>
  <si>
    <t>Tháo MBA 1 pha 75KVA, treo trên cột</t>
  </si>
  <si>
    <t>máy</t>
  </si>
  <si>
    <t>Tháo MBA 1 pha 100KVA, treo trên cột</t>
  </si>
  <si>
    <t>Tháo bộ FCO</t>
  </si>
  <si>
    <t>Tháo bộ LA</t>
  </si>
  <si>
    <t>Tháo  LTD</t>
  </si>
  <si>
    <t>Lắp sứ đứng + chân sứ đỉnh</t>
  </si>
  <si>
    <t>Lắp Rack 4 + sứ ống chỉ</t>
  </si>
  <si>
    <t>Lắp Rack 3 + sứ ống chỉ</t>
  </si>
  <si>
    <t>Lắp bộ xà compoxit 0,8m</t>
  </si>
  <si>
    <t>Lắp xà X-2,2K</t>
  </si>
  <si>
    <t>Lắp MBA 1 pha 75KVA, treo trên cột</t>
  </si>
  <si>
    <t>Lắp MBA 1 pha 100KVA, treo trên cột</t>
  </si>
  <si>
    <t>Lắp bộ FCO</t>
  </si>
  <si>
    <t>Lắp bộ LA</t>
  </si>
  <si>
    <t>Lắp  LTD</t>
  </si>
  <si>
    <t>Nth-T</t>
  </si>
  <si>
    <t>KN120</t>
  </si>
  <si>
    <t>BM16300</t>
  </si>
  <si>
    <t>x</t>
  </si>
  <si>
    <t>M12a</t>
  </si>
  <si>
    <t>Móng trụ bê tông 12m có đà cản M12a</t>
  </si>
  <si>
    <t>Đà cản BTCT 1,2m</t>
  </si>
  <si>
    <t>TDTT12HH</t>
  </si>
  <si>
    <t>Tiếp địa lặp lại (trụ 12m) hiện hữu</t>
  </si>
  <si>
    <t>Cáp đồng trần M25mm2 : 2m/vị trí</t>
  </si>
  <si>
    <t>TDDD12</t>
  </si>
  <si>
    <t>Tiếp địa trụ recloser và TBA 1 pha</t>
  </si>
  <si>
    <t>Cáp đồng trần M25mm2 : 10m</t>
  </si>
  <si>
    <t>BTLT 12 F540</t>
  </si>
  <si>
    <t>Trụ bê tông ly tâm 12m</t>
  </si>
  <si>
    <t>Trụ BTLT 12m F540 dự ứng lực (k=2)</t>
  </si>
  <si>
    <t>CL12-B</t>
  </si>
  <si>
    <t>Sứ chằng lớn</t>
  </si>
  <si>
    <t>Cáp thép 5/8"</t>
  </si>
  <si>
    <t>CXX14-B</t>
  </si>
  <si>
    <t>Bộ chằng xuống kép cho trụ 14m: CXX14-B</t>
  </si>
  <si>
    <t>Cáp nhôm lõi thép bọc 24KV AC/XLPE50 mm2</t>
  </si>
  <si>
    <t>Bộ Uclevis đỡ dây trung hòa: Đth-U</t>
  </si>
  <si>
    <t xml:space="preserve">Sứ ống chỉ </t>
  </si>
  <si>
    <t>SĐU</t>
  </si>
  <si>
    <t>Bộ cách điện đứng+ty sứ : SĐU</t>
  </si>
  <si>
    <t>Sứ đứng 24KV ĐR 540mm (bọc chì)</t>
  </si>
  <si>
    <t>Chân sứ đứng D20 bọc chì</t>
  </si>
  <si>
    <t>CĐTply-X</t>
  </si>
  <si>
    <t>Chuỗi sứ treo Polymer 25kV lắp vào xà : CĐT ply-X</t>
  </si>
  <si>
    <t xml:space="preserve">Sứ treo polymer 24kV - 70N </t>
  </si>
  <si>
    <t>b22650</t>
  </si>
  <si>
    <t>Boulon 22x650+ 2 long đền vuông D24-50x50x3/Zn</t>
  </si>
  <si>
    <t>MDD3DC</t>
  </si>
  <si>
    <t>Đo đất móng cột, trụ, hố kiểm tra rộng &gt;3m, su ≤2m, đất cấp 3 bằng thủ công (p dụng cho móng đ cản)</t>
  </si>
  <si>
    <t>MDAP3</t>
  </si>
  <si>
    <t>Đắp đất hố móng cột , độ chặt k=0,9</t>
  </si>
  <si>
    <t>KE399</t>
  </si>
  <si>
    <t>Kẹp ép WR 399</t>
  </si>
  <si>
    <t>OXC</t>
  </si>
  <si>
    <t>Ốc xiết cáp</t>
  </si>
  <si>
    <t>C12m</t>
  </si>
  <si>
    <t>Dựng trụ BTLT &lt;=12m thủ công + cơ giới</t>
  </si>
  <si>
    <t>X-22K</t>
  </si>
  <si>
    <t>Bộ xà kép L75x75x8 dài 2.2m: X-22K - C810</t>
  </si>
  <si>
    <t>B16300</t>
  </si>
  <si>
    <t>Boulon 16x300+ 2 long đền vuông D18-50x50x3/Zn</t>
  </si>
  <si>
    <t>B16300v</t>
  </si>
  <si>
    <t>Boulon 16x300VRS+ 4 long đền vuông D18-50x50x3/Zn</t>
  </si>
  <si>
    <t>B1650</t>
  </si>
  <si>
    <t>Boulon 16x50+ 2 long đền vuông D18-50x50x3/Zn</t>
  </si>
  <si>
    <t>LXIN</t>
  </si>
  <si>
    <t>Lắp xà néo 58,63kg (X22K)</t>
  </si>
  <si>
    <t>K3B</t>
  </si>
  <si>
    <t>Kẹp cáp 3 boulon 5/8 (B46x130)</t>
  </si>
  <si>
    <t>CL</t>
  </si>
  <si>
    <t>Bộ chống chằng hẹp D60/50x1500+2BL12x40+BL16x250/80</t>
  </si>
  <si>
    <t>YC</t>
  </si>
  <si>
    <t>Yếm cáp dày 2mm</t>
  </si>
  <si>
    <t>MANG</t>
  </si>
  <si>
    <t>Máng che dây chằng dày 0,8x2000</t>
  </si>
  <si>
    <t>LDN</t>
  </si>
  <si>
    <t>Lắp bộ dây néo</t>
  </si>
  <si>
    <t>LCL</t>
  </si>
  <si>
    <t>Lắp bộ chống lệch</t>
  </si>
  <si>
    <t>R1</t>
  </si>
  <si>
    <t>Uclevis</t>
  </si>
  <si>
    <t>MT</t>
  </si>
  <si>
    <t xml:space="preserve">Móc treo chữ U </t>
  </si>
  <si>
    <t>GNIU50</t>
  </si>
  <si>
    <t>Giáp níu dừng dây bọc 50mm2 + yếm móng U + Mắt nối yếm</t>
  </si>
  <si>
    <t>ke279</t>
  </si>
  <si>
    <t>ke399</t>
  </si>
  <si>
    <t>ke419</t>
  </si>
  <si>
    <t>Kẹp ép WR 419</t>
  </si>
  <si>
    <t>ke929</t>
  </si>
  <si>
    <t>Kẹp ép WR 929</t>
  </si>
  <si>
    <t>GIP95-35</t>
  </si>
  <si>
    <t>Ghíp nối 2 boulon IPC 95-35</t>
  </si>
  <si>
    <t>BMoc16300</t>
  </si>
  <si>
    <t>Boulon móc 16x300+ 1 long đền tròn D18-50x50x3/Zn</t>
  </si>
  <si>
    <t>OCN</t>
  </si>
  <si>
    <t>Ong co nhiệt cách điện 24kV D60</t>
  </si>
  <si>
    <t>Đầu cosse ép Cu 150mm2 2 bulon+ chụp đầu coss</t>
  </si>
  <si>
    <t>KQ4/0</t>
  </si>
  <si>
    <t>Kẹp quai 4/0 đấu nóng</t>
  </si>
  <si>
    <t>KH4/0</t>
  </si>
  <si>
    <t>Kẹp hotline 4/0</t>
  </si>
  <si>
    <t>CCDQU</t>
  </si>
  <si>
    <t>Chụp kẹp Uquai</t>
  </si>
  <si>
    <t>Dbsttf</t>
  </si>
  <si>
    <t>Dây buộc đầu sứ TTF (185-240mm2)</t>
  </si>
  <si>
    <t>KDA50B</t>
  </si>
  <si>
    <t>Kéo dây nhôm bọc 50mm2</t>
  </si>
  <si>
    <t>KDAC120</t>
  </si>
  <si>
    <t>Kéo dây nhôm lõi thép cỡ dây 120mm2</t>
  </si>
  <si>
    <t>KDA185B</t>
  </si>
  <si>
    <t>Kéo dây nhôm bọc 185mm2</t>
  </si>
  <si>
    <t>LSDD</t>
  </si>
  <si>
    <t>Lắp sứ đứng 24KV + ty</t>
  </si>
  <si>
    <t>LCHSNply</t>
  </si>
  <si>
    <t>Lắp chuỗi sứ néo Polymer</t>
  </si>
  <si>
    <t>LSOC</t>
  </si>
  <si>
    <t>Lắp đặt sứ hạ thế, loại 1 sứ</t>
  </si>
  <si>
    <t>Trần Quang Phúc</t>
  </si>
  <si>
    <t>TRUNG TÂM KHUYẾN CÔNG VÀ TVPT CÔNG NGHIỆP
TỈNH ĐỒNG NAI
GIÁM ĐỐC</t>
  </si>
  <si>
    <t>Công trình: Sửa chữa đường dây trung thế huyện Cẩm Mỹ năm 2020.</t>
  </si>
  <si>
    <t>Địa điểm: Huyện Cẩm Mỹ - Tỉnh Đồng Nai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</si>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</sst>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(* #,##0.00_);_(* \(#,##0.00\);_(* &quot;-&quot;_);_(@_)"/>
    <numFmt numFmtId="168" formatCode="#,##0.0"/>
    <numFmt numFmtId="169" formatCode="_(* #,##0_);_(* \(#,##0\);_(* &quot;-&quot;&quot;?&quot;&quot;?&quot;_);_(@_)"/>
    <numFmt numFmtId="170" formatCode="#,##0.000"/>
    <numFmt numFmtId="171" formatCode="_(* #,##0.00_);_(* \(#,##0.00\);_(* &quot;-&quot;&quot;?&quot;&quot;?&quot;_);_(@_)"/>
    <numFmt numFmtId="172" formatCode="_(* #,##0.0_);_(* \(#,##0.0\);_(* &quot;-&quot;&quot;?&quot;&quot;?&quot;_);_(@_)"/>
    <numFmt numFmtId="173" formatCode="0.000"/>
    <numFmt numFmtId="174" formatCode="###,###&quot; m&quot;"/>
    <numFmt numFmtId="175" formatCode="###,###.0&quot; m&quot;"/>
    <numFmt numFmtId="176" formatCode="_-* #,##0\ _F_-;\-* #,##0\ _F_-;_-* &quot;-&quot;??\ _F_-;_-@_-"/>
    <numFmt numFmtId="177" formatCode="_-* #,##0.0\ _F_-;\-* #,##0.0\ _F_-;_-* &quot;-&quot;??\ _F_-;_-@_-"/>
    <numFmt numFmtId="178" formatCode="_-* #,##0.00\ _₫_-;\-* #,##0.00\ _₫_-;_-* &quot;-&quot;??\ _₫_-;_-@_-"/>
    <numFmt numFmtId="179" formatCode="0;[Red]0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NI-Times"/>
      <charset val="134"/>
    </font>
    <font>
      <sz val="12"/>
      <name val="VNI-Times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VNI-Times"/>
      <charset val="134"/>
    </font>
    <font>
      <sz val="12"/>
      <color rgb="FFFF0000"/>
      <name val="Times New Roman"/>
      <family val="1"/>
    </font>
    <font>
      <b/>
      <sz val="14"/>
      <name val="Times New Roman"/>
      <family val="1"/>
    </font>
    <font>
      <sz val="13"/>
      <name val="Times New Roman"/>
      <charset val="134"/>
    </font>
    <font>
      <sz val="14"/>
      <name val="Times New Roman"/>
      <family val="1"/>
    </font>
    <font>
      <sz val="14"/>
      <name val="VNI-Times"/>
      <charset val="134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8.25"/>
      <name val="Microsoft Sans Serif"/>
      <family val="2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  <font>
      <sz val="11"/>
      <color rgb="FFFF0000"/>
      <name val="Times New Roman"/>
      <family val="1"/>
    </font>
    <font>
      <sz val="13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3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sz val="13"/>
      <color rgb="FF0000FF"/>
      <name val="Times New Roman"/>
      <family val="1"/>
    </font>
    <font>
      <sz val="10"/>
      <name val="Times New Roman"/>
      <family val="1"/>
    </font>
    <font>
      <i/>
      <sz val="13"/>
      <name val="Times New Roman"/>
      <family val="1"/>
    </font>
    <font>
      <b/>
      <sz val="14"/>
      <name val="VNI-Times"/>
      <charset val="134"/>
    </font>
    <font>
      <sz val="10"/>
      <name val="VNI-Times"/>
    </font>
    <font>
      <sz val="12"/>
      <name val="VNI-Times"/>
    </font>
    <font>
      <b/>
      <sz val="10"/>
      <name val="VnBookman"/>
    </font>
    <font>
      <sz val="12"/>
      <name val="times"/>
    </font>
    <font>
      <b/>
      <sz val="12"/>
      <name val=".VnTime"/>
      <family val="2"/>
    </font>
    <font>
      <b/>
      <sz val="12"/>
      <name val="VNI-Times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vertAlign val="superscript"/>
      <sz val="13"/>
      <color theme="1"/>
      <name val="Times New Roman"/>
      <family val="1"/>
    </font>
    <font>
      <sz val="14"/>
      <color theme="1"/>
      <name val="Times New Roman"/>
      <family val="2"/>
    </font>
    <font>
      <sz val="10"/>
      <name val="VnBookman"/>
    </font>
    <font>
      <sz val="13"/>
      <name val="VNI-Times"/>
    </font>
    <font>
      <sz val="12"/>
      <color theme="1"/>
      <name val="Times New Roman"/>
      <family val="1"/>
    </font>
    <font>
      <sz val="10"/>
      <name val="Arial"/>
      <family val="2"/>
    </font>
    <font>
      <sz val="14"/>
      <name val="Times New Roman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2"/>
    </font>
    <font>
      <b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sz val="14"/>
      <color indexed="8"/>
      <name val="Times New Roman"/>
      <family val="1"/>
    </font>
    <font>
      <i/>
      <u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5" fillId="0" borderId="0"/>
    <xf numFmtId="43" fontId="2" fillId="0" borderId="0" applyFont="0" applyFill="0" applyBorder="0" applyAlignment="0" applyProtection="0"/>
    <xf numFmtId="0" fontId="10" fillId="0" borderId="0">
      <alignment horizontal="center"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2" fillId="0" borderId="0">
      <protection locked="0"/>
    </xf>
    <xf numFmtId="43" fontId="2" fillId="0" borderId="0" applyFont="0" applyFill="0" applyBorder="0" applyAlignment="0" applyProtection="0"/>
    <xf numFmtId="0" fontId="22" fillId="0" borderId="0">
      <protection locked="0"/>
    </xf>
    <xf numFmtId="0" fontId="40" fillId="0" borderId="0"/>
    <xf numFmtId="171" fontId="40" fillId="0" borderId="0" applyFont="0" applyFill="0" applyBorder="0" applyAlignment="0" applyProtection="0"/>
    <xf numFmtId="0" fontId="42" fillId="0" borderId="5" applyBorder="0"/>
    <xf numFmtId="0" fontId="49" fillId="0" borderId="0"/>
    <xf numFmtId="0" fontId="50" fillId="0" borderId="0"/>
    <xf numFmtId="0" fontId="58" fillId="0" borderId="0"/>
    <xf numFmtId="178" fontId="1" fillId="0" borderId="0" applyFont="0" applyFill="0" applyBorder="0" applyAlignment="0" applyProtection="0"/>
  </cellStyleXfs>
  <cellXfs count="681">
    <xf numFmtId="0" fontId="0" fillId="0" borderId="0" xfId="0"/>
    <xf numFmtId="0" fontId="3" fillId="0" borderId="0" xfId="1" applyFont="1"/>
    <xf numFmtId="0" fontId="4" fillId="0" borderId="0" xfId="1" applyFont="1" applyAlignment="1">
      <alignment horizontal="center"/>
    </xf>
    <xf numFmtId="0" fontId="4" fillId="2" borderId="0" xfId="2" applyFont="1" applyFill="1" applyAlignment="1">
      <alignment horizontal="center" vertical="center" wrapText="1"/>
    </xf>
    <xf numFmtId="0" fontId="4" fillId="2" borderId="0" xfId="2" applyFont="1" applyFill="1" applyAlignment="1">
      <alignment horizontal="center"/>
    </xf>
    <xf numFmtId="0" fontId="4" fillId="2" borderId="0" xfId="2" applyFont="1" applyFill="1" applyAlignment="1">
      <alignment horizontal="center"/>
    </xf>
    <xf numFmtId="0" fontId="4" fillId="2" borderId="0" xfId="2" applyFont="1" applyFill="1" applyAlignment="1">
      <alignment horizontal="center" wrapText="1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4" fontId="5" fillId="0" borderId="1" xfId="1" applyNumberFormat="1" applyFont="1" applyBorder="1" applyAlignment="1">
      <alignment vertical="center"/>
    </xf>
    <xf numFmtId="0" fontId="6" fillId="3" borderId="1" xfId="1" applyFont="1" applyFill="1" applyBorder="1" applyAlignment="1">
      <alignment horizontal="center" vertical="center" wrapText="1"/>
    </xf>
    <xf numFmtId="14" fontId="6" fillId="3" borderId="1" xfId="1" applyNumberFormat="1" applyFont="1" applyFill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43" fontId="5" fillId="0" borderId="1" xfId="3" applyFont="1" applyBorder="1" applyAlignment="1">
      <alignment vertical="center"/>
    </xf>
    <xf numFmtId="164" fontId="5" fillId="0" borderId="1" xfId="3" applyNumberFormat="1" applyFont="1" applyBorder="1" applyAlignment="1">
      <alignment vertical="center"/>
    </xf>
    <xf numFmtId="0" fontId="5" fillId="0" borderId="1" xfId="1" applyFont="1" applyBorder="1"/>
    <xf numFmtId="4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/>
    <xf numFmtId="0" fontId="7" fillId="0" borderId="0" xfId="1" applyFont="1"/>
    <xf numFmtId="165" fontId="5" fillId="0" borderId="1" xfId="1" applyNumberFormat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164" fontId="8" fillId="0" borderId="1" xfId="3" applyNumberFormat="1" applyFont="1" applyBorder="1" applyAlignment="1">
      <alignment vertical="center"/>
    </xf>
    <xf numFmtId="164" fontId="4" fillId="0" borderId="1" xfId="3" applyNumberFormat="1" applyFont="1" applyBorder="1" applyAlignment="1">
      <alignment vertical="center"/>
    </xf>
    <xf numFmtId="2" fontId="5" fillId="0" borderId="1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wrapText="1"/>
    </xf>
    <xf numFmtId="43" fontId="5" fillId="0" borderId="1" xfId="3" applyFont="1" applyBorder="1" applyAlignment="1">
      <alignment horizontal="center" vertical="center"/>
    </xf>
    <xf numFmtId="1" fontId="5" fillId="0" borderId="1" xfId="3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wrapText="1"/>
    </xf>
    <xf numFmtId="3" fontId="3" fillId="0" borderId="0" xfId="1" applyNumberFormat="1" applyFont="1" applyAlignment="1">
      <alignment horizontal="center"/>
    </xf>
    <xf numFmtId="3" fontId="3" fillId="0" borderId="0" xfId="1" applyNumberFormat="1" applyFont="1"/>
    <xf numFmtId="0" fontId="4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41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167" fontId="9" fillId="0" borderId="0" xfId="1" applyNumberFormat="1" applyFont="1" applyAlignment="1">
      <alignment horizontal="center" vertical="center"/>
    </xf>
    <xf numFmtId="0" fontId="11" fillId="0" borderId="0" xfId="4" applyFont="1">
      <alignment horizontal="center" vertical="center"/>
    </xf>
    <xf numFmtId="0" fontId="9" fillId="0" borderId="0" xfId="4" applyFont="1">
      <alignment horizontal="center" vertical="center"/>
    </xf>
    <xf numFmtId="49" fontId="9" fillId="0" borderId="0" xfId="2" applyNumberFormat="1" applyFont="1" applyAlignment="1">
      <alignment horizontal="center" wrapText="1"/>
    </xf>
    <xf numFmtId="0" fontId="11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/>
    </xf>
    <xf numFmtId="0" fontId="12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41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167" fontId="4" fillId="0" borderId="0" xfId="1" applyNumberFormat="1" applyFont="1" applyAlignment="1">
      <alignment horizontal="center" vertical="center"/>
    </xf>
    <xf numFmtId="49" fontId="4" fillId="2" borderId="0" xfId="2" applyNumberFormat="1" applyFont="1" applyFill="1" applyAlignment="1">
      <alignment horizontal="center" wrapText="1"/>
    </xf>
    <xf numFmtId="49" fontId="4" fillId="2" borderId="0" xfId="2" applyNumberFormat="1" applyFont="1" applyFill="1" applyAlignment="1">
      <alignment wrapText="1"/>
    </xf>
    <xf numFmtId="49" fontId="4" fillId="2" borderId="0" xfId="2" applyNumberFormat="1" applyFont="1" applyFill="1" applyAlignment="1">
      <alignment horizontal="center" wrapText="1"/>
    </xf>
    <xf numFmtId="0" fontId="5" fillId="0" borderId="0" xfId="1" applyFont="1" applyAlignment="1">
      <alignment horizontal="left" vertical="center" wrapText="1"/>
    </xf>
    <xf numFmtId="41" fontId="5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0" xfId="5"/>
    <xf numFmtId="0" fontId="13" fillId="0" borderId="0" xfId="5" applyFont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3" fillId="0" borderId="0" xfId="5" applyFont="1" applyAlignment="1">
      <alignment vertical="center" wrapText="1"/>
    </xf>
    <xf numFmtId="0" fontId="15" fillId="0" borderId="0" xfId="5" applyFont="1" applyAlignment="1">
      <alignment horizontal="center" vertical="center" wrapText="1"/>
    </xf>
    <xf numFmtId="0" fontId="16" fillId="0" borderId="0" xfId="5" applyFont="1" applyAlignment="1">
      <alignment horizontal="center"/>
    </xf>
    <xf numFmtId="0" fontId="15" fillId="0" borderId="0" xfId="5" applyFont="1" applyAlignment="1">
      <alignment horizontal="center" vertical="center" wrapText="1"/>
    </xf>
    <xf numFmtId="0" fontId="17" fillId="0" borderId="0" xfId="5" applyFont="1" applyAlignment="1">
      <alignment horizontal="center" vertical="center" wrapText="1"/>
    </xf>
    <xf numFmtId="0" fontId="16" fillId="0" borderId="0" xfId="5" applyFont="1"/>
    <xf numFmtId="164" fontId="16" fillId="0" borderId="0" xfId="5" applyNumberFormat="1" applyFont="1"/>
    <xf numFmtId="0" fontId="16" fillId="0" borderId="0" xfId="5" applyFont="1" applyAlignment="1">
      <alignment vertical="top" wrapText="1"/>
    </xf>
    <xf numFmtId="0" fontId="17" fillId="0" borderId="0" xfId="5" applyFont="1" applyAlignment="1">
      <alignment horizontal="center" vertical="center" wrapText="1"/>
    </xf>
    <xf numFmtId="0" fontId="17" fillId="0" borderId="0" xfId="5" applyFont="1" applyAlignment="1">
      <alignment vertical="center" wrapText="1"/>
    </xf>
    <xf numFmtId="0" fontId="18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9" fillId="0" borderId="0" xfId="5" applyFont="1" applyAlignment="1">
      <alignment horizontal="left" vertical="center"/>
    </xf>
    <xf numFmtId="0" fontId="20" fillId="0" borderId="0" xfId="5" applyFont="1" applyAlignment="1">
      <alignment horizontal="left" vertical="justify"/>
    </xf>
    <xf numFmtId="0" fontId="13" fillId="0" borderId="2" xfId="5" applyFont="1" applyBorder="1" applyAlignment="1">
      <alignment horizontal="center" vertical="center" wrapText="1"/>
    </xf>
    <xf numFmtId="164" fontId="21" fillId="0" borderId="2" xfId="5" applyNumberFormat="1" applyFont="1" applyBorder="1" applyAlignment="1">
      <alignment horizontal="center" vertical="center" wrapText="1"/>
    </xf>
    <xf numFmtId="0" fontId="21" fillId="0" borderId="2" xfId="5" applyFont="1" applyBorder="1" applyAlignment="1">
      <alignment horizontal="center" vertical="center" wrapText="1"/>
    </xf>
    <xf numFmtId="0" fontId="2" fillId="0" borderId="0" xfId="5" applyAlignment="1">
      <alignment vertical="center"/>
    </xf>
    <xf numFmtId="0" fontId="5" fillId="0" borderId="1" xfId="5" applyFont="1" applyBorder="1" applyAlignment="1">
      <alignment horizontal="center" vertical="center" wrapText="1"/>
    </xf>
    <xf numFmtId="0" fontId="5" fillId="0" borderId="1" xfId="5" applyFont="1" applyBorder="1" applyAlignment="1">
      <alignment vertical="center" shrinkToFit="1"/>
    </xf>
    <xf numFmtId="0" fontId="5" fillId="0" borderId="1" xfId="5" applyFont="1" applyBorder="1" applyAlignment="1">
      <alignment horizontal="center" vertical="center"/>
    </xf>
    <xf numFmtId="0" fontId="5" fillId="0" borderId="1" xfId="6" applyNumberFormat="1" applyFont="1" applyBorder="1" applyAlignment="1">
      <alignment horizontal="center" vertical="center"/>
    </xf>
    <xf numFmtId="43" fontId="5" fillId="0" borderId="1" xfId="6" applyFont="1" applyBorder="1" applyAlignment="1">
      <alignment vertical="center"/>
    </xf>
    <xf numFmtId="0" fontId="6" fillId="3" borderId="1" xfId="5" applyFont="1" applyFill="1" applyBorder="1" applyAlignment="1">
      <alignment horizontal="center" vertical="center" wrapText="1"/>
    </xf>
    <xf numFmtId="14" fontId="6" fillId="3" borderId="1" xfId="5" applyNumberFormat="1" applyFont="1" applyFill="1" applyBorder="1" applyAlignment="1">
      <alignment horizontal="center" vertical="center" wrapText="1"/>
    </xf>
    <xf numFmtId="0" fontId="2" fillId="0" borderId="1" xfId="5" applyBorder="1"/>
    <xf numFmtId="0" fontId="4" fillId="0" borderId="1" xfId="5" applyFont="1" applyBorder="1" applyAlignment="1">
      <alignment horizontal="center" vertical="center" wrapText="1"/>
    </xf>
    <xf numFmtId="0" fontId="2" fillId="0" borderId="1" xfId="5" applyBorder="1" applyAlignment="1">
      <alignment horizontal="center"/>
    </xf>
    <xf numFmtId="164" fontId="4" fillId="0" borderId="1" xfId="6" applyNumberFormat="1" applyFont="1" applyBorder="1"/>
    <xf numFmtId="0" fontId="8" fillId="0" borderId="0" xfId="5" applyFont="1" applyAlignment="1">
      <alignment vertical="center" wrapText="1"/>
    </xf>
    <xf numFmtId="0" fontId="2" fillId="0" borderId="0" xfId="5" applyAlignment="1">
      <alignment horizontal="center"/>
    </xf>
    <xf numFmtId="164" fontId="2" fillId="0" borderId="0" xfId="5" applyNumberFormat="1"/>
    <xf numFmtId="167" fontId="11" fillId="0" borderId="0" xfId="1" applyNumberFormat="1" applyFont="1" applyAlignment="1">
      <alignment horizontal="center" vertical="center"/>
    </xf>
    <xf numFmtId="0" fontId="2" fillId="0" borderId="0" xfId="7"/>
    <xf numFmtId="0" fontId="4" fillId="0" borderId="0" xfId="8" applyFont="1" applyAlignment="1" applyProtection="1">
      <alignment horizontal="center" vertical="center"/>
    </xf>
    <xf numFmtId="0" fontId="4" fillId="0" borderId="0" xfId="8" applyFont="1" applyAlignment="1" applyProtection="1">
      <alignment horizontal="center" vertical="center"/>
    </xf>
    <xf numFmtId="41" fontId="2" fillId="0" borderId="0" xfId="7" applyNumberForma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41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41" fontId="4" fillId="0" borderId="0" xfId="2" applyNumberFormat="1" applyFont="1"/>
    <xf numFmtId="0" fontId="4" fillId="0" borderId="0" xfId="2" applyFont="1"/>
    <xf numFmtId="0" fontId="4" fillId="0" borderId="0" xfId="7" applyFont="1" applyAlignment="1">
      <alignment vertical="center"/>
    </xf>
    <xf numFmtId="3" fontId="4" fillId="0" borderId="1" xfId="7" applyNumberFormat="1" applyFont="1" applyBorder="1" applyAlignment="1">
      <alignment horizontal="center" vertical="center"/>
    </xf>
    <xf numFmtId="0" fontId="4" fillId="0" borderId="1" xfId="8" applyFont="1" applyBorder="1" applyAlignment="1" applyProtection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164" fontId="4" fillId="0" borderId="1" xfId="9" applyNumberFormat="1" applyFont="1" applyFill="1" applyBorder="1" applyAlignment="1" applyProtection="1">
      <alignment horizontal="center" vertical="center" wrapText="1"/>
    </xf>
    <xf numFmtId="3" fontId="4" fillId="0" borderId="1" xfId="7" applyNumberFormat="1" applyFont="1" applyBorder="1" applyAlignment="1">
      <alignment horizontal="center" vertical="center" wrapText="1"/>
    </xf>
    <xf numFmtId="3" fontId="4" fillId="0" borderId="0" xfId="7" applyNumberFormat="1" applyFont="1" applyAlignment="1">
      <alignment horizontal="center" vertical="center" wrapText="1"/>
    </xf>
    <xf numFmtId="41" fontId="4" fillId="0" borderId="0" xfId="7" applyNumberFormat="1" applyFont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167" fontId="4" fillId="0" borderId="1" xfId="8" applyNumberFormat="1" applyFont="1" applyBorder="1" applyAlignment="1" applyProtection="1">
      <alignment horizontal="center" vertical="center" wrapText="1"/>
    </xf>
    <xf numFmtId="3" fontId="4" fillId="0" borderId="1" xfId="7" applyNumberFormat="1" applyFont="1" applyBorder="1" applyAlignment="1">
      <alignment horizontal="center" vertical="center"/>
    </xf>
    <xf numFmtId="0" fontId="4" fillId="0" borderId="1" xfId="8" applyFont="1" applyBorder="1" applyAlignment="1" applyProtection="1">
      <alignment horizontal="center" vertical="center" wrapText="1"/>
    </xf>
    <xf numFmtId="164" fontId="4" fillId="0" borderId="1" xfId="9" applyNumberFormat="1" applyFont="1" applyFill="1" applyBorder="1" applyAlignment="1" applyProtection="1">
      <alignment horizontal="center" vertical="center" wrapText="1"/>
    </xf>
    <xf numFmtId="3" fontId="4" fillId="0" borderId="1" xfId="7" applyNumberFormat="1" applyFont="1" applyBorder="1" applyAlignment="1">
      <alignment horizontal="center" vertical="center" wrapText="1"/>
    </xf>
    <xf numFmtId="0" fontId="23" fillId="0" borderId="0" xfId="7" applyFont="1" applyAlignment="1">
      <alignment horizontal="center" vertical="center"/>
    </xf>
    <xf numFmtId="0" fontId="24" fillId="0" borderId="0" xfId="7" applyFont="1" applyAlignment="1">
      <alignment vertical="center"/>
    </xf>
    <xf numFmtId="0" fontId="5" fillId="0" borderId="1" xfId="7" applyFont="1" applyBorder="1" applyAlignment="1">
      <alignment vertical="center" wrapText="1"/>
    </xf>
    <xf numFmtId="0" fontId="5" fillId="0" borderId="1" xfId="7" applyFont="1" applyBorder="1" applyAlignment="1">
      <alignment horizontal="center" vertical="center" wrapText="1"/>
    </xf>
    <xf numFmtId="168" fontId="5" fillId="0" borderId="1" xfId="9" applyNumberFormat="1" applyFont="1" applyFill="1" applyBorder="1" applyAlignment="1">
      <alignment horizontal="center" vertical="center" wrapText="1"/>
    </xf>
    <xf numFmtId="168" fontId="5" fillId="0" borderId="1" xfId="9" applyNumberFormat="1" applyFont="1" applyFill="1" applyBorder="1" applyAlignment="1">
      <alignment horizontal="center" vertical="center"/>
    </xf>
    <xf numFmtId="41" fontId="24" fillId="0" borderId="0" xfId="9" applyNumberFormat="1" applyFont="1" applyFill="1" applyBorder="1" applyAlignment="1">
      <alignment horizontal="center" vertical="center"/>
    </xf>
    <xf numFmtId="0" fontId="25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41" fontId="5" fillId="0" borderId="1" xfId="9" applyNumberFormat="1" applyFont="1" applyFill="1" applyBorder="1" applyAlignment="1">
      <alignment horizontal="center" vertical="center"/>
    </xf>
    <xf numFmtId="164" fontId="5" fillId="0" borderId="1" xfId="9" applyNumberFormat="1" applyFont="1" applyFill="1" applyBorder="1" applyAlignment="1">
      <alignment vertical="center"/>
    </xf>
    <xf numFmtId="164" fontId="4" fillId="0" borderId="1" xfId="9" applyNumberFormat="1" applyFont="1" applyFill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 shrinkToFit="1"/>
    </xf>
    <xf numFmtId="0" fontId="26" fillId="4" borderId="1" xfId="4" applyFont="1" applyFill="1" applyBorder="1">
      <alignment horizontal="center" vertical="center"/>
    </xf>
    <xf numFmtId="1" fontId="26" fillId="4" borderId="1" xfId="4" applyNumberFormat="1" applyFont="1" applyFill="1" applyBorder="1">
      <alignment horizontal="center" vertical="center"/>
    </xf>
    <xf numFmtId="41" fontId="5" fillId="0" borderId="3" xfId="9" applyNumberFormat="1" applyFont="1" applyFill="1" applyBorder="1" applyAlignment="1">
      <alignment vertical="center"/>
    </xf>
    <xf numFmtId="0" fontId="10" fillId="0" borderId="1" xfId="4" applyBorder="1">
      <alignment horizontal="center" vertical="center"/>
    </xf>
    <xf numFmtId="0" fontId="4" fillId="0" borderId="1" xfId="7" applyFont="1" applyBorder="1" applyAlignment="1">
      <alignment vertical="center" wrapText="1"/>
    </xf>
    <xf numFmtId="0" fontId="10" fillId="0" borderId="1" xfId="4" applyBorder="1" applyAlignment="1">
      <alignment horizontal="left" vertical="center"/>
    </xf>
    <xf numFmtId="1" fontId="10" fillId="0" borderId="1" xfId="4" applyNumberFormat="1" applyBorder="1">
      <alignment horizontal="center" vertical="center"/>
    </xf>
    <xf numFmtId="169" fontId="5" fillId="0" borderId="0" xfId="9" applyNumberFormat="1" applyFont="1" applyFill="1" applyAlignment="1">
      <alignment vertical="center"/>
    </xf>
    <xf numFmtId="164" fontId="5" fillId="0" borderId="0" xfId="9" applyNumberFormat="1" applyFont="1" applyFill="1" applyAlignment="1">
      <alignment vertical="center"/>
    </xf>
    <xf numFmtId="41" fontId="5" fillId="0" borderId="1" xfId="9" applyNumberFormat="1" applyFont="1" applyFill="1" applyBorder="1" applyAlignment="1">
      <alignment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169" fontId="5" fillId="0" borderId="0" xfId="7" applyNumberFormat="1" applyFont="1" applyAlignment="1">
      <alignment horizontal="center" vertical="center"/>
    </xf>
    <xf numFmtId="167" fontId="5" fillId="0" borderId="0" xfId="9" applyNumberFormat="1" applyFont="1" applyFill="1" applyAlignment="1">
      <alignment vertical="center"/>
    </xf>
    <xf numFmtId="41" fontId="5" fillId="0" borderId="0" xfId="9" applyNumberFormat="1" applyFont="1" applyFill="1" applyAlignment="1">
      <alignment vertical="center"/>
    </xf>
    <xf numFmtId="0" fontId="26" fillId="0" borderId="0" xfId="7" applyFont="1" applyAlignment="1">
      <alignment horizontal="center" vertical="center"/>
    </xf>
    <xf numFmtId="0" fontId="26" fillId="0" borderId="0" xfId="7" applyFont="1" applyAlignment="1">
      <alignment vertical="center"/>
    </xf>
    <xf numFmtId="0" fontId="27" fillId="0" borderId="0" xfId="7" applyFont="1" applyAlignment="1">
      <alignment vertical="center" wrapText="1"/>
    </xf>
    <xf numFmtId="0" fontId="26" fillId="0" borderId="0" xfId="7" applyFont="1" applyAlignment="1">
      <alignment horizontal="center" vertical="center"/>
    </xf>
    <xf numFmtId="0" fontId="26" fillId="0" borderId="0" xfId="7" applyFont="1"/>
    <xf numFmtId="0" fontId="26" fillId="0" borderId="0" xfId="7" applyFont="1" applyAlignment="1">
      <alignment horizontal="center"/>
    </xf>
    <xf numFmtId="0" fontId="27" fillId="0" borderId="0" xfId="7" applyFont="1" applyAlignment="1">
      <alignment horizontal="center" vertical="center" wrapText="1"/>
    </xf>
    <xf numFmtId="0" fontId="28" fillId="0" borderId="0" xfId="7" applyFont="1" applyAlignment="1">
      <alignment horizontal="center"/>
    </xf>
    <xf numFmtId="0" fontId="28" fillId="0" borderId="0" xfId="7" applyFont="1"/>
    <xf numFmtId="41" fontId="28" fillId="0" borderId="0" xfId="7" applyNumberFormat="1" applyFont="1"/>
    <xf numFmtId="0" fontId="29" fillId="0" borderId="0" xfId="7" applyFont="1" applyAlignment="1">
      <alignment horizontal="center" vertical="center" wrapText="1"/>
    </xf>
    <xf numFmtId="0" fontId="26" fillId="0" borderId="0" xfId="7" applyFont="1" applyAlignment="1">
      <alignment horizontal="center" vertical="justify" wrapText="1"/>
    </xf>
    <xf numFmtId="0" fontId="26" fillId="0" borderId="0" xfId="7" applyFont="1" applyAlignment="1">
      <alignment horizontal="center" vertical="justify"/>
    </xf>
    <xf numFmtId="0" fontId="26" fillId="0" borderId="0" xfId="7" applyFont="1" applyAlignment="1">
      <alignment horizontal="left"/>
    </xf>
    <xf numFmtId="0" fontId="26" fillId="0" borderId="0" xfId="7" applyFont="1" applyAlignment="1">
      <alignment horizontal="center"/>
    </xf>
    <xf numFmtId="0" fontId="26" fillId="0" borderId="0" xfId="7" applyFont="1" applyAlignment="1">
      <alignment horizontal="left" vertical="center"/>
    </xf>
    <xf numFmtId="0" fontId="27" fillId="0" borderId="0" xfId="7" applyFont="1" applyAlignment="1">
      <alignment horizontal="left" vertical="center" wrapText="1"/>
    </xf>
    <xf numFmtId="164" fontId="5" fillId="0" borderId="1" xfId="9" applyNumberFormat="1" applyFont="1" applyFill="1" applyBorder="1" applyAlignment="1">
      <alignment horizontal="center" vertical="center"/>
    </xf>
    <xf numFmtId="167" fontId="5" fillId="0" borderId="1" xfId="9" applyNumberFormat="1" applyFont="1" applyFill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5" fillId="0" borderId="0" xfId="7" applyFont="1"/>
    <xf numFmtId="0" fontId="29" fillId="0" borderId="0" xfId="7" applyFont="1" applyAlignment="1">
      <alignment vertical="center" wrapText="1"/>
    </xf>
    <xf numFmtId="0" fontId="26" fillId="0" borderId="0" xfId="7" applyFont="1" applyAlignment="1">
      <alignment vertical="justify"/>
    </xf>
    <xf numFmtId="0" fontId="4" fillId="5" borderId="0" xfId="8" applyFont="1" applyFill="1" applyAlignment="1" applyProtection="1">
      <alignment horizontal="center" vertical="center"/>
    </xf>
    <xf numFmtId="0" fontId="4" fillId="5" borderId="0" xfId="2" applyFont="1" applyFill="1" applyAlignment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/>
    </xf>
    <xf numFmtId="0" fontId="4" fillId="5" borderId="1" xfId="8" applyFont="1" applyFill="1" applyBorder="1" applyAlignment="1" applyProtection="1">
      <alignment horizontal="center" vertical="center" wrapText="1"/>
    </xf>
    <xf numFmtId="0" fontId="4" fillId="5" borderId="1" xfId="7" applyFont="1" applyFill="1" applyBorder="1" applyAlignment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 wrapText="1"/>
    </xf>
    <xf numFmtId="0" fontId="4" fillId="5" borderId="1" xfId="7" applyFont="1" applyFill="1" applyBorder="1" applyAlignment="1">
      <alignment horizontal="center" vertical="center" wrapText="1"/>
    </xf>
    <xf numFmtId="167" fontId="4" fillId="5" borderId="1" xfId="8" applyNumberFormat="1" applyFont="1" applyFill="1" applyBorder="1" applyAlignment="1" applyProtection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/>
    </xf>
    <xf numFmtId="0" fontId="4" fillId="5" borderId="1" xfId="8" applyFont="1" applyFill="1" applyBorder="1" applyAlignment="1" applyProtection="1">
      <alignment horizontal="center" vertical="center" wrapText="1"/>
    </xf>
    <xf numFmtId="3" fontId="4" fillId="5" borderId="1" xfId="7" applyNumberFormat="1" applyFont="1" applyFill="1" applyBorder="1" applyAlignment="1">
      <alignment horizontal="center" vertical="center" wrapText="1"/>
    </xf>
    <xf numFmtId="0" fontId="26" fillId="5" borderId="1" xfId="4" applyFont="1" applyFill="1" applyBorder="1" applyAlignment="1">
      <alignment horizontal="left" vertical="center" shrinkToFit="1"/>
    </xf>
    <xf numFmtId="0" fontId="26" fillId="5" borderId="1" xfId="4" applyFont="1" applyFill="1" applyBorder="1">
      <alignment horizontal="center" vertical="center"/>
    </xf>
    <xf numFmtId="3" fontId="4" fillId="5" borderId="1" xfId="9" applyNumberFormat="1" applyFont="1" applyFill="1" applyBorder="1" applyAlignment="1">
      <alignment horizontal="center" vertical="center"/>
    </xf>
    <xf numFmtId="41" fontId="5" fillId="5" borderId="1" xfId="9" applyNumberFormat="1" applyFont="1" applyFill="1" applyBorder="1" applyAlignment="1">
      <alignment vertical="center" wrapText="1"/>
    </xf>
    <xf numFmtId="0" fontId="5" fillId="5" borderId="1" xfId="7" applyFont="1" applyFill="1" applyBorder="1" applyAlignment="1">
      <alignment horizontal="center" vertical="center"/>
    </xf>
    <xf numFmtId="0" fontId="10" fillId="5" borderId="1" xfId="4" applyFill="1" applyBorder="1" applyAlignment="1">
      <alignment horizontal="left" vertical="center" shrinkToFit="1"/>
    </xf>
    <xf numFmtId="0" fontId="10" fillId="5" borderId="1" xfId="4" applyFill="1" applyBorder="1">
      <alignment horizontal="center" vertical="center"/>
    </xf>
    <xf numFmtId="3" fontId="5" fillId="5" borderId="1" xfId="9" applyNumberFormat="1" applyFont="1" applyFill="1" applyBorder="1" applyAlignment="1">
      <alignment horizontal="center" vertical="center"/>
    </xf>
    <xf numFmtId="0" fontId="30" fillId="0" borderId="0" xfId="7" applyFont="1" applyAlignment="1">
      <alignment vertical="center"/>
    </xf>
    <xf numFmtId="0" fontId="4" fillId="5" borderId="1" xfId="7" applyFont="1" applyFill="1" applyBorder="1" applyAlignment="1">
      <alignment horizontal="center" vertical="center"/>
    </xf>
    <xf numFmtId="4" fontId="5" fillId="5" borderId="1" xfId="9" applyNumberFormat="1" applyFont="1" applyFill="1" applyBorder="1" applyAlignment="1">
      <alignment horizontal="center" vertical="center"/>
    </xf>
    <xf numFmtId="41" fontId="5" fillId="5" borderId="4" xfId="9" applyNumberFormat="1" applyFont="1" applyFill="1" applyBorder="1" applyAlignment="1">
      <alignment vertical="center" wrapText="1"/>
    </xf>
    <xf numFmtId="168" fontId="5" fillId="5" borderId="1" xfId="9" applyNumberFormat="1" applyFont="1" applyFill="1" applyBorder="1" applyAlignment="1">
      <alignment horizontal="center" vertical="center"/>
    </xf>
    <xf numFmtId="0" fontId="31" fillId="5" borderId="1" xfId="4" applyFont="1" applyFill="1" applyBorder="1" applyAlignment="1">
      <alignment horizontal="left" vertical="center" shrinkToFit="1"/>
    </xf>
    <xf numFmtId="0" fontId="31" fillId="5" borderId="1" xfId="4" applyFont="1" applyFill="1" applyBorder="1">
      <alignment horizontal="center" vertical="center"/>
    </xf>
    <xf numFmtId="1" fontId="10" fillId="5" borderId="1" xfId="4" applyNumberFormat="1" applyFill="1" applyBorder="1">
      <alignment horizontal="center" vertical="center"/>
    </xf>
    <xf numFmtId="0" fontId="32" fillId="5" borderId="1" xfId="4" applyFont="1" applyFill="1" applyBorder="1" applyAlignment="1">
      <alignment horizontal="left" vertical="center" shrinkToFit="1"/>
    </xf>
    <xf numFmtId="0" fontId="32" fillId="5" borderId="1" xfId="4" applyFont="1" applyFill="1" applyBorder="1">
      <alignment horizontal="center" vertical="center"/>
    </xf>
    <xf numFmtId="0" fontId="33" fillId="5" borderId="1" xfId="4" applyFont="1" applyFill="1" applyBorder="1">
      <alignment horizontal="center" vertical="center"/>
    </xf>
    <xf numFmtId="1" fontId="33" fillId="5" borderId="1" xfId="4" applyNumberFormat="1" applyFont="1" applyFill="1" applyBorder="1">
      <alignment horizontal="center" vertical="center"/>
    </xf>
    <xf numFmtId="3" fontId="34" fillId="5" borderId="1" xfId="9" applyNumberFormat="1" applyFont="1" applyFill="1" applyBorder="1" applyAlignment="1">
      <alignment horizontal="center" vertical="center"/>
    </xf>
    <xf numFmtId="0" fontId="33" fillId="5" borderId="1" xfId="4" applyFont="1" applyFill="1" applyBorder="1" applyAlignment="1">
      <alignment horizontal="left" vertical="center" shrinkToFit="1"/>
    </xf>
    <xf numFmtId="3" fontId="5" fillId="0" borderId="1" xfId="9" applyNumberFormat="1" applyFont="1" applyFill="1" applyBorder="1" applyAlignment="1">
      <alignment horizontal="center" vertical="center"/>
    </xf>
    <xf numFmtId="41" fontId="5" fillId="0" borderId="4" xfId="9" applyNumberFormat="1" applyFont="1" applyFill="1" applyBorder="1" applyAlignment="1">
      <alignment vertical="center" wrapText="1"/>
    </xf>
    <xf numFmtId="0" fontId="35" fillId="0" borderId="0" xfId="7" applyFont="1" applyAlignment="1">
      <alignment vertical="center"/>
    </xf>
    <xf numFmtId="41" fontId="4" fillId="0" borderId="1" xfId="9" applyNumberFormat="1" applyFont="1" applyFill="1" applyBorder="1" applyAlignment="1">
      <alignment horizontal="center" vertical="center"/>
    </xf>
    <xf numFmtId="164" fontId="4" fillId="0" borderId="1" xfId="9" applyNumberFormat="1" applyFont="1" applyFill="1" applyBorder="1" applyAlignment="1">
      <alignment vertical="center"/>
    </xf>
    <xf numFmtId="41" fontId="35" fillId="0" borderId="0" xfId="9" applyNumberFormat="1" applyFont="1" applyFill="1" applyBorder="1" applyAlignment="1">
      <alignment horizontal="center" vertical="center"/>
    </xf>
    <xf numFmtId="0" fontId="5" fillId="5" borderId="3" xfId="7" applyFont="1" applyFill="1" applyBorder="1" applyAlignment="1">
      <alignment horizontal="center" vertical="center"/>
    </xf>
    <xf numFmtId="3" fontId="5" fillId="5" borderId="3" xfId="9" applyNumberFormat="1" applyFont="1" applyFill="1" applyBorder="1" applyAlignment="1">
      <alignment horizontal="center" vertical="center"/>
    </xf>
    <xf numFmtId="0" fontId="10" fillId="5" borderId="3" xfId="4" applyFill="1" applyBorder="1">
      <alignment horizontal="center" vertical="center"/>
    </xf>
    <xf numFmtId="3" fontId="34" fillId="5" borderId="3" xfId="9" applyNumberFormat="1" applyFont="1" applyFill="1" applyBorder="1" applyAlignment="1">
      <alignment horizontal="center" vertical="center"/>
    </xf>
    <xf numFmtId="168" fontId="5" fillId="5" borderId="3" xfId="9" applyNumberFormat="1" applyFont="1" applyFill="1" applyBorder="1" applyAlignment="1">
      <alignment horizontal="center" vertical="center"/>
    </xf>
    <xf numFmtId="0" fontId="10" fillId="0" borderId="0" xfId="4" applyAlignment="1">
      <alignment horizontal="left" vertical="center"/>
    </xf>
    <xf numFmtId="0" fontId="10" fillId="5" borderId="1" xfId="4" applyFill="1" applyBorder="1" applyAlignment="1">
      <alignment horizontal="center" vertical="center" shrinkToFit="1"/>
    </xf>
    <xf numFmtId="0" fontId="5" fillId="0" borderId="3" xfId="7" applyFont="1" applyBorder="1" applyAlignment="1">
      <alignment horizontal="center" vertical="center"/>
    </xf>
    <xf numFmtId="0" fontId="10" fillId="0" borderId="1" xfId="4" applyBorder="1" applyAlignment="1">
      <alignment horizontal="left" vertical="center" shrinkToFit="1"/>
    </xf>
    <xf numFmtId="3" fontId="5" fillId="0" borderId="3" xfId="9" applyNumberFormat="1" applyFont="1" applyFill="1" applyBorder="1" applyAlignment="1">
      <alignment horizontal="center" vertical="center"/>
    </xf>
    <xf numFmtId="0" fontId="10" fillId="0" borderId="3" xfId="4" applyBorder="1">
      <alignment horizontal="center" vertical="center"/>
    </xf>
    <xf numFmtId="170" fontId="5" fillId="5" borderId="3" xfId="9" applyNumberFormat="1" applyFont="1" applyFill="1" applyBorder="1" applyAlignment="1">
      <alignment horizontal="center" vertical="center"/>
    </xf>
    <xf numFmtId="0" fontId="10" fillId="0" borderId="1" xfId="4" applyBorder="1" applyAlignment="1">
      <alignment horizontal="center" vertical="center" shrinkToFit="1"/>
    </xf>
    <xf numFmtId="170" fontId="5" fillId="0" borderId="3" xfId="9" applyNumberFormat="1" applyFont="1" applyFill="1" applyBorder="1" applyAlignment="1">
      <alignment horizontal="center" vertical="center"/>
    </xf>
    <xf numFmtId="0" fontId="26" fillId="5" borderId="3" xfId="4" applyFont="1" applyFill="1" applyBorder="1" applyAlignment="1">
      <alignment horizontal="left" vertical="center" shrinkToFit="1"/>
    </xf>
    <xf numFmtId="1" fontId="36" fillId="5" borderId="3" xfId="4" applyNumberFormat="1" applyFont="1" applyFill="1" applyBorder="1">
      <alignment horizontal="center" vertical="center"/>
    </xf>
    <xf numFmtId="1" fontId="36" fillId="0" borderId="3" xfId="4" applyNumberFormat="1" applyFont="1" applyBorder="1">
      <alignment horizontal="center" vertical="center"/>
    </xf>
    <xf numFmtId="0" fontId="5" fillId="5" borderId="1" xfId="7" applyFont="1" applyFill="1" applyBorder="1" applyAlignment="1">
      <alignment vertical="center" wrapText="1"/>
    </xf>
    <xf numFmtId="1" fontId="36" fillId="5" borderId="1" xfId="4" applyNumberFormat="1" applyFont="1" applyFill="1" applyBorder="1">
      <alignment horizontal="center" vertical="center"/>
    </xf>
    <xf numFmtId="0" fontId="5" fillId="5" borderId="0" xfId="7" applyFont="1" applyFill="1" applyAlignment="1">
      <alignment vertical="center"/>
    </xf>
    <xf numFmtId="0" fontId="5" fillId="5" borderId="0" xfId="7" applyFont="1" applyFill="1" applyAlignment="1">
      <alignment horizontal="center" vertical="center"/>
    </xf>
    <xf numFmtId="169" fontId="5" fillId="5" borderId="0" xfId="7" applyNumberFormat="1" applyFont="1" applyFill="1" applyAlignment="1">
      <alignment horizontal="center" vertical="center"/>
    </xf>
    <xf numFmtId="167" fontId="5" fillId="5" borderId="0" xfId="9" applyNumberFormat="1" applyFont="1" applyFill="1" applyAlignment="1">
      <alignment vertical="center"/>
    </xf>
    <xf numFmtId="169" fontId="5" fillId="5" borderId="0" xfId="9" applyNumberFormat="1" applyFont="1" applyFill="1" applyAlignment="1">
      <alignment vertical="center"/>
    </xf>
    <xf numFmtId="0" fontId="26" fillId="5" borderId="0" xfId="7" applyFont="1" applyFill="1" applyAlignment="1">
      <alignment horizontal="center" vertical="center"/>
    </xf>
    <xf numFmtId="0" fontId="26" fillId="5" borderId="0" xfId="7" applyFont="1" applyFill="1" applyAlignment="1">
      <alignment vertical="center"/>
    </xf>
    <xf numFmtId="0" fontId="27" fillId="5" borderId="0" xfId="7" applyFont="1" applyFill="1" applyAlignment="1">
      <alignment vertical="center" wrapText="1"/>
    </xf>
    <xf numFmtId="0" fontId="26" fillId="5" borderId="0" xfId="7" applyFont="1" applyFill="1" applyAlignment="1">
      <alignment horizontal="center" vertical="center"/>
    </xf>
    <xf numFmtId="0" fontId="26" fillId="5" borderId="0" xfId="7" applyFont="1" applyFill="1"/>
    <xf numFmtId="0" fontId="26" fillId="5" borderId="0" xfId="7" applyFont="1" applyFill="1" applyAlignment="1">
      <alignment horizontal="center"/>
    </xf>
    <xf numFmtId="0" fontId="27" fillId="5" borderId="0" xfId="7" applyFont="1" applyFill="1" applyAlignment="1">
      <alignment horizontal="center" vertical="center" wrapText="1"/>
    </xf>
    <xf numFmtId="0" fontId="28" fillId="5" borderId="0" xfId="7" applyFont="1" applyFill="1" applyAlignment="1">
      <alignment horizontal="center"/>
    </xf>
    <xf numFmtId="0" fontId="28" fillId="5" borderId="0" xfId="7" applyFont="1" applyFill="1"/>
    <xf numFmtId="41" fontId="28" fillId="5" borderId="0" xfId="7" applyNumberFormat="1" applyFont="1" applyFill="1"/>
    <xf numFmtId="0" fontId="29" fillId="5" borderId="0" xfId="7" applyFont="1" applyFill="1" applyAlignment="1">
      <alignment horizontal="center" vertical="center" wrapText="1"/>
    </xf>
    <xf numFmtId="0" fontId="26" fillId="5" borderId="0" xfId="7" applyFont="1" applyFill="1" applyAlignment="1">
      <alignment horizontal="center" vertical="justify" wrapText="1"/>
    </xf>
    <xf numFmtId="0" fontId="26" fillId="5" borderId="0" xfId="7" applyFont="1" applyFill="1" applyAlignment="1">
      <alignment horizontal="center" vertical="justify"/>
    </xf>
    <xf numFmtId="0" fontId="26" fillId="5" borderId="0" xfId="7" applyFont="1" applyFill="1" applyAlignment="1">
      <alignment horizontal="left"/>
    </xf>
    <xf numFmtId="0" fontId="26" fillId="5" borderId="0" xfId="7" applyFont="1" applyFill="1" applyAlignment="1">
      <alignment horizontal="center"/>
    </xf>
    <xf numFmtId="0" fontId="26" fillId="5" borderId="0" xfId="7" applyFont="1" applyFill="1" applyAlignment="1">
      <alignment horizontal="left" vertical="center"/>
    </xf>
    <xf numFmtId="0" fontId="27" fillId="5" borderId="0" xfId="7" applyFont="1" applyFill="1" applyAlignment="1">
      <alignment horizontal="left" vertical="center" wrapText="1"/>
    </xf>
    <xf numFmtId="3" fontId="4" fillId="0" borderId="1" xfId="9" applyNumberFormat="1" applyFont="1" applyFill="1" applyBorder="1" applyAlignment="1">
      <alignment horizontal="center" vertical="center"/>
    </xf>
    <xf numFmtId="41" fontId="5" fillId="0" borderId="1" xfId="9" applyNumberFormat="1" applyFont="1" applyFill="1" applyBorder="1" applyAlignment="1">
      <alignment vertical="center" wrapText="1"/>
    </xf>
    <xf numFmtId="4" fontId="5" fillId="0" borderId="1" xfId="9" applyNumberFormat="1" applyFont="1" applyFill="1" applyBorder="1" applyAlignment="1">
      <alignment horizontal="center" vertical="center"/>
    </xf>
    <xf numFmtId="0" fontId="31" fillId="0" borderId="1" xfId="4" applyFont="1" applyBorder="1" applyAlignment="1">
      <alignment horizontal="left" vertical="center" shrinkToFit="1"/>
    </xf>
    <xf numFmtId="0" fontId="31" fillId="0" borderId="1" xfId="4" applyFont="1" applyBorder="1">
      <alignment horizontal="center" vertical="center"/>
    </xf>
    <xf numFmtId="0" fontId="32" fillId="0" borderId="1" xfId="4" applyFont="1" applyBorder="1" applyAlignment="1">
      <alignment horizontal="left" vertical="center" shrinkToFit="1"/>
    </xf>
    <xf numFmtId="0" fontId="32" fillId="0" borderId="1" xfId="4" applyFont="1" applyBorder="1">
      <alignment horizontal="center" vertical="center"/>
    </xf>
    <xf numFmtId="0" fontId="33" fillId="0" borderId="1" xfId="4" applyFont="1" applyBorder="1">
      <alignment horizontal="center" vertical="center"/>
    </xf>
    <xf numFmtId="1" fontId="33" fillId="0" borderId="1" xfId="4" applyNumberFormat="1" applyFont="1" applyBorder="1">
      <alignment horizontal="center" vertical="center"/>
    </xf>
    <xf numFmtId="3" fontId="34" fillId="0" borderId="1" xfId="9" applyNumberFormat="1" applyFont="1" applyFill="1" applyBorder="1" applyAlignment="1">
      <alignment horizontal="center" vertical="center"/>
    </xf>
    <xf numFmtId="0" fontId="33" fillId="4" borderId="1" xfId="4" applyFont="1" applyFill="1" applyBorder="1" applyAlignment="1">
      <alignment horizontal="left" vertical="center" shrinkToFit="1"/>
    </xf>
    <xf numFmtId="0" fontId="33" fillId="4" borderId="1" xfId="4" applyFont="1" applyFill="1" applyBorder="1">
      <alignment horizontal="center" vertical="center"/>
    </xf>
    <xf numFmtId="1" fontId="33" fillId="4" borderId="1" xfId="4" applyNumberFormat="1" applyFont="1" applyFill="1" applyBorder="1">
      <alignment horizontal="center" vertical="center"/>
    </xf>
    <xf numFmtId="0" fontId="26" fillId="0" borderId="1" xfId="4" applyFont="1" applyBorder="1">
      <alignment horizontal="center" vertical="center"/>
    </xf>
    <xf numFmtId="3" fontId="34" fillId="4" borderId="3" xfId="9" applyNumberFormat="1" applyFont="1" applyFill="1" applyBorder="1" applyAlignment="1">
      <alignment horizontal="center" vertical="center"/>
    </xf>
    <xf numFmtId="168" fontId="5" fillId="0" borderId="3" xfId="9" applyNumberFormat="1" applyFont="1" applyFill="1" applyBorder="1" applyAlignment="1">
      <alignment horizontal="center" vertical="center"/>
    </xf>
    <xf numFmtId="0" fontId="26" fillId="0" borderId="3" xfId="4" applyFont="1" applyBorder="1" applyAlignment="1">
      <alignment horizontal="left" vertical="center" shrinkToFit="1"/>
    </xf>
    <xf numFmtId="1" fontId="36" fillId="0" borderId="1" xfId="4" applyNumberFormat="1" applyFont="1" applyBorder="1">
      <alignment horizontal="center" vertical="center"/>
    </xf>
    <xf numFmtId="0" fontId="9" fillId="0" borderId="0" xfId="7" applyFont="1" applyAlignment="1" applyProtection="1">
      <alignment horizontal="center"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9" fillId="0" borderId="0" xfId="10" applyFont="1" applyAlignment="1" applyProtection="1">
      <alignment horizontal="centerContinuous"/>
      <protection hidden="1"/>
    </xf>
    <xf numFmtId="0" fontId="37" fillId="0" borderId="0" xfId="7" applyFont="1"/>
    <xf numFmtId="0" fontId="4" fillId="2" borderId="0" xfId="2" applyFont="1" applyFill="1" applyAlignment="1">
      <alignment vertical="center" wrapText="1"/>
    </xf>
    <xf numFmtId="0" fontId="4" fillId="2" borderId="0" xfId="2" applyFont="1" applyFill="1" applyAlignment="1">
      <alignment horizontal="center" vertical="center" wrapText="1"/>
    </xf>
    <xf numFmtId="41" fontId="4" fillId="2" borderId="0" xfId="2" applyNumberFormat="1" applyFont="1" applyFill="1" applyAlignment="1">
      <alignment vertical="center" wrapText="1"/>
    </xf>
    <xf numFmtId="0" fontId="4" fillId="2" borderId="0" xfId="2" applyFont="1" applyFill="1"/>
    <xf numFmtId="41" fontId="4" fillId="2" borderId="0" xfId="2" applyNumberFormat="1" applyFont="1" applyFill="1"/>
    <xf numFmtId="0" fontId="5" fillId="0" borderId="0" xfId="10" applyFont="1" applyAlignment="1" applyProtection="1">
      <alignment horizontal="center"/>
      <protection hidden="1"/>
    </xf>
    <xf numFmtId="0" fontId="5" fillId="0" borderId="0" xfId="10" applyFont="1" applyAlignment="1" applyProtection="1">
      <alignment horizontal="centerContinuous"/>
    </xf>
    <xf numFmtId="0" fontId="5" fillId="0" borderId="0" xfId="10" applyFont="1" applyAlignment="1" applyProtection="1">
      <alignment horizontal="centerContinuous"/>
      <protection hidden="1"/>
    </xf>
    <xf numFmtId="0" fontId="26" fillId="0" borderId="2" xfId="7" applyFont="1" applyBorder="1" applyAlignment="1">
      <alignment horizontal="center"/>
    </xf>
    <xf numFmtId="0" fontId="26" fillId="0" borderId="5" xfId="7" applyFont="1" applyBorder="1" applyAlignment="1">
      <alignment horizontal="center"/>
    </xf>
    <xf numFmtId="0" fontId="26" fillId="0" borderId="5" xfId="7" applyFont="1" applyBorder="1"/>
    <xf numFmtId="0" fontId="0" fillId="0" borderId="5" xfId="7" applyFont="1" applyBorder="1" applyAlignment="1">
      <alignment horizontal="center"/>
    </xf>
    <xf numFmtId="164" fontId="26" fillId="0" borderId="5" xfId="7" applyNumberFormat="1" applyFont="1" applyBorder="1"/>
    <xf numFmtId="0" fontId="0" fillId="0" borderId="5" xfId="7" applyFont="1" applyBorder="1"/>
    <xf numFmtId="0" fontId="0" fillId="0" borderId="0" xfId="7" applyFont="1"/>
    <xf numFmtId="164" fontId="0" fillId="0" borderId="5" xfId="7" applyNumberFormat="1" applyFont="1" applyBorder="1"/>
    <xf numFmtId="0" fontId="38" fillId="0" borderId="5" xfId="7" applyFont="1" applyBorder="1"/>
    <xf numFmtId="164" fontId="26" fillId="0" borderId="5" xfId="9" applyNumberFormat="1" applyFont="1" applyBorder="1" applyAlignment="1"/>
    <xf numFmtId="0" fontId="0" fillId="0" borderId="6" xfId="7" applyFont="1" applyBorder="1" applyAlignment="1">
      <alignment horizontal="center"/>
    </xf>
    <xf numFmtId="0" fontId="0" fillId="0" borderId="6" xfId="7" applyFont="1" applyBorder="1"/>
    <xf numFmtId="0" fontId="38" fillId="0" borderId="6" xfId="7" applyFont="1" applyBorder="1"/>
    <xf numFmtId="0" fontId="26" fillId="0" borderId="7" xfId="7" applyFont="1" applyBorder="1" applyAlignment="1">
      <alignment horizontal="center" vertical="center"/>
    </xf>
    <xf numFmtId="0" fontId="26" fillId="0" borderId="8" xfId="7" applyFont="1" applyBorder="1" applyAlignment="1">
      <alignment horizontal="center" vertical="center"/>
    </xf>
    <xf numFmtId="0" fontId="26" fillId="0" borderId="9" xfId="7" applyFont="1" applyBorder="1" applyAlignment="1">
      <alignment horizontal="center" vertical="center"/>
    </xf>
    <xf numFmtId="3" fontId="26" fillId="0" borderId="1" xfId="9" applyNumberFormat="1" applyFont="1" applyBorder="1" applyAlignment="1">
      <alignment horizontal="right" vertical="center"/>
    </xf>
    <xf numFmtId="164" fontId="26" fillId="0" borderId="1" xfId="9" applyNumberFormat="1" applyFont="1" applyBorder="1" applyAlignment="1">
      <alignment horizontal="right" vertical="center"/>
    </xf>
    <xf numFmtId="164" fontId="38" fillId="0" borderId="1" xfId="7" applyNumberFormat="1" applyFont="1" applyBorder="1" applyAlignment="1">
      <alignment vertical="center"/>
    </xf>
    <xf numFmtId="0" fontId="0" fillId="0" borderId="0" xfId="7" applyFont="1" applyAlignment="1">
      <alignment vertical="center"/>
    </xf>
    <xf numFmtId="0" fontId="33" fillId="0" borderId="7" xfId="7" applyFont="1" applyBorder="1" applyAlignment="1">
      <alignment horizontal="left"/>
    </xf>
    <xf numFmtId="0" fontId="33" fillId="0" borderId="8" xfId="7" applyFont="1" applyBorder="1" applyAlignment="1">
      <alignment horizontal="left"/>
    </xf>
    <xf numFmtId="0" fontId="33" fillId="0" borderId="9" xfId="7" applyFont="1" applyBorder="1" applyAlignment="1">
      <alignment horizontal="left"/>
    </xf>
    <xf numFmtId="0" fontId="5" fillId="0" borderId="0" xfId="7" applyFont="1" applyAlignment="1">
      <alignment horizontal="center"/>
    </xf>
    <xf numFmtId="0" fontId="39" fillId="0" borderId="0" xfId="7" applyFont="1"/>
    <xf numFmtId="0" fontId="37" fillId="0" borderId="0" xfId="7" applyFont="1" applyAlignment="1">
      <alignment horizontal="center"/>
    </xf>
    <xf numFmtId="0" fontId="40" fillId="0" borderId="0" xfId="11"/>
    <xf numFmtId="0" fontId="28" fillId="0" borderId="0" xfId="0" applyFont="1" applyAlignment="1" applyProtection="1">
      <alignment vertical="center"/>
      <protection hidden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26" fillId="0" borderId="0" xfId="0" applyFont="1" applyAlignment="1">
      <alignment horizontal="center" vertical="center" wrapText="1"/>
    </xf>
    <xf numFmtId="0" fontId="5" fillId="0" borderId="0" xfId="11" applyFont="1" applyAlignment="1">
      <alignment horizontal="center"/>
    </xf>
    <xf numFmtId="0" fontId="13" fillId="5" borderId="1" xfId="11" applyFont="1" applyFill="1" applyBorder="1" applyAlignment="1" applyProtection="1">
      <alignment horizontal="center" vertical="center"/>
      <protection hidden="1"/>
    </xf>
    <xf numFmtId="172" fontId="13" fillId="5" borderId="1" xfId="12" applyNumberFormat="1" applyFont="1" applyFill="1" applyBorder="1" applyAlignment="1" applyProtection="1">
      <alignment horizontal="center" vertical="center" wrapText="1"/>
    </xf>
    <xf numFmtId="0" fontId="41" fillId="0" borderId="0" xfId="11" applyFont="1" applyAlignment="1">
      <alignment horizontal="center"/>
    </xf>
    <xf numFmtId="172" fontId="13" fillId="5" borderId="1" xfId="12" applyNumberFormat="1" applyFont="1" applyFill="1" applyBorder="1" applyAlignment="1" applyProtection="1">
      <alignment vertical="center" wrapText="1"/>
    </xf>
    <xf numFmtId="172" fontId="13" fillId="5" borderId="1" xfId="12" applyNumberFormat="1" applyFont="1" applyFill="1" applyBorder="1" applyAlignment="1" applyProtection="1">
      <alignment horizontal="center" vertical="center" wrapText="1"/>
    </xf>
    <xf numFmtId="0" fontId="5" fillId="0" borderId="0" xfId="11" applyFont="1"/>
    <xf numFmtId="0" fontId="13" fillId="5" borderId="1" xfId="11" quotePrefix="1" applyFont="1" applyFill="1" applyBorder="1" applyAlignment="1" applyProtection="1">
      <alignment horizontal="center" vertical="center"/>
      <protection hidden="1"/>
    </xf>
    <xf numFmtId="0" fontId="13" fillId="5" borderId="1" xfId="11" quotePrefix="1" applyFont="1" applyFill="1" applyBorder="1" applyAlignment="1" applyProtection="1">
      <alignment vertical="center"/>
      <protection hidden="1"/>
    </xf>
    <xf numFmtId="0" fontId="20" fillId="5" borderId="1" xfId="11" quotePrefix="1" applyFont="1" applyFill="1" applyBorder="1" applyAlignment="1" applyProtection="1">
      <alignment horizontal="center" vertical="center"/>
      <protection hidden="1"/>
    </xf>
    <xf numFmtId="172" fontId="20" fillId="5" borderId="1" xfId="12" quotePrefix="1" applyNumberFormat="1" applyFont="1" applyFill="1" applyBorder="1" applyAlignment="1" applyProtection="1">
      <alignment horizontal="center" vertical="center"/>
    </xf>
    <xf numFmtId="172" fontId="20" fillId="5" borderId="1" xfId="12" quotePrefix="1" applyNumberFormat="1" applyFont="1" applyFill="1" applyBorder="1" applyAlignment="1" applyProtection="1">
      <alignment horizontal="left" vertical="center"/>
    </xf>
    <xf numFmtId="0" fontId="41" fillId="0" borderId="0" xfId="11" applyFont="1"/>
    <xf numFmtId="0" fontId="13" fillId="5" borderId="1" xfId="11" applyFont="1" applyFill="1" applyBorder="1" applyAlignment="1" applyProtection="1">
      <alignment horizontal="center" vertical="center"/>
      <protection hidden="1"/>
    </xf>
    <xf numFmtId="0" fontId="13" fillId="5" borderId="1" xfId="11" applyFont="1" applyFill="1" applyBorder="1" applyAlignment="1" applyProtection="1">
      <alignment horizontal="left" vertical="center"/>
      <protection hidden="1"/>
    </xf>
    <xf numFmtId="173" fontId="20" fillId="5" borderId="1" xfId="11" applyNumberFormat="1" applyFont="1" applyFill="1" applyBorder="1" applyAlignment="1" applyProtection="1">
      <alignment vertical="center"/>
      <protection hidden="1"/>
    </xf>
    <xf numFmtId="172" fontId="20" fillId="5" borderId="1" xfId="12" applyNumberFormat="1" applyFont="1" applyFill="1" applyBorder="1" applyAlignment="1" applyProtection="1">
      <alignment vertical="center"/>
    </xf>
    <xf numFmtId="172" fontId="20" fillId="5" borderId="1" xfId="12" applyNumberFormat="1" applyFont="1" applyFill="1" applyBorder="1" applyAlignment="1" applyProtection="1">
      <alignment horizontal="left" vertical="center"/>
    </xf>
    <xf numFmtId="0" fontId="20" fillId="5" borderId="1" xfId="11" applyFont="1" applyFill="1" applyBorder="1" applyAlignment="1" applyProtection="1">
      <alignment horizontal="center" vertical="center"/>
      <protection hidden="1"/>
    </xf>
    <xf numFmtId="169" fontId="13" fillId="5" borderId="1" xfId="12" applyNumberFormat="1" applyFont="1" applyFill="1" applyBorder="1" applyAlignment="1" applyProtection="1">
      <alignment horizontal="left" vertical="center"/>
    </xf>
    <xf numFmtId="0" fontId="20" fillId="5" borderId="1" xfId="11" applyFont="1" applyFill="1" applyBorder="1" applyAlignment="1" applyProtection="1">
      <alignment horizontal="left" vertical="center"/>
      <protection hidden="1"/>
    </xf>
    <xf numFmtId="169" fontId="20" fillId="5" borderId="1" xfId="12" applyNumberFormat="1" applyFont="1" applyFill="1" applyBorder="1" applyAlignment="1" applyProtection="1">
      <alignment horizontal="left" vertical="center"/>
    </xf>
    <xf numFmtId="0" fontId="5" fillId="0" borderId="0" xfId="12" applyNumberFormat="1" applyFont="1" applyFill="1" applyBorder="1" applyAlignment="1" applyProtection="1">
      <alignment horizontal="left" vertical="center"/>
    </xf>
    <xf numFmtId="0" fontId="20" fillId="5" borderId="1" xfId="11" applyFont="1" applyFill="1" applyBorder="1" applyAlignment="1" applyProtection="1">
      <alignment vertical="center"/>
      <protection hidden="1"/>
    </xf>
    <xf numFmtId="3" fontId="13" fillId="5" borderId="1" xfId="11" applyNumberFormat="1" applyFont="1" applyFill="1" applyBorder="1" applyAlignment="1" applyProtection="1">
      <alignment horizontal="center" vertical="center"/>
      <protection hidden="1"/>
    </xf>
    <xf numFmtId="0" fontId="20" fillId="5" borderId="1" xfId="12" applyNumberFormat="1" applyFont="1" applyFill="1" applyBorder="1" applyAlignment="1" applyProtection="1">
      <alignment horizontal="left" vertical="center"/>
    </xf>
    <xf numFmtId="0" fontId="20" fillId="5" borderId="1" xfId="12" applyNumberFormat="1" applyFont="1" applyFill="1" applyBorder="1" applyAlignment="1" applyProtection="1">
      <alignment horizontal="center" vertical="center"/>
    </xf>
    <xf numFmtId="169" fontId="20" fillId="5" borderId="1" xfId="12" applyNumberFormat="1" applyFont="1" applyFill="1" applyBorder="1" applyAlignment="1" applyProtection="1">
      <alignment horizontal="center" vertical="center" wrapText="1"/>
    </xf>
    <xf numFmtId="0" fontId="20" fillId="5" borderId="1" xfId="11" applyFont="1" applyFill="1" applyBorder="1" applyAlignment="1" applyProtection="1">
      <alignment horizontal="center" vertical="center"/>
      <protection hidden="1"/>
    </xf>
    <xf numFmtId="3" fontId="20" fillId="5" borderId="1" xfId="11" applyNumberFormat="1" applyFont="1" applyFill="1" applyBorder="1" applyAlignment="1" applyProtection="1">
      <alignment horizontal="center" vertical="center"/>
      <protection hidden="1"/>
    </xf>
    <xf numFmtId="3" fontId="20" fillId="5" borderId="1" xfId="11" applyNumberFormat="1" applyFont="1" applyFill="1" applyBorder="1" applyAlignment="1" applyProtection="1">
      <alignment horizontal="center" vertical="center"/>
      <protection hidden="1"/>
    </xf>
    <xf numFmtId="0" fontId="5" fillId="0" borderId="10" xfId="11" applyFont="1" applyBorder="1" applyAlignment="1">
      <alignment horizontal="center" vertical="center"/>
    </xf>
    <xf numFmtId="3" fontId="20" fillId="5" borderId="1" xfId="13" quotePrefix="1" applyNumberFormat="1" applyFont="1" applyFill="1" applyBorder="1" applyAlignment="1">
      <alignment horizontal="center" vertical="center"/>
    </xf>
    <xf numFmtId="0" fontId="20" fillId="5" borderId="1" xfId="11" applyFont="1" applyFill="1" applyBorder="1" applyAlignment="1" applyProtection="1">
      <alignment horizontal="left" vertical="center" wrapText="1"/>
      <protection hidden="1"/>
    </xf>
    <xf numFmtId="0" fontId="20" fillId="4" borderId="1" xfId="11" applyFont="1" applyFill="1" applyBorder="1" applyAlignment="1" applyProtection="1">
      <alignment horizontal="center" vertical="center"/>
      <protection hidden="1"/>
    </xf>
    <xf numFmtId="169" fontId="4" fillId="0" borderId="0" xfId="11" applyNumberFormat="1" applyFont="1" applyAlignment="1">
      <alignment vertical="center"/>
    </xf>
    <xf numFmtId="0" fontId="4" fillId="0" borderId="0" xfId="11" applyFont="1" applyAlignment="1">
      <alignment vertical="center"/>
    </xf>
    <xf numFmtId="0" fontId="43" fillId="0" borderId="0" xfId="11" applyFont="1"/>
    <xf numFmtId="172" fontId="20" fillId="5" borderId="1" xfId="12" applyNumberFormat="1" applyFont="1" applyFill="1" applyBorder="1" applyAlignment="1">
      <alignment horizontal="center" vertical="center"/>
    </xf>
    <xf numFmtId="0" fontId="44" fillId="0" borderId="0" xfId="11" applyFont="1" applyAlignment="1">
      <alignment vertical="center"/>
    </xf>
    <xf numFmtId="0" fontId="8" fillId="0" borderId="0" xfId="11" applyFont="1"/>
    <xf numFmtId="169" fontId="20" fillId="5" borderId="1" xfId="12" applyNumberFormat="1" applyFont="1" applyFill="1" applyBorder="1" applyAlignment="1" applyProtection="1">
      <alignment horizontal="center" vertical="center"/>
    </xf>
    <xf numFmtId="174" fontId="20" fillId="5" borderId="1" xfId="11" applyNumberFormat="1" applyFont="1" applyFill="1" applyBorder="1" applyAlignment="1" applyProtection="1">
      <alignment horizontal="center" vertical="center"/>
      <protection hidden="1"/>
    </xf>
    <xf numFmtId="172" fontId="20" fillId="5" borderId="1" xfId="12" applyNumberFormat="1" applyFont="1" applyFill="1" applyBorder="1" applyAlignment="1" applyProtection="1">
      <alignment horizontal="center" vertical="center" wrapText="1"/>
    </xf>
    <xf numFmtId="175" fontId="13" fillId="5" borderId="1" xfId="11" applyNumberFormat="1" applyFont="1" applyFill="1" applyBorder="1" applyAlignment="1" applyProtection="1">
      <alignment horizontal="right" vertical="center"/>
      <protection hidden="1"/>
    </xf>
    <xf numFmtId="172" fontId="20" fillId="5" borderId="1" xfId="12" applyNumberFormat="1" applyFont="1" applyFill="1" applyBorder="1" applyAlignment="1" applyProtection="1">
      <alignment horizontal="center" vertical="center"/>
    </xf>
    <xf numFmtId="0" fontId="4" fillId="0" borderId="0" xfId="11" applyFont="1"/>
    <xf numFmtId="169" fontId="13" fillId="5" borderId="1" xfId="12" quotePrefix="1" applyNumberFormat="1" applyFont="1" applyFill="1" applyBorder="1" applyAlignment="1" applyProtection="1">
      <alignment horizontal="left" vertical="center"/>
    </xf>
    <xf numFmtId="169" fontId="20" fillId="5" borderId="1" xfId="12" applyNumberFormat="1" applyFont="1" applyFill="1" applyBorder="1" applyAlignment="1" applyProtection="1">
      <alignment horizontal="center" vertical="center" wrapText="1"/>
    </xf>
    <xf numFmtId="0" fontId="45" fillId="0" borderId="0" xfId="11" applyFont="1"/>
    <xf numFmtId="3" fontId="20" fillId="6" borderId="1" xfId="11" applyNumberFormat="1" applyFont="1" applyFill="1" applyBorder="1" applyAlignment="1" applyProtection="1">
      <alignment horizontal="center" vertical="center"/>
      <protection hidden="1"/>
    </xf>
    <xf numFmtId="0" fontId="20" fillId="6" borderId="1" xfId="11" applyFont="1" applyFill="1" applyBorder="1" applyAlignment="1" applyProtection="1">
      <alignment horizontal="left" vertical="center"/>
      <protection hidden="1"/>
    </xf>
    <xf numFmtId="0" fontId="20" fillId="6" borderId="1" xfId="11" applyFont="1" applyFill="1" applyBorder="1" applyAlignment="1" applyProtection="1">
      <alignment horizontal="center" vertical="center"/>
      <protection hidden="1"/>
    </xf>
    <xf numFmtId="169" fontId="20" fillId="6" borderId="1" xfId="12" applyNumberFormat="1" applyFont="1" applyFill="1" applyBorder="1" applyAlignment="1" applyProtection="1">
      <alignment horizontal="center" vertical="center"/>
    </xf>
    <xf numFmtId="0" fontId="20" fillId="5" borderId="1" xfId="11" applyFont="1" applyFill="1" applyBorder="1" applyAlignment="1">
      <alignment horizontal="left" vertical="center" wrapText="1"/>
    </xf>
    <xf numFmtId="0" fontId="13" fillId="5" borderId="1" xfId="11" applyFont="1" applyFill="1" applyBorder="1" applyAlignment="1">
      <alignment horizontal="left" vertical="center" wrapText="1"/>
    </xf>
    <xf numFmtId="172" fontId="13" fillId="5" borderId="1" xfId="12" applyNumberFormat="1" applyFont="1" applyFill="1" applyBorder="1" applyAlignment="1" applyProtection="1">
      <alignment horizontal="left" vertical="center"/>
    </xf>
    <xf numFmtId="0" fontId="46" fillId="0" borderId="0" xfId="11" applyFont="1"/>
    <xf numFmtId="0" fontId="47" fillId="0" borderId="0" xfId="11" applyFont="1"/>
    <xf numFmtId="175" fontId="20" fillId="5" borderId="1" xfId="11" applyNumberFormat="1" applyFont="1" applyFill="1" applyBorder="1" applyAlignment="1" applyProtection="1">
      <alignment horizontal="right" vertical="center"/>
      <protection hidden="1"/>
    </xf>
    <xf numFmtId="3" fontId="20" fillId="5" borderId="1" xfId="11" quotePrefix="1" applyNumberFormat="1" applyFont="1" applyFill="1" applyBorder="1" applyAlignment="1">
      <alignment horizontal="center" vertical="center"/>
    </xf>
    <xf numFmtId="0" fontId="20" fillId="5" borderId="1" xfId="11" applyFont="1" applyFill="1" applyBorder="1" applyAlignment="1">
      <alignment horizontal="left" vertical="center"/>
    </xf>
    <xf numFmtId="0" fontId="20" fillId="5" borderId="1" xfId="11" applyFont="1" applyFill="1" applyBorder="1" applyAlignment="1">
      <alignment horizontal="center" vertical="center"/>
    </xf>
    <xf numFmtId="0" fontId="20" fillId="5" borderId="1" xfId="13" applyFont="1" applyFill="1" applyBorder="1" applyAlignment="1">
      <alignment horizontal="left" vertical="center" wrapText="1"/>
    </xf>
    <xf numFmtId="169" fontId="20" fillId="5" borderId="1" xfId="12" applyNumberFormat="1" applyFont="1" applyFill="1" applyBorder="1" applyAlignment="1">
      <alignment horizontal="center" vertical="center" wrapText="1"/>
    </xf>
    <xf numFmtId="169" fontId="20" fillId="5" borderId="1" xfId="12" applyNumberFormat="1" applyFont="1" applyFill="1" applyBorder="1" applyAlignment="1">
      <alignment horizontal="left" vertical="center"/>
    </xf>
    <xf numFmtId="0" fontId="5" fillId="0" borderId="0" xfId="11" applyFont="1" applyAlignment="1">
      <alignment horizontal="center" vertical="center"/>
    </xf>
    <xf numFmtId="172" fontId="20" fillId="5" borderId="1" xfId="12" applyNumberFormat="1" applyFont="1" applyFill="1" applyBorder="1" applyAlignment="1" applyProtection="1">
      <alignment horizontal="center" vertical="center"/>
    </xf>
    <xf numFmtId="166" fontId="20" fillId="5" borderId="1" xfId="12" applyNumberFormat="1" applyFont="1" applyFill="1" applyBorder="1" applyAlignment="1" applyProtection="1">
      <alignment horizontal="left" vertical="center"/>
    </xf>
    <xf numFmtId="1" fontId="20" fillId="5" borderId="1" xfId="11" applyNumberFormat="1" applyFont="1" applyFill="1" applyBorder="1" applyAlignment="1" applyProtection="1">
      <alignment horizontal="center" vertical="center"/>
      <protection hidden="1"/>
    </xf>
    <xf numFmtId="168" fontId="20" fillId="5" borderId="1" xfId="11" applyNumberFormat="1" applyFont="1" applyFill="1" applyBorder="1" applyAlignment="1" applyProtection="1">
      <alignment horizontal="center" vertical="center"/>
      <protection hidden="1"/>
    </xf>
    <xf numFmtId="0" fontId="13" fillId="5" borderId="1" xfId="11" applyFont="1" applyFill="1" applyBorder="1" applyAlignment="1">
      <alignment horizontal="center" vertical="center"/>
    </xf>
    <xf numFmtId="0" fontId="13" fillId="5" borderId="1" xfId="11" applyFont="1" applyFill="1" applyBorder="1" applyAlignment="1">
      <alignment horizontal="left" vertical="center"/>
    </xf>
    <xf numFmtId="172" fontId="13" fillId="5" borderId="1" xfId="12" applyNumberFormat="1" applyFont="1" applyFill="1" applyBorder="1" applyAlignment="1">
      <alignment horizontal="center" vertical="center"/>
    </xf>
    <xf numFmtId="172" fontId="13" fillId="5" borderId="1" xfId="12" applyNumberFormat="1" applyFont="1" applyFill="1" applyBorder="1" applyAlignment="1">
      <alignment horizontal="left" vertical="center"/>
    </xf>
    <xf numFmtId="0" fontId="45" fillId="0" borderId="0" xfId="11" applyFont="1" applyAlignment="1">
      <alignment horizontal="center" vertical="center"/>
    </xf>
    <xf numFmtId="0" fontId="20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center" vertical="center"/>
    </xf>
    <xf numFmtId="166" fontId="20" fillId="5" borderId="1" xfId="0" applyNumberFormat="1" applyFont="1" applyFill="1" applyBorder="1" applyAlignment="1">
      <alignment horizontal="center" vertical="center"/>
    </xf>
    <xf numFmtId="1" fontId="20" fillId="5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vertical="center"/>
    </xf>
    <xf numFmtId="3" fontId="20" fillId="5" borderId="1" xfId="0" applyNumberFormat="1" applyFont="1" applyFill="1" applyBorder="1" applyAlignment="1">
      <alignment horizontal="center" vertical="center"/>
    </xf>
    <xf numFmtId="173" fontId="20" fillId="5" borderId="1" xfId="0" applyNumberFormat="1" applyFont="1" applyFill="1" applyBorder="1" applyAlignment="1">
      <alignment horizontal="center" vertical="center"/>
    </xf>
    <xf numFmtId="0" fontId="28" fillId="0" borderId="0" xfId="14" applyFont="1" applyAlignment="1">
      <alignment horizontal="center" vertical="center"/>
    </xf>
    <xf numFmtId="0" fontId="28" fillId="0" borderId="0" xfId="14" applyFont="1" applyAlignment="1">
      <alignment horizontal="left" vertical="center"/>
    </xf>
    <xf numFmtId="164" fontId="28" fillId="0" borderId="0" xfId="14" applyNumberFormat="1" applyFont="1" applyAlignment="1">
      <alignment horizontal="right" vertical="center"/>
    </xf>
    <xf numFmtId="164" fontId="28" fillId="0" borderId="0" xfId="14" quotePrefix="1" applyNumberFormat="1" applyFont="1" applyAlignment="1">
      <alignment horizontal="right" vertical="center"/>
    </xf>
    <xf numFmtId="0" fontId="28" fillId="0" borderId="0" xfId="14" applyFont="1" applyAlignment="1">
      <alignment vertical="center"/>
    </xf>
    <xf numFmtId="0" fontId="51" fillId="0" borderId="0" xfId="15" applyFont="1" applyAlignment="1" applyProtection="1">
      <alignment horizontal="right"/>
      <protection hidden="1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40" fillId="0" borderId="0" xfId="11" applyProtection="1">
      <protection hidden="1"/>
    </xf>
    <xf numFmtId="0" fontId="40" fillId="0" borderId="0" xfId="11" applyAlignment="1" applyProtection="1">
      <alignment horizontal="left"/>
      <protection hidden="1"/>
    </xf>
    <xf numFmtId="172" fontId="0" fillId="0" borderId="0" xfId="12" applyNumberFormat="1" applyFont="1" applyFill="1" applyProtection="1"/>
    <xf numFmtId="172" fontId="0" fillId="0" borderId="0" xfId="12" applyNumberFormat="1" applyFont="1" applyFill="1" applyAlignment="1" applyProtection="1">
      <alignment horizontal="left"/>
    </xf>
    <xf numFmtId="0" fontId="26" fillId="0" borderId="0" xfId="0" applyFont="1" applyAlignment="1">
      <alignment vertical="center"/>
    </xf>
    <xf numFmtId="0" fontId="26" fillId="0" borderId="0" xfId="0" applyFont="1" applyAlignment="1" applyProtection="1">
      <alignment vertical="center"/>
      <protection hidden="1"/>
    </xf>
    <xf numFmtId="0" fontId="13" fillId="5" borderId="3" xfId="11" applyFont="1" applyFill="1" applyBorder="1" applyAlignment="1" applyProtection="1">
      <alignment horizontal="center" vertical="center"/>
      <protection hidden="1"/>
    </xf>
    <xf numFmtId="0" fontId="13" fillId="5" borderId="3" xfId="11" applyFont="1" applyFill="1" applyBorder="1" applyAlignment="1" applyProtection="1">
      <alignment vertical="center"/>
      <protection hidden="1"/>
    </xf>
    <xf numFmtId="172" fontId="13" fillId="5" borderId="3" xfId="12" applyNumberFormat="1" applyFont="1" applyFill="1" applyBorder="1" applyAlignment="1" applyProtection="1">
      <alignment horizontal="center" vertical="center" wrapText="1"/>
    </xf>
    <xf numFmtId="0" fontId="13" fillId="5" borderId="4" xfId="11" applyFont="1" applyFill="1" applyBorder="1" applyAlignment="1" applyProtection="1">
      <alignment horizontal="center" vertical="center"/>
      <protection hidden="1"/>
    </xf>
    <xf numFmtId="0" fontId="13" fillId="5" borderId="4" xfId="11" applyFont="1" applyFill="1" applyBorder="1" applyAlignment="1" applyProtection="1">
      <alignment vertical="center"/>
      <protection hidden="1"/>
    </xf>
    <xf numFmtId="172" fontId="13" fillId="5" borderId="4" xfId="12" applyNumberFormat="1" applyFont="1" applyFill="1" applyBorder="1" applyAlignment="1" applyProtection="1">
      <alignment horizontal="center" vertical="center" wrapText="1"/>
    </xf>
    <xf numFmtId="173" fontId="20" fillId="5" borderId="1" xfId="11" applyNumberFormat="1" applyFont="1" applyFill="1" applyBorder="1" applyAlignment="1" applyProtection="1">
      <alignment horizontal="center" vertical="center"/>
      <protection hidden="1"/>
    </xf>
    <xf numFmtId="172" fontId="52" fillId="5" borderId="1" xfId="12" applyNumberFormat="1" applyFont="1" applyFill="1" applyBorder="1" applyAlignment="1" applyProtection="1">
      <alignment horizontal="center" vertical="center"/>
    </xf>
    <xf numFmtId="169" fontId="52" fillId="5" borderId="1" xfId="12" applyNumberFormat="1" applyFont="1" applyFill="1" applyBorder="1" applyAlignment="1" applyProtection="1">
      <alignment horizontal="left" vertical="center" wrapText="1"/>
    </xf>
    <xf numFmtId="166" fontId="20" fillId="5" borderId="1" xfId="11" applyNumberFormat="1" applyFont="1" applyFill="1" applyBorder="1" applyAlignment="1" applyProtection="1">
      <alignment horizontal="center" vertical="center"/>
      <protection hidden="1"/>
    </xf>
    <xf numFmtId="169" fontId="52" fillId="5" borderId="3" xfId="12" applyNumberFormat="1" applyFont="1" applyFill="1" applyBorder="1" applyAlignment="1" applyProtection="1">
      <alignment horizontal="center" vertical="center"/>
    </xf>
    <xf numFmtId="169" fontId="52" fillId="5" borderId="4" xfId="12" applyNumberFormat="1" applyFont="1" applyFill="1" applyBorder="1" applyAlignment="1" applyProtection="1">
      <alignment horizontal="center" vertical="center"/>
    </xf>
    <xf numFmtId="169" fontId="20" fillId="5" borderId="1" xfId="12" applyNumberFormat="1" applyFont="1" applyFill="1" applyBorder="1" applyAlignment="1" applyProtection="1">
      <alignment horizontal="center" vertical="center"/>
    </xf>
    <xf numFmtId="0" fontId="20" fillId="5" borderId="3" xfId="11" applyFont="1" applyFill="1" applyBorder="1" applyAlignment="1" applyProtection="1">
      <alignment horizontal="center" vertical="center"/>
      <protection hidden="1"/>
    </xf>
    <xf numFmtId="0" fontId="20" fillId="7" borderId="1" xfId="11" applyFont="1" applyFill="1" applyBorder="1" applyAlignment="1" applyProtection="1">
      <alignment horizontal="center" vertical="center"/>
      <protection hidden="1"/>
    </xf>
    <xf numFmtId="3" fontId="20" fillId="5" borderId="3" xfId="11" applyNumberFormat="1" applyFont="1" applyFill="1" applyBorder="1" applyAlignment="1" applyProtection="1">
      <alignment horizontal="center" vertical="center"/>
      <protection hidden="1"/>
    </xf>
    <xf numFmtId="0" fontId="52" fillId="5" borderId="3" xfId="12" applyNumberFormat="1" applyFont="1" applyFill="1" applyBorder="1" applyAlignment="1" applyProtection="1">
      <alignment horizontal="center" vertical="center"/>
    </xf>
    <xf numFmtId="0" fontId="20" fillId="5" borderId="4" xfId="11" applyFont="1" applyFill="1" applyBorder="1" applyAlignment="1" applyProtection="1">
      <alignment horizontal="center" vertical="center"/>
      <protection hidden="1"/>
    </xf>
    <xf numFmtId="3" fontId="20" fillId="5" borderId="4" xfId="11" applyNumberFormat="1" applyFont="1" applyFill="1" applyBorder="1" applyAlignment="1" applyProtection="1">
      <alignment horizontal="center" vertical="center"/>
      <protection hidden="1"/>
    </xf>
    <xf numFmtId="0" fontId="52" fillId="5" borderId="4" xfId="12" applyNumberFormat="1" applyFont="1" applyFill="1" applyBorder="1" applyAlignment="1" applyProtection="1">
      <alignment horizontal="center" vertical="center"/>
    </xf>
    <xf numFmtId="0" fontId="52" fillId="5" borderId="1" xfId="12" applyNumberFormat="1" applyFont="1" applyFill="1" applyBorder="1" applyAlignment="1" applyProtection="1">
      <alignment horizontal="center" vertical="center"/>
    </xf>
    <xf numFmtId="3" fontId="20" fillId="5" borderId="1" xfId="12" applyNumberFormat="1" applyFont="1" applyFill="1" applyBorder="1" applyAlignment="1" applyProtection="1">
      <alignment horizontal="center" vertical="center"/>
    </xf>
    <xf numFmtId="0" fontId="13" fillId="5" borderId="1" xfId="11" applyFont="1" applyFill="1" applyBorder="1" applyAlignment="1" applyProtection="1">
      <alignment vertical="center"/>
      <protection hidden="1"/>
    </xf>
    <xf numFmtId="3" fontId="13" fillId="5" borderId="1" xfId="12" applyNumberFormat="1" applyFont="1" applyFill="1" applyBorder="1" applyAlignment="1" applyProtection="1">
      <alignment horizontal="center" vertical="center"/>
    </xf>
    <xf numFmtId="0" fontId="20" fillId="5" borderId="1" xfId="11" applyFont="1" applyFill="1" applyBorder="1" applyAlignment="1" applyProtection="1">
      <alignment vertical="center" wrapText="1"/>
      <protection hidden="1"/>
    </xf>
    <xf numFmtId="169" fontId="52" fillId="5" borderId="1" xfId="12" applyNumberFormat="1" applyFont="1" applyFill="1" applyBorder="1" applyAlignment="1" applyProtection="1">
      <alignment horizontal="center" vertical="center"/>
    </xf>
    <xf numFmtId="172" fontId="52" fillId="5" borderId="1" xfId="12" applyNumberFormat="1" applyFont="1" applyFill="1" applyBorder="1" applyAlignment="1" applyProtection="1">
      <alignment horizontal="center" vertical="center" wrapText="1"/>
    </xf>
    <xf numFmtId="175" fontId="20" fillId="5" borderId="1" xfId="11" applyNumberFormat="1" applyFont="1" applyFill="1" applyBorder="1" applyAlignment="1" applyProtection="1">
      <alignment horizontal="center" vertical="center"/>
      <protection hidden="1"/>
    </xf>
    <xf numFmtId="169" fontId="14" fillId="5" borderId="1" xfId="12" applyNumberFormat="1" applyFont="1" applyFill="1" applyBorder="1" applyAlignment="1" applyProtection="1">
      <alignment horizontal="center" vertical="center"/>
    </xf>
    <xf numFmtId="0" fontId="45" fillId="0" borderId="0" xfId="11" applyFont="1" applyAlignment="1">
      <alignment vertical="center"/>
    </xf>
    <xf numFmtId="169" fontId="52" fillId="5" borderId="1" xfId="12" applyNumberFormat="1" applyFont="1" applyFill="1" applyBorder="1" applyAlignment="1" applyProtection="1">
      <alignment horizontal="center" vertical="center" wrapText="1"/>
    </xf>
    <xf numFmtId="169" fontId="52" fillId="5" borderId="1" xfId="12" quotePrefix="1" applyNumberFormat="1" applyFont="1" applyFill="1" applyBorder="1" applyAlignment="1" applyProtection="1">
      <alignment horizontal="center" vertical="center"/>
    </xf>
    <xf numFmtId="0" fontId="26" fillId="0" borderId="0" xfId="14" applyFont="1" applyAlignment="1">
      <alignment horizontal="centerContinuous" vertical="center"/>
    </xf>
    <xf numFmtId="0" fontId="26" fillId="0" borderId="0" xfId="14" applyFont="1" applyAlignment="1">
      <alignment horizontal="center" vertical="center"/>
    </xf>
    <xf numFmtId="0" fontId="28" fillId="0" borderId="0" xfId="14" applyFont="1" applyAlignment="1">
      <alignment horizontal="centerContinuous" vertical="center"/>
    </xf>
    <xf numFmtId="0" fontId="37" fillId="0" borderId="0" xfId="14" applyFont="1" applyAlignment="1">
      <alignment vertical="center"/>
    </xf>
    <xf numFmtId="0" fontId="53" fillId="0" borderId="0" xfId="14" applyFont="1" applyAlignment="1">
      <alignment vertical="center"/>
    </xf>
    <xf numFmtId="0" fontId="54" fillId="0" borderId="0" xfId="14" applyFont="1" applyAlignment="1">
      <alignment vertical="center"/>
    </xf>
    <xf numFmtId="0" fontId="9" fillId="0" borderId="0" xfId="14" applyFont="1" applyAlignment="1">
      <alignment horizontal="center" vertical="center"/>
    </xf>
    <xf numFmtId="0" fontId="55" fillId="0" borderId="0" xfId="14" applyFont="1" applyAlignment="1">
      <alignment horizontal="centerContinuous" vertical="center"/>
    </xf>
    <xf numFmtId="0" fontId="37" fillId="0" borderId="0" xfId="14" applyFont="1" applyAlignment="1">
      <alignment horizontal="center" vertical="center"/>
    </xf>
    <xf numFmtId="0" fontId="56" fillId="0" borderId="0" xfId="14" applyFont="1" applyAlignment="1">
      <alignment vertical="center"/>
    </xf>
    <xf numFmtId="0" fontId="57" fillId="0" borderId="0" xfId="14" applyFont="1" applyAlignment="1">
      <alignment horizontal="center" vertical="center"/>
    </xf>
    <xf numFmtId="0" fontId="26" fillId="0" borderId="0" xfId="14" applyFont="1" applyAlignment="1">
      <alignment horizontal="center" vertical="center" wrapText="1"/>
    </xf>
    <xf numFmtId="0" fontId="11" fillId="0" borderId="0" xfId="14" applyFont="1" applyAlignment="1">
      <alignment vertical="center"/>
    </xf>
    <xf numFmtId="0" fontId="24" fillId="0" borderId="0" xfId="14" applyFont="1" applyAlignment="1">
      <alignment horizontal="left" vertical="center"/>
    </xf>
    <xf numFmtId="0" fontId="24" fillId="0" borderId="0" xfId="14" applyFont="1" applyAlignment="1">
      <alignment horizontal="center" vertical="center"/>
    </xf>
    <xf numFmtId="0" fontId="24" fillId="0" borderId="0" xfId="14" applyFont="1" applyAlignment="1">
      <alignment vertical="center"/>
    </xf>
    <xf numFmtId="0" fontId="24" fillId="0" borderId="0" xfId="14" applyFont="1" applyAlignment="1">
      <alignment horizontal="right" vertical="center"/>
    </xf>
    <xf numFmtId="176" fontId="24" fillId="0" borderId="0" xfId="14" applyNumberFormat="1" applyFont="1" applyAlignment="1">
      <alignment horizontal="right" vertical="center"/>
    </xf>
    <xf numFmtId="0" fontId="4" fillId="0" borderId="1" xfId="14" applyFont="1" applyBorder="1" applyAlignment="1">
      <alignment horizontal="center" vertical="center" wrapText="1"/>
    </xf>
    <xf numFmtId="0" fontId="4" fillId="0" borderId="3" xfId="14" applyFont="1" applyBorder="1" applyAlignment="1">
      <alignment horizontal="center" vertical="center" wrapText="1"/>
    </xf>
    <xf numFmtId="0" fontId="4" fillId="0" borderId="1" xfId="14" applyFont="1" applyBorder="1" applyAlignment="1">
      <alignment horizontal="left" vertical="center" wrapText="1"/>
    </xf>
    <xf numFmtId="0" fontId="4" fillId="0" borderId="8" xfId="14" applyFont="1" applyBorder="1" applyAlignment="1">
      <alignment horizontal="center" vertical="center" wrapText="1"/>
    </xf>
    <xf numFmtId="0" fontId="4" fillId="0" borderId="9" xfId="14" applyFont="1" applyBorder="1" applyAlignment="1">
      <alignment horizontal="center" vertical="center" wrapText="1"/>
    </xf>
    <xf numFmtId="0" fontId="4" fillId="0" borderId="11" xfId="14" applyFont="1" applyBorder="1" applyAlignment="1">
      <alignment horizontal="center" vertical="center" wrapText="1"/>
    </xf>
    <xf numFmtId="0" fontId="4" fillId="0" borderId="3" xfId="14" applyFont="1" applyBorder="1" applyAlignment="1">
      <alignment horizontal="left" vertical="center" wrapText="1"/>
    </xf>
    <xf numFmtId="0" fontId="4" fillId="0" borderId="3" xfId="14" quotePrefix="1" applyFont="1" applyBorder="1" applyAlignment="1">
      <alignment horizontal="center" vertical="center" wrapText="1"/>
    </xf>
    <xf numFmtId="0" fontId="4" fillId="0" borderId="3" xfId="14" applyFont="1" applyBorder="1" applyAlignment="1">
      <alignment horizontal="center" vertical="center" wrapText="1"/>
    </xf>
    <xf numFmtId="176" fontId="4" fillId="0" borderId="3" xfId="14" applyNumberFormat="1" applyFont="1" applyBorder="1" applyAlignment="1">
      <alignment horizontal="center" vertical="center" wrapText="1"/>
    </xf>
    <xf numFmtId="0" fontId="52" fillId="0" borderId="1" xfId="16" applyFont="1" applyBorder="1" applyAlignment="1">
      <alignment horizontal="center" vertical="center"/>
    </xf>
    <xf numFmtId="0" fontId="5" fillId="0" borderId="1" xfId="14" applyFont="1" applyBorder="1" applyAlignment="1">
      <alignment horizontal="center" vertical="center"/>
    </xf>
    <xf numFmtId="0" fontId="52" fillId="5" borderId="1" xfId="11" applyFont="1" applyFill="1" applyBorder="1" applyAlignment="1" applyProtection="1">
      <alignment vertical="center"/>
      <protection hidden="1"/>
    </xf>
    <xf numFmtId="173" fontId="52" fillId="5" borderId="1" xfId="11" applyNumberFormat="1" applyFont="1" applyFill="1" applyBorder="1" applyAlignment="1" applyProtection="1">
      <alignment horizontal="center" vertical="center"/>
      <protection hidden="1"/>
    </xf>
    <xf numFmtId="0" fontId="5" fillId="0" borderId="1" xfId="14" quotePrefix="1" applyFont="1" applyBorder="1" applyAlignment="1">
      <alignment horizontal="center" vertical="center" wrapText="1"/>
    </xf>
    <xf numFmtId="14" fontId="5" fillId="0" borderId="1" xfId="14" quotePrefix="1" applyNumberFormat="1" applyFont="1" applyBorder="1" applyAlignment="1">
      <alignment horizontal="center" vertical="center" wrapText="1"/>
    </xf>
    <xf numFmtId="3" fontId="5" fillId="0" borderId="1" xfId="14" quotePrefix="1" applyNumberFormat="1" applyFont="1" applyBorder="1" applyAlignment="1">
      <alignment horizontal="center" vertical="center" wrapText="1"/>
    </xf>
    <xf numFmtId="3" fontId="5" fillId="0" borderId="1" xfId="14" applyNumberFormat="1" applyFont="1" applyBorder="1" applyAlignment="1">
      <alignment horizontal="center" vertical="center" wrapText="1"/>
    </xf>
    <xf numFmtId="176" fontId="5" fillId="0" borderId="1" xfId="14" applyNumberFormat="1" applyFont="1" applyBorder="1" applyAlignment="1">
      <alignment vertical="center" wrapText="1"/>
    </xf>
    <xf numFmtId="0" fontId="5" fillId="4" borderId="1" xfId="14" quotePrefix="1" applyFont="1" applyFill="1" applyBorder="1" applyAlignment="1">
      <alignment horizontal="center" vertical="center" wrapText="1"/>
    </xf>
    <xf numFmtId="14" fontId="5" fillId="4" borderId="1" xfId="14" quotePrefix="1" applyNumberFormat="1" applyFont="1" applyFill="1" applyBorder="1" applyAlignment="1">
      <alignment horizontal="center" vertical="center" wrapText="1"/>
    </xf>
    <xf numFmtId="0" fontId="5" fillId="0" borderId="1" xfId="14" applyFont="1" applyBorder="1" applyAlignment="1">
      <alignment horizontal="center" vertical="center" wrapText="1"/>
    </xf>
    <xf numFmtId="0" fontId="52" fillId="0" borderId="3" xfId="16" applyFont="1" applyBorder="1" applyAlignment="1">
      <alignment horizontal="center" vertical="center"/>
    </xf>
    <xf numFmtId="0" fontId="5" fillId="4" borderId="3" xfId="14" applyFont="1" applyFill="1" applyBorder="1" applyAlignment="1">
      <alignment horizontal="center" vertical="center"/>
    </xf>
    <xf numFmtId="0" fontId="52" fillId="5" borderId="3" xfId="11" applyFont="1" applyFill="1" applyBorder="1" applyAlignment="1" applyProtection="1">
      <alignment horizontal="left" vertical="center"/>
      <protection hidden="1"/>
    </xf>
    <xf numFmtId="0" fontId="52" fillId="5" borderId="3" xfId="11" applyFont="1" applyFill="1" applyBorder="1" applyAlignment="1" applyProtection="1">
      <alignment horizontal="center" vertical="center"/>
      <protection hidden="1"/>
    </xf>
    <xf numFmtId="0" fontId="5" fillId="0" borderId="3" xfId="14" quotePrefix="1" applyFont="1" applyBorder="1" applyAlignment="1">
      <alignment horizontal="center" vertical="center" wrapText="1"/>
    </xf>
    <xf numFmtId="14" fontId="5" fillId="0" borderId="3" xfId="14" quotePrefix="1" applyNumberFormat="1" applyFont="1" applyBorder="1" applyAlignment="1">
      <alignment horizontal="center" vertical="center" wrapText="1"/>
    </xf>
    <xf numFmtId="0" fontId="5" fillId="4" borderId="3" xfId="14" quotePrefix="1" applyFont="1" applyFill="1" applyBorder="1" applyAlignment="1">
      <alignment horizontal="center" vertical="center" wrapText="1"/>
    </xf>
    <xf numFmtId="3" fontId="5" fillId="0" borderId="3" xfId="14" applyNumberFormat="1" applyFont="1" applyBorder="1" applyAlignment="1">
      <alignment horizontal="center" vertical="center" wrapText="1"/>
    </xf>
    <xf numFmtId="176" fontId="5" fillId="6" borderId="3" xfId="14" applyNumberFormat="1" applyFont="1" applyFill="1" applyBorder="1" applyAlignment="1">
      <alignment vertical="center" wrapText="1"/>
    </xf>
    <xf numFmtId="0" fontId="5" fillId="4" borderId="1" xfId="14" applyFont="1" applyFill="1" applyBorder="1" applyAlignment="1">
      <alignment horizontal="center" vertical="center" wrapText="1"/>
    </xf>
    <xf numFmtId="3" fontId="54" fillId="0" borderId="0" xfId="14" applyNumberFormat="1" applyFont="1" applyAlignment="1">
      <alignment vertical="center"/>
    </xf>
    <xf numFmtId="0" fontId="52" fillId="0" borderId="4" xfId="16" applyFont="1" applyBorder="1" applyAlignment="1">
      <alignment horizontal="center" vertical="center"/>
    </xf>
    <xf numFmtId="0" fontId="5" fillId="4" borderId="4" xfId="14" applyFont="1" applyFill="1" applyBorder="1" applyAlignment="1">
      <alignment horizontal="center" vertical="center"/>
    </xf>
    <xf numFmtId="0" fontId="52" fillId="5" borderId="4" xfId="11" applyFont="1" applyFill="1" applyBorder="1" applyAlignment="1" applyProtection="1">
      <alignment horizontal="left" vertical="center"/>
      <protection hidden="1"/>
    </xf>
    <xf numFmtId="0" fontId="52" fillId="5" borderId="4" xfId="11" applyFont="1" applyFill="1" applyBorder="1" applyAlignment="1" applyProtection="1">
      <alignment horizontal="center" vertical="center"/>
      <protection hidden="1"/>
    </xf>
    <xf numFmtId="0" fontId="5" fillId="0" borderId="4" xfId="14" quotePrefix="1" applyFont="1" applyBorder="1" applyAlignment="1">
      <alignment horizontal="center" vertical="center" wrapText="1"/>
    </xf>
    <xf numFmtId="14" fontId="5" fillId="0" borderId="4" xfId="14" quotePrefix="1" applyNumberFormat="1" applyFont="1" applyBorder="1" applyAlignment="1">
      <alignment horizontal="center" vertical="center" wrapText="1"/>
    </xf>
    <xf numFmtId="0" fontId="5" fillId="4" borderId="4" xfId="14" quotePrefix="1" applyFont="1" applyFill="1" applyBorder="1" applyAlignment="1">
      <alignment horizontal="center" vertical="center" wrapText="1"/>
    </xf>
    <xf numFmtId="3" fontId="5" fillId="0" borderId="4" xfId="14" applyNumberFormat="1" applyFont="1" applyBorder="1" applyAlignment="1">
      <alignment horizontal="center" vertical="center" wrapText="1"/>
    </xf>
    <xf numFmtId="176" fontId="5" fillId="6" borderId="4" xfId="14" applyNumberFormat="1" applyFont="1" applyFill="1" applyBorder="1" applyAlignment="1">
      <alignment vertical="center" wrapText="1"/>
    </xf>
    <xf numFmtId="0" fontId="52" fillId="5" borderId="1" xfId="11" applyFont="1" applyFill="1" applyBorder="1" applyAlignment="1" applyProtection="1">
      <alignment horizontal="center" vertical="center"/>
      <protection hidden="1"/>
    </xf>
    <xf numFmtId="168" fontId="5" fillId="0" borderId="1" xfId="14" applyNumberFormat="1" applyFont="1" applyBorder="1" applyAlignment="1">
      <alignment horizontal="center" vertical="center" wrapText="1"/>
    </xf>
    <xf numFmtId="177" fontId="5" fillId="5" borderId="1" xfId="14" applyNumberFormat="1" applyFont="1" applyFill="1" applyBorder="1" applyAlignment="1">
      <alignment vertical="center" wrapText="1"/>
    </xf>
    <xf numFmtId="0" fontId="9" fillId="0" borderId="0" xfId="14" applyFont="1" applyAlignment="1">
      <alignment vertical="center"/>
    </xf>
    <xf numFmtId="0" fontId="5" fillId="4" borderId="1" xfId="14" applyFont="1" applyFill="1" applyBorder="1" applyAlignment="1">
      <alignment horizontal="center" vertical="center"/>
    </xf>
    <xf numFmtId="0" fontId="54" fillId="4" borderId="0" xfId="14" applyFont="1" applyFill="1" applyAlignment="1">
      <alignment vertical="center"/>
    </xf>
    <xf numFmtId="0" fontId="52" fillId="5" borderId="3" xfId="11" applyFont="1" applyFill="1" applyBorder="1" applyAlignment="1" applyProtection="1">
      <alignment vertical="center"/>
      <protection hidden="1"/>
    </xf>
    <xf numFmtId="3" fontId="5" fillId="7" borderId="1" xfId="14" applyNumberFormat="1" applyFont="1" applyFill="1" applyBorder="1" applyAlignment="1">
      <alignment horizontal="center" vertical="center" wrapText="1"/>
    </xf>
    <xf numFmtId="0" fontId="52" fillId="0" borderId="11" xfId="16" applyFont="1" applyBorder="1" applyAlignment="1">
      <alignment horizontal="center" vertical="center"/>
    </xf>
    <xf numFmtId="0" fontId="52" fillId="5" borderId="11" xfId="11" applyFont="1" applyFill="1" applyBorder="1" applyAlignment="1" applyProtection="1">
      <alignment horizontal="center" vertical="center"/>
      <protection hidden="1"/>
    </xf>
    <xf numFmtId="0" fontId="52" fillId="5" borderId="3" xfId="11" applyFont="1" applyFill="1" applyBorder="1" applyAlignment="1" applyProtection="1">
      <alignment horizontal="center" vertical="center"/>
      <protection hidden="1"/>
    </xf>
    <xf numFmtId="0" fontId="54" fillId="0" borderId="0" xfId="14" applyFont="1" applyAlignment="1">
      <alignment horizontal="right" vertical="center"/>
    </xf>
    <xf numFmtId="176" fontId="54" fillId="0" borderId="0" xfId="14" applyNumberFormat="1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4" fillId="0" borderId="0" xfId="14" applyFont="1" applyAlignment="1">
      <alignment horizontal="left" vertical="center"/>
    </xf>
    <xf numFmtId="164" fontId="14" fillId="5" borderId="0" xfId="17" applyNumberFormat="1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63" fillId="5" borderId="0" xfId="0" applyFont="1" applyFill="1" applyAlignment="1">
      <alignment horizontal="center" vertical="center"/>
    </xf>
    <xf numFmtId="0" fontId="63" fillId="5" borderId="0" xfId="0" applyFont="1" applyFill="1" applyAlignment="1">
      <alignment horizontal="right" vertical="center"/>
    </xf>
    <xf numFmtId="169" fontId="63" fillId="5" borderId="0" xfId="17" applyNumberFormat="1" applyFont="1" applyFill="1" applyBorder="1" applyAlignment="1">
      <alignment horizontal="center" vertical="center"/>
    </xf>
    <xf numFmtId="164" fontId="52" fillId="5" borderId="0" xfId="17" applyNumberFormat="1" applyFont="1" applyFill="1" applyAlignment="1">
      <alignment vertical="center"/>
    </xf>
    <xf numFmtId="0" fontId="52" fillId="5" borderId="0" xfId="0" applyFont="1" applyFill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right" vertical="center" wrapText="1"/>
    </xf>
    <xf numFmtId="169" fontId="21" fillId="5" borderId="3" xfId="17" applyNumberFormat="1" applyFont="1" applyFill="1" applyBorder="1" applyAlignment="1">
      <alignment horizontal="center" vertical="center" wrapText="1"/>
    </xf>
    <xf numFmtId="0" fontId="64" fillId="5" borderId="0" xfId="0" applyFont="1" applyFill="1"/>
    <xf numFmtId="0" fontId="65" fillId="3" borderId="2" xfId="0" applyFont="1" applyFill="1" applyBorder="1" applyAlignment="1">
      <alignment horizontal="center" vertical="center"/>
    </xf>
    <xf numFmtId="0" fontId="65" fillId="3" borderId="2" xfId="0" applyFont="1" applyFill="1" applyBorder="1" applyAlignment="1">
      <alignment horizontal="left" vertical="center"/>
    </xf>
    <xf numFmtId="0" fontId="52" fillId="3" borderId="2" xfId="0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 wrapText="1"/>
    </xf>
    <xf numFmtId="179" fontId="16" fillId="0" borderId="2" xfId="0" applyNumberFormat="1" applyFont="1" applyBorder="1" applyAlignment="1">
      <alignment horizontal="right" vertical="center" wrapText="1"/>
    </xf>
    <xf numFmtId="0" fontId="21" fillId="0" borderId="2" xfId="0" applyFont="1" applyBorder="1" applyAlignment="1">
      <alignment horizontal="right" vertical="center"/>
    </xf>
    <xf numFmtId="3" fontId="21" fillId="5" borderId="2" xfId="17" applyNumberFormat="1" applyFont="1" applyFill="1" applyBorder="1"/>
    <xf numFmtId="0" fontId="21" fillId="5" borderId="0" xfId="0" applyFont="1" applyFill="1"/>
    <xf numFmtId="0" fontId="52" fillId="0" borderId="5" xfId="0" applyFont="1" applyBorder="1" applyAlignment="1">
      <alignment horizontal="center" vertical="center"/>
    </xf>
    <xf numFmtId="0" fontId="52" fillId="0" borderId="5" xfId="0" applyFont="1" applyBorder="1" applyAlignment="1">
      <alignment horizontal="left" vertical="center"/>
    </xf>
    <xf numFmtId="0" fontId="52" fillId="0" borderId="5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3" fontId="16" fillId="5" borderId="5" xfId="17" applyNumberFormat="1" applyFont="1" applyFill="1" applyBorder="1"/>
    <xf numFmtId="0" fontId="16" fillId="5" borderId="0" xfId="0" applyFont="1" applyFill="1"/>
    <xf numFmtId="0" fontId="14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52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170" fontId="52" fillId="0" borderId="5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/>
    </xf>
    <xf numFmtId="179" fontId="16" fillId="0" borderId="5" xfId="0" applyNumberFormat="1" applyFont="1" applyBorder="1" applyAlignment="1">
      <alignment horizontal="right" vertical="center"/>
    </xf>
    <xf numFmtId="0" fontId="52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left" vertical="center"/>
    </xf>
    <xf numFmtId="0" fontId="52" fillId="0" borderId="12" xfId="0" applyFont="1" applyBorder="1" applyAlignment="1">
      <alignment horizontal="right" vertical="center"/>
    </xf>
    <xf numFmtId="0" fontId="52" fillId="5" borderId="12" xfId="0" applyFont="1" applyFill="1" applyBorder="1" applyAlignment="1">
      <alignment horizontal="right" vertical="center" wrapText="1"/>
    </xf>
    <xf numFmtId="169" fontId="16" fillId="5" borderId="12" xfId="17" applyNumberFormat="1" applyFont="1" applyFill="1" applyBorder="1"/>
    <xf numFmtId="0" fontId="52" fillId="5" borderId="1" xfId="0" applyFont="1" applyFill="1" applyBorder="1" applyAlignment="1">
      <alignment horizontal="center"/>
    </xf>
    <xf numFmtId="0" fontId="14" fillId="5" borderId="1" xfId="0" applyFont="1" applyFill="1" applyBorder="1"/>
    <xf numFmtId="0" fontId="52" fillId="5" borderId="1" xfId="0" applyFont="1" applyFill="1" applyBorder="1"/>
    <xf numFmtId="0" fontId="52" fillId="5" borderId="1" xfId="0" applyFont="1" applyFill="1" applyBorder="1" applyAlignment="1">
      <alignment horizontal="right"/>
    </xf>
    <xf numFmtId="169" fontId="14" fillId="5" borderId="1" xfId="17" applyNumberFormat="1" applyFont="1" applyFill="1" applyBorder="1"/>
    <xf numFmtId="0" fontId="52" fillId="5" borderId="0" xfId="0" applyFont="1" applyFill="1"/>
    <xf numFmtId="43" fontId="52" fillId="5" borderId="0" xfId="0" applyNumberFormat="1" applyFont="1" applyFill="1"/>
    <xf numFmtId="0" fontId="14" fillId="2" borderId="0" xfId="0" applyFont="1" applyFill="1" applyAlignment="1">
      <alignment horizontal="left"/>
    </xf>
    <xf numFmtId="0" fontId="52" fillId="2" borderId="0" xfId="0" applyFont="1" applyFill="1"/>
    <xf numFmtId="3" fontId="52" fillId="2" borderId="0" xfId="0" applyNumberFormat="1" applyFont="1" applyFill="1"/>
    <xf numFmtId="0" fontId="52" fillId="2" borderId="0" xfId="17" applyNumberFormat="1" applyFont="1" applyFill="1" applyAlignment="1">
      <alignment horizontal="right"/>
    </xf>
    <xf numFmtId="169" fontId="52" fillId="2" borderId="0" xfId="17" applyNumberFormat="1" applyFont="1" applyFill="1"/>
    <xf numFmtId="0" fontId="5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66" fillId="5" borderId="0" xfId="0" applyFont="1" applyFill="1" applyAlignment="1">
      <alignment horizontal="center"/>
    </xf>
    <xf numFmtId="0" fontId="66" fillId="5" borderId="0" xfId="0" applyFont="1" applyFill="1"/>
    <xf numFmtId="0" fontId="66" fillId="5" borderId="0" xfId="0" applyFont="1" applyFill="1" applyAlignment="1">
      <alignment horizontal="right"/>
    </xf>
    <xf numFmtId="169" fontId="66" fillId="5" borderId="0" xfId="17" applyNumberFormat="1" applyFont="1" applyFill="1"/>
    <xf numFmtId="0" fontId="26" fillId="0" borderId="0" xfId="14" applyFont="1" applyAlignment="1">
      <alignment horizontal="center" vertical="center"/>
    </xf>
    <xf numFmtId="0" fontId="55" fillId="0" borderId="0" xfId="14" applyFont="1" applyAlignment="1">
      <alignment horizontal="center" vertical="center"/>
    </xf>
    <xf numFmtId="176" fontId="5" fillId="6" borderId="3" xfId="14" applyNumberFormat="1" applyFont="1" applyFill="1" applyBorder="1" applyAlignment="1">
      <alignment vertical="center" wrapText="1"/>
    </xf>
    <xf numFmtId="176" fontId="5" fillId="6" borderId="4" xfId="14" applyNumberFormat="1" applyFont="1" applyFill="1" applyBorder="1" applyAlignment="1">
      <alignment vertical="center" wrapText="1"/>
    </xf>
    <xf numFmtId="0" fontId="26" fillId="0" borderId="0" xfId="0" applyFont="1" applyAlignment="1"/>
    <xf numFmtId="0" fontId="14" fillId="0" borderId="0" xfId="0" applyFont="1" applyAlignment="1">
      <alignment vertical="center"/>
    </xf>
    <xf numFmtId="0" fontId="5" fillId="4" borderId="3" xfId="14" quotePrefix="1" applyFont="1" applyFill="1" applyBorder="1" applyAlignment="1">
      <alignment vertical="center" wrapText="1"/>
    </xf>
    <xf numFmtId="0" fontId="5" fillId="4" borderId="4" xfId="14" quotePrefix="1" applyFont="1" applyFill="1" applyBorder="1" applyAlignment="1">
      <alignment vertical="center" wrapText="1"/>
    </xf>
    <xf numFmtId="3" fontId="5" fillId="0" borderId="3" xfId="14" applyNumberFormat="1" applyFont="1" applyBorder="1" applyAlignment="1">
      <alignment vertical="center" wrapText="1"/>
    </xf>
    <xf numFmtId="3" fontId="5" fillId="0" borderId="4" xfId="14" applyNumberFormat="1" applyFont="1" applyBorder="1" applyAlignment="1">
      <alignment vertical="center" wrapText="1"/>
    </xf>
    <xf numFmtId="0" fontId="52" fillId="0" borderId="3" xfId="16" applyFont="1" applyBorder="1" applyAlignment="1">
      <alignment vertical="center"/>
    </xf>
    <xf numFmtId="0" fontId="52" fillId="0" borderId="4" xfId="16" applyFont="1" applyBorder="1" applyAlignment="1">
      <alignment vertical="center"/>
    </xf>
    <xf numFmtId="0" fontId="5" fillId="4" borderId="3" xfId="14" applyFont="1" applyFill="1" applyBorder="1" applyAlignment="1">
      <alignment vertical="center"/>
    </xf>
    <xf numFmtId="0" fontId="5" fillId="4" borderId="4" xfId="14" applyFont="1" applyFill="1" applyBorder="1" applyAlignment="1">
      <alignment vertical="center"/>
    </xf>
    <xf numFmtId="0" fontId="52" fillId="5" borderId="4" xfId="11" applyFont="1" applyFill="1" applyBorder="1" applyAlignment="1" applyProtection="1">
      <alignment vertical="center"/>
      <protection hidden="1"/>
    </xf>
    <xf numFmtId="0" fontId="5" fillId="0" borderId="3" xfId="14" quotePrefix="1" applyFont="1" applyBorder="1" applyAlignment="1">
      <alignment vertical="center" wrapText="1"/>
    </xf>
    <xf numFmtId="0" fontId="5" fillId="0" borderId="4" xfId="14" quotePrefix="1" applyFont="1" applyBorder="1" applyAlignment="1">
      <alignment vertical="center" wrapText="1"/>
    </xf>
    <xf numFmtId="14" fontId="5" fillId="0" borderId="3" xfId="14" quotePrefix="1" applyNumberFormat="1" applyFont="1" applyBorder="1" applyAlignment="1">
      <alignment vertical="center" wrapText="1"/>
    </xf>
    <xf numFmtId="14" fontId="5" fillId="0" borderId="4" xfId="14" quotePrefix="1" applyNumberFormat="1" applyFont="1" applyBorder="1" applyAlignment="1">
      <alignment vertical="center" wrapText="1"/>
    </xf>
    <xf numFmtId="0" fontId="52" fillId="0" borderId="11" xfId="16" applyFont="1" applyBorder="1" applyAlignment="1">
      <alignment vertical="center"/>
    </xf>
    <xf numFmtId="0" fontId="52" fillId="5" borderId="11" xfId="11" applyFont="1" applyFill="1" applyBorder="1" applyAlignment="1" applyProtection="1">
      <alignment vertical="center"/>
      <protection hidden="1"/>
    </xf>
    <xf numFmtId="0" fontId="4" fillId="0" borderId="1" xfId="14" applyFont="1" applyBorder="1" applyAlignment="1">
      <alignment vertical="center" wrapText="1"/>
    </xf>
    <xf numFmtId="0" fontId="4" fillId="0" borderId="3" xfId="14" applyFont="1" applyBorder="1" applyAlignment="1">
      <alignment vertical="center" wrapText="1"/>
    </xf>
    <xf numFmtId="0" fontId="57" fillId="0" borderId="0" xfId="14" applyFont="1" applyAlignment="1">
      <alignment vertical="center"/>
    </xf>
    <xf numFmtId="0" fontId="26" fillId="0" borderId="0" xfId="14" applyFont="1" applyAlignment="1">
      <alignment vertical="center" wrapText="1"/>
    </xf>
    <xf numFmtId="0" fontId="4" fillId="0" borderId="11" xfId="14" applyFont="1" applyBorder="1" applyAlignment="1">
      <alignment vertical="center" wrapText="1"/>
    </xf>
    <xf numFmtId="0" fontId="4" fillId="0" borderId="8" xfId="14" applyFont="1" applyBorder="1" applyAlignment="1">
      <alignment vertical="center" wrapText="1"/>
    </xf>
    <xf numFmtId="0" fontId="4" fillId="0" borderId="9" xfId="14" applyFont="1" applyBorder="1" applyAlignment="1">
      <alignment vertical="center" wrapText="1"/>
    </xf>
    <xf numFmtId="0" fontId="26" fillId="0" borderId="0" xfId="14" applyFont="1" applyAlignment="1">
      <alignment vertical="center"/>
    </xf>
    <xf numFmtId="0" fontId="14" fillId="2" borderId="0" xfId="0" applyFont="1" applyFill="1" applyAlignment="1">
      <alignment vertical="center"/>
    </xf>
    <xf numFmtId="0" fontId="59" fillId="5" borderId="0" xfId="0" applyFont="1" applyFill="1" applyAlignment="1">
      <alignment vertical="center"/>
    </xf>
    <xf numFmtId="0" fontId="60" fillId="5" borderId="0" xfId="0" applyFont="1" applyFill="1" applyAlignment="1">
      <alignment vertical="center"/>
    </xf>
    <xf numFmtId="0" fontId="61" fillId="5" borderId="0" xfId="0" applyFont="1" applyFill="1" applyAlignment="1">
      <alignment vertical="center" wrapText="1"/>
    </xf>
    <xf numFmtId="0" fontId="61" fillId="5" borderId="0" xfId="0" applyFont="1" applyFill="1" applyAlignment="1">
      <alignment vertical="center"/>
    </xf>
    <xf numFmtId="0" fontId="14" fillId="2" borderId="0" xfId="0" applyFont="1" applyFill="1" applyAlignment="1"/>
    <xf numFmtId="0" fontId="13" fillId="5" borderId="3" xfId="11" applyFont="1" applyFill="1" applyBorder="1" applyAlignment="1" applyProtection="1">
      <alignment vertical="center"/>
      <protection hidden="1"/>
    </xf>
    <xf numFmtId="0" fontId="13" fillId="5" borderId="4" xfId="11" applyFont="1" applyFill="1" applyBorder="1" applyAlignment="1" applyProtection="1">
      <alignment vertical="center"/>
      <protection hidden="1"/>
    </xf>
    <xf numFmtId="0" fontId="20" fillId="5" borderId="3" xfId="11" applyFont="1" applyFill="1" applyBorder="1" applyAlignment="1" applyProtection="1">
      <alignment vertical="center"/>
      <protection hidden="1"/>
    </xf>
    <xf numFmtId="0" fontId="20" fillId="5" borderId="4" xfId="11" applyFont="1" applyFill="1" applyBorder="1" applyAlignment="1" applyProtection="1">
      <alignment vertical="center"/>
      <protection hidden="1"/>
    </xf>
    <xf numFmtId="3" fontId="20" fillId="5" borderId="3" xfId="11" applyNumberFormat="1" applyFont="1" applyFill="1" applyBorder="1" applyAlignment="1" applyProtection="1">
      <alignment vertical="center"/>
      <protection hidden="1"/>
    </xf>
    <xf numFmtId="3" fontId="20" fillId="5" borderId="4" xfId="11" applyNumberFormat="1" applyFont="1" applyFill="1" applyBorder="1" applyAlignment="1" applyProtection="1">
      <alignment vertical="center"/>
      <protection hidden="1"/>
    </xf>
    <xf numFmtId="0" fontId="52" fillId="5" borderId="3" xfId="12" applyNumberFormat="1" applyFont="1" applyFill="1" applyBorder="1" applyAlignment="1" applyProtection="1">
      <alignment vertical="center"/>
    </xf>
    <xf numFmtId="0" fontId="52" fillId="5" borderId="4" xfId="12" applyNumberFormat="1" applyFont="1" applyFill="1" applyBorder="1" applyAlignment="1" applyProtection="1">
      <alignment vertical="center"/>
    </xf>
    <xf numFmtId="169" fontId="52" fillId="5" borderId="3" xfId="12" applyNumberFormat="1" applyFont="1" applyFill="1" applyBorder="1" applyAlignment="1" applyProtection="1">
      <alignment vertical="center"/>
    </xf>
    <xf numFmtId="169" fontId="52" fillId="5" borderId="4" xfId="12" applyNumberFormat="1" applyFont="1" applyFill="1" applyBorder="1" applyAlignment="1" applyProtection="1">
      <alignment vertical="center"/>
    </xf>
    <xf numFmtId="0" fontId="38" fillId="0" borderId="0" xfId="0" applyFont="1" applyAlignment="1" applyProtection="1">
      <alignment vertical="center"/>
      <protection hidden="1"/>
    </xf>
    <xf numFmtId="0" fontId="26" fillId="0" borderId="0" xfId="0" applyFont="1" applyAlignment="1">
      <alignment vertical="center" wrapText="1"/>
    </xf>
    <xf numFmtId="169" fontId="20" fillId="5" borderId="1" xfId="12" applyNumberFormat="1" applyFont="1" applyFill="1" applyBorder="1" applyAlignment="1" applyProtection="1">
      <alignment vertical="center" wrapText="1"/>
    </xf>
    <xf numFmtId="169" fontId="20" fillId="5" borderId="1" xfId="12" applyNumberFormat="1" applyFont="1" applyFill="1" applyBorder="1" applyAlignment="1" applyProtection="1">
      <alignment vertical="center"/>
    </xf>
    <xf numFmtId="172" fontId="20" fillId="5" borderId="1" xfId="12" applyNumberFormat="1" applyFont="1" applyFill="1" applyBorder="1" applyAlignment="1" applyProtection="1">
      <alignment vertical="center" wrapText="1"/>
    </xf>
    <xf numFmtId="3" fontId="20" fillId="5" borderId="1" xfId="11" applyNumberFormat="1" applyFont="1" applyFill="1" applyBorder="1" applyAlignment="1" applyProtection="1">
      <alignment vertical="center"/>
      <protection hidden="1"/>
    </xf>
    <xf numFmtId="0" fontId="40" fillId="0" borderId="0" xfId="11" applyAlignment="1"/>
    <xf numFmtId="172" fontId="13" fillId="5" borderId="1" xfId="12" applyNumberFormat="1" applyFont="1" applyFill="1" applyBorder="1" applyAlignment="1" applyProtection="1">
      <alignment vertical="center"/>
    </xf>
    <xf numFmtId="172" fontId="13" fillId="5" borderId="3" xfId="12" applyNumberFormat="1" applyFont="1" applyFill="1" applyBorder="1" applyAlignment="1" applyProtection="1">
      <alignment vertical="center"/>
    </xf>
    <xf numFmtId="172" fontId="13" fillId="5" borderId="1" xfId="12" applyNumberFormat="1" applyFont="1" applyFill="1" applyBorder="1" applyAlignment="1" applyProtection="1">
      <alignment horizontal="center" vertical="center"/>
    </xf>
    <xf numFmtId="172" fontId="13" fillId="5" borderId="4" xfId="12" applyNumberFormat="1" applyFont="1" applyFill="1" applyBorder="1" applyAlignment="1" applyProtection="1">
      <alignment vertical="center"/>
    </xf>
    <xf numFmtId="0" fontId="5" fillId="0" borderId="0" xfId="11" applyFont="1" applyAlignment="1"/>
    <xf numFmtId="0" fontId="41" fillId="0" borderId="0" xfId="11" applyFont="1" applyAlignment="1"/>
    <xf numFmtId="169" fontId="52" fillId="5" borderId="1" xfId="12" applyNumberFormat="1" applyFont="1" applyFill="1" applyBorder="1" applyAlignment="1" applyProtection="1">
      <alignment horizontal="left" vertical="center"/>
    </xf>
    <xf numFmtId="0" fontId="43" fillId="0" borderId="0" xfId="11" applyFont="1" applyAlignment="1"/>
    <xf numFmtId="0" fontId="8" fillId="0" borderId="0" xfId="11" applyFont="1" applyAlignment="1"/>
    <xf numFmtId="0" fontId="4" fillId="0" borderId="0" xfId="11" applyFont="1" applyAlignment="1"/>
    <xf numFmtId="0" fontId="45" fillId="0" borderId="0" xfId="11" applyFont="1" applyAlignment="1"/>
    <xf numFmtId="0" fontId="40" fillId="0" borderId="0" xfId="11" applyAlignment="1" applyProtection="1">
      <protection hidden="1"/>
    </xf>
    <xf numFmtId="172" fontId="0" fillId="0" borderId="0" xfId="12" applyNumberFormat="1" applyFont="1" applyFill="1" applyAlignment="1" applyProtection="1"/>
    <xf numFmtId="0" fontId="2" fillId="0" borderId="0" xfId="7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4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0" fontId="4" fillId="5" borderId="0" xfId="2" applyFont="1" applyFill="1" applyAlignment="1">
      <alignment horizontal="center" vertical="center"/>
    </xf>
    <xf numFmtId="41" fontId="5" fillId="0" borderId="3" xfId="9" applyNumberFormat="1" applyFont="1" applyFill="1" applyBorder="1" applyAlignment="1">
      <alignment horizontal="center" vertical="center"/>
    </xf>
    <xf numFmtId="43" fontId="5" fillId="0" borderId="1" xfId="9" applyNumberFormat="1" applyFont="1" applyFill="1" applyBorder="1" applyAlignment="1">
      <alignment horizontal="center" vertical="center"/>
    </xf>
    <xf numFmtId="0" fontId="28" fillId="5" borderId="1" xfId="4" applyFont="1" applyFill="1" applyBorder="1" applyAlignment="1">
      <alignment horizontal="left" vertical="center" shrinkToFit="1"/>
    </xf>
    <xf numFmtId="0" fontId="28" fillId="5" borderId="1" xfId="4" applyFont="1" applyFill="1" applyBorder="1">
      <alignment horizontal="center" vertical="center"/>
    </xf>
  </cellXfs>
  <cellStyles count="18">
    <cellStyle name="Comma 2" xfId="12" xr:uid="{535DDA9E-5C7A-493A-93B7-86E436FF703D}"/>
    <cellStyle name="Comma 3" xfId="17" xr:uid="{0F3EDF66-88CD-4CB8-AEB8-9E50A3D8E8D2}"/>
    <cellStyle name="Comma 6" xfId="9" xr:uid="{6B19A4F6-3E75-4919-887C-D6011CE3C6E3}"/>
    <cellStyle name="Comma 7" xfId="3" xr:uid="{6F6F847D-48D8-4F75-8516-2A264E3C8DD3}"/>
    <cellStyle name="Comma 8" xfId="6" xr:uid="{EBD4AA79-8186-4CEC-BED9-151844140087}"/>
    <cellStyle name="Normal" xfId="0" builtinId="0"/>
    <cellStyle name="Normal 10 2" xfId="10" xr:uid="{354B97B1-2DEB-4943-96B2-74BF378087CA}"/>
    <cellStyle name="Normal 2" xfId="4" xr:uid="{3974ACC2-F161-4174-AF8E-F201738C5436}"/>
    <cellStyle name="Normal 2 2" xfId="8" xr:uid="{EDE9B836-3877-4D2D-84E3-D9B2EF59D00C}"/>
    <cellStyle name="Normal 2 3" xfId="11" xr:uid="{495BDC3A-2D9E-4F84-A574-A38B63087E71}"/>
    <cellStyle name="Normal 26" xfId="7" xr:uid="{CF564CEC-469D-4A08-BE47-766053694E8B}"/>
    <cellStyle name="Normal 28" xfId="1" xr:uid="{DFB0F790-1478-44E5-8DDC-AB87EE53D256}"/>
    <cellStyle name="Normal 29" xfId="5" xr:uid="{A69AE731-9C90-461C-8DCF-3042E48EE043}"/>
    <cellStyle name="Normal 3" xfId="15" xr:uid="{A841269C-6F17-445D-A0D1-10BF72F02F32}"/>
    <cellStyle name="Normal 3 2" xfId="16" xr:uid="{939B9D8A-CB29-4BF3-938D-9FE7FA639A57}"/>
    <cellStyle name="Normal 3 3" xfId="14" xr:uid="{D40796FE-D8F2-43CA-B54A-8A8B08C76861}"/>
    <cellStyle name="Normal_HANUL" xfId="13" xr:uid="{991CBA11-29FB-43AA-98F7-CA9FF6A96280}"/>
    <cellStyle name="Normal_VẬT TƯ A CẤP 2" xfId="2" xr:uid="{6AB5C0AD-B100-43BF-8CF2-55E9FE47D49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2</xdr:row>
      <xdr:rowOff>104775</xdr:rowOff>
    </xdr:from>
    <xdr:to>
      <xdr:col>8</xdr:col>
      <xdr:colOff>152400</xdr:colOff>
      <xdr:row>2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44DB994-7318-4A70-8D24-528A4037250F}"/>
            </a:ext>
          </a:extLst>
        </xdr:cNvPr>
        <xdr:cNvCxnSpPr/>
      </xdr:nvCxnSpPr>
      <xdr:spPr>
        <a:xfrm flipV="1">
          <a:off x="7536180" y="539115"/>
          <a:ext cx="1341120" cy="9525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ucs\Desktop\20191129-480XuanBac%20hoan%20thien%2001.12.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nhok\hoan\xdcb\2016\Copy%20of%20Du%20lieu%20dau%20v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"/>
      <sheetName val="DG"/>
      <sheetName val="Solieu"/>
      <sheetName val="Nhap"/>
      <sheetName val="ListCongTrinh"/>
      <sheetName val="DonGiaHD"/>
      <sheetName val="BangKeTru"/>
      <sheetName val="BCTienDo"/>
      <sheetName val="ChiTietDuToan"/>
      <sheetName val="BangKeThuHoi"/>
      <sheetName val="TongHopKL"/>
      <sheetName val="PXVT"/>
      <sheetName val="NT-VT"/>
      <sheetName val="A-Cap"/>
      <sheetName val="QuyetToanKLA"/>
      <sheetName val="NhapThua"/>
      <sheetName val="KLTang"/>
      <sheetName val="KLTang (2)"/>
      <sheetName val="KLGiam"/>
      <sheetName val="KLGiam (2)"/>
      <sheetName val="THPS"/>
      <sheetName val="BBPS"/>
      <sheetName val="TruocThaoGo"/>
      <sheetName val="SauThaoGo"/>
      <sheetName val="TyTrong"/>
      <sheetName val="DanhGia"/>
      <sheetName val="NhapKho"/>
      <sheetName val="GiaPheLie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so dau vao"/>
      <sheetName val="LUONG"/>
      <sheetName val="GIA CA MAY"/>
      <sheetName val="GIA CA MAY VIEN THONG"/>
      <sheetName val="VAT LIEU"/>
      <sheetName val="Sheet1"/>
    </sheetNames>
    <sheetDataSet>
      <sheetData sheetId="0" refreshError="1"/>
      <sheetData sheetId="1">
        <row r="9">
          <cell r="F9">
            <v>26</v>
          </cell>
        </row>
        <row r="13">
          <cell r="A13" t="str">
            <v>STT</v>
          </cell>
          <cell r="B13" t="str">
            <v>BẬC THỢ</v>
          </cell>
          <cell r="C13" t="str">
            <v>HỆ SỐ</v>
          </cell>
          <cell r="D13" t="str">
            <v>LƯƠNG CƠ BẢN</v>
          </cell>
          <cell r="F13" t="str">
            <v>PHỤ CẤP</v>
          </cell>
          <cell r="H13" t="str">
            <v>LƯƠNG NGÀY KỂ CẢ PHỤ CẤP</v>
          </cell>
        </row>
        <row r="14">
          <cell r="E14" t="str">
            <v>CT ngầm</v>
          </cell>
          <cell r="G14" t="str">
            <v>CT ngầm</v>
          </cell>
        </row>
        <row r="15">
          <cell r="A15">
            <v>1</v>
          </cell>
          <cell r="B15" t="str">
            <v>Thợ bậc 2/7</v>
          </cell>
          <cell r="C15">
            <v>1.83</v>
          </cell>
          <cell r="D15">
            <v>3660000</v>
          </cell>
          <cell r="E15">
            <v>0</v>
          </cell>
          <cell r="G15" t="e">
            <v>#REF!</v>
          </cell>
          <cell r="H15">
            <v>140769</v>
          </cell>
        </row>
        <row r="16">
          <cell r="A16">
            <v>2</v>
          </cell>
          <cell r="B16" t="str">
            <v>Thợ bậc 2,5/7</v>
          </cell>
          <cell r="C16">
            <v>1.9950000000000001</v>
          </cell>
          <cell r="D16">
            <v>3990000</v>
          </cell>
          <cell r="E16">
            <v>0</v>
          </cell>
          <cell r="G16" t="e">
            <v>#REF!</v>
          </cell>
          <cell r="H16">
            <v>153462</v>
          </cell>
        </row>
        <row r="17">
          <cell r="A17">
            <v>3</v>
          </cell>
          <cell r="B17" t="str">
            <v>Thợ bậc 2,7/7</v>
          </cell>
          <cell r="C17">
            <v>2.0609999999999999</v>
          </cell>
          <cell r="D17">
            <v>4122000</v>
          </cell>
          <cell r="E17">
            <v>0</v>
          </cell>
          <cell r="G17" t="e">
            <v>#REF!</v>
          </cell>
          <cell r="H17">
            <v>158538</v>
          </cell>
        </row>
        <row r="18">
          <cell r="A18">
            <v>4</v>
          </cell>
          <cell r="B18" t="str">
            <v>Thợ bậc 3,0/7</v>
          </cell>
          <cell r="C18">
            <v>2.16</v>
          </cell>
          <cell r="D18">
            <v>4320000</v>
          </cell>
          <cell r="E18">
            <v>0</v>
          </cell>
          <cell r="G18" t="e">
            <v>#REF!</v>
          </cell>
          <cell r="H18">
            <v>166154</v>
          </cell>
        </row>
        <row r="19">
          <cell r="A19">
            <v>5</v>
          </cell>
          <cell r="B19" t="str">
            <v>Thợ bậc 3,2/7</v>
          </cell>
          <cell r="C19">
            <v>2.238</v>
          </cell>
          <cell r="D19">
            <v>4476000</v>
          </cell>
          <cell r="E19">
            <v>0</v>
          </cell>
          <cell r="G19" t="e">
            <v>#REF!</v>
          </cell>
          <cell r="H19">
            <v>172154</v>
          </cell>
        </row>
        <row r="20">
          <cell r="A20">
            <v>6</v>
          </cell>
          <cell r="B20" t="str">
            <v>Thợ bậc 3,5/7</v>
          </cell>
          <cell r="C20">
            <v>2.355</v>
          </cell>
          <cell r="D20">
            <v>4710000</v>
          </cell>
          <cell r="E20">
            <v>0</v>
          </cell>
          <cell r="G20" t="e">
            <v>#REF!</v>
          </cell>
          <cell r="H20">
            <v>181154</v>
          </cell>
        </row>
        <row r="21">
          <cell r="A21">
            <v>7</v>
          </cell>
          <cell r="B21" t="str">
            <v>Thợ bậc 3,7/7</v>
          </cell>
          <cell r="C21">
            <v>2.4329999999999998</v>
          </cell>
          <cell r="D21">
            <v>4866000</v>
          </cell>
          <cell r="E21">
            <v>0</v>
          </cell>
          <cell r="G21" t="e">
            <v>#REF!</v>
          </cell>
          <cell r="H21">
            <v>187154</v>
          </cell>
        </row>
        <row r="22">
          <cell r="A22">
            <v>8</v>
          </cell>
          <cell r="B22" t="str">
            <v>Thợ bậc 4,0/7</v>
          </cell>
          <cell r="C22">
            <v>2.5499999999999998</v>
          </cell>
          <cell r="D22">
            <v>5100000</v>
          </cell>
          <cell r="E22">
            <v>0</v>
          </cell>
          <cell r="G22" t="e">
            <v>#REF!</v>
          </cell>
          <cell r="H22">
            <v>196154</v>
          </cell>
        </row>
        <row r="23">
          <cell r="A23">
            <v>9</v>
          </cell>
          <cell r="B23" t="str">
            <v>Thợ bậc 4,5/7</v>
          </cell>
          <cell r="C23">
            <v>2.78</v>
          </cell>
          <cell r="D23">
            <v>5560000</v>
          </cell>
          <cell r="E23">
            <v>0</v>
          </cell>
          <cell r="G23" t="e">
            <v>#REF!</v>
          </cell>
          <cell r="H23">
            <v>213846</v>
          </cell>
        </row>
        <row r="24">
          <cell r="A24">
            <v>10</v>
          </cell>
          <cell r="B24" t="str">
            <v>Thợ bậc 4,7/7</v>
          </cell>
          <cell r="C24">
            <v>2.8719999999999999</v>
          </cell>
          <cell r="D24">
            <v>5744000</v>
          </cell>
          <cell r="E24">
            <v>0</v>
          </cell>
          <cell r="G24" t="e">
            <v>#REF!</v>
          </cell>
          <cell r="H24">
            <v>220923</v>
          </cell>
        </row>
        <row r="25">
          <cell r="A25">
            <v>11</v>
          </cell>
          <cell r="B25" t="str">
            <v>Thợ bậc 5,0/7</v>
          </cell>
          <cell r="C25">
            <v>3.01</v>
          </cell>
          <cell r="D25">
            <v>6020000</v>
          </cell>
          <cell r="E25">
            <v>0</v>
          </cell>
          <cell r="G25" t="e">
            <v>#REF!</v>
          </cell>
          <cell r="H25">
            <v>231538</v>
          </cell>
        </row>
        <row r="26">
          <cell r="A26">
            <v>12</v>
          </cell>
          <cell r="B26" t="str">
            <v>Thợ bậc 5,5/7</v>
          </cell>
          <cell r="C26">
            <v>3.2850000000000001</v>
          </cell>
          <cell r="D26">
            <v>6570000</v>
          </cell>
          <cell r="E26">
            <v>0</v>
          </cell>
          <cell r="G26" t="e">
            <v>#REF!</v>
          </cell>
          <cell r="H26">
            <v>252692</v>
          </cell>
        </row>
        <row r="27">
          <cell r="A27">
            <v>13</v>
          </cell>
          <cell r="B27" t="str">
            <v>Thợ bậc 6,0/7</v>
          </cell>
          <cell r="C27">
            <v>3.56</v>
          </cell>
          <cell r="D27">
            <v>7120000</v>
          </cell>
          <cell r="E27">
            <v>0</v>
          </cell>
          <cell r="G27" t="e">
            <v>#REF!</v>
          </cell>
          <cell r="H27">
            <v>273846</v>
          </cell>
        </row>
        <row r="28">
          <cell r="A28">
            <v>14</v>
          </cell>
          <cell r="B28" t="str">
            <v>Thợ bậc 6,5/7</v>
          </cell>
          <cell r="C28">
            <v>3.88</v>
          </cell>
          <cell r="D28">
            <v>7760000</v>
          </cell>
          <cell r="E28">
            <v>0</v>
          </cell>
          <cell r="G28" t="e">
            <v>#REF!</v>
          </cell>
          <cell r="H28">
            <v>298462</v>
          </cell>
        </row>
        <row r="29">
          <cell r="A29">
            <v>15</v>
          </cell>
          <cell r="B29" t="str">
            <v>Thợ bậc 7,0/7</v>
          </cell>
          <cell r="C29">
            <v>4.2</v>
          </cell>
          <cell r="D29">
            <v>8400000</v>
          </cell>
          <cell r="E29">
            <v>0</v>
          </cell>
          <cell r="G29" t="e">
            <v>#REF!</v>
          </cell>
          <cell r="H29">
            <v>323077</v>
          </cell>
        </row>
        <row r="31">
          <cell r="A31" t="str">
            <v>2. NHÓM II (LẮP ĐẶT, CƠ KHÍ, ĐIỆN, …)</v>
          </cell>
        </row>
        <row r="32">
          <cell r="A32" t="str">
            <v>STT</v>
          </cell>
          <cell r="B32" t="str">
            <v>BẬC THỢ</v>
          </cell>
          <cell r="C32" t="str">
            <v>HỆ SỐ</v>
          </cell>
          <cell r="D32" t="str">
            <v>LƯƠNG CƠ BẢN</v>
          </cell>
          <cell r="F32" t="str">
            <v>PHỤ CẤP</v>
          </cell>
          <cell r="H32" t="str">
            <v>LƯƠNG NGÀY KỂ CẢ PHỤ CẤP</v>
          </cell>
        </row>
        <row r="33">
          <cell r="E33" t="str">
            <v>CT ngầm</v>
          </cell>
          <cell r="G33" t="str">
            <v>CT ngầm</v>
          </cell>
        </row>
        <row r="34">
          <cell r="A34">
            <v>1</v>
          </cell>
          <cell r="B34" t="str">
            <v>Thợ bậc 2/7</v>
          </cell>
          <cell r="C34">
            <v>2.0699999999999998</v>
          </cell>
          <cell r="D34">
            <v>4139999.9999999995</v>
          </cell>
          <cell r="E34">
            <v>0</v>
          </cell>
          <cell r="G34" t="e">
            <v>#REF!</v>
          </cell>
          <cell r="H34">
            <v>159231</v>
          </cell>
        </row>
        <row r="35">
          <cell r="A35">
            <v>2</v>
          </cell>
          <cell r="B35" t="str">
            <v>Thợ bậc 2,5/7</v>
          </cell>
          <cell r="C35">
            <v>2.2549999999999999</v>
          </cell>
          <cell r="D35">
            <v>4510000</v>
          </cell>
          <cell r="E35">
            <v>0</v>
          </cell>
          <cell r="G35" t="e">
            <v>#REF!</v>
          </cell>
          <cell r="H35">
            <v>173462</v>
          </cell>
        </row>
        <row r="36">
          <cell r="A36">
            <v>3</v>
          </cell>
          <cell r="B36" t="str">
            <v>Thợ bậc 2,7/7</v>
          </cell>
          <cell r="C36">
            <v>2.3289999999999997</v>
          </cell>
          <cell r="D36">
            <v>4657999.9999999991</v>
          </cell>
          <cell r="E36">
            <v>0</v>
          </cell>
          <cell r="G36" t="e">
            <v>#REF!</v>
          </cell>
          <cell r="H36">
            <v>179154</v>
          </cell>
        </row>
        <row r="37">
          <cell r="A37">
            <v>4</v>
          </cell>
          <cell r="B37" t="str">
            <v>Thợ bậc 3,0/7</v>
          </cell>
          <cell r="C37">
            <v>2.44</v>
          </cell>
          <cell r="D37">
            <v>4880000</v>
          </cell>
          <cell r="E37">
            <v>0</v>
          </cell>
          <cell r="G37" t="e">
            <v>#REF!</v>
          </cell>
          <cell r="H37">
            <v>187692</v>
          </cell>
        </row>
        <row r="38">
          <cell r="A38">
            <v>5</v>
          </cell>
          <cell r="B38" t="str">
            <v>Thợ bậc 3,2/7</v>
          </cell>
          <cell r="C38">
            <v>2.524</v>
          </cell>
          <cell r="D38">
            <v>5048000</v>
          </cell>
          <cell r="E38">
            <v>0</v>
          </cell>
          <cell r="G38" t="e">
            <v>#REF!</v>
          </cell>
          <cell r="H38">
            <v>194154</v>
          </cell>
        </row>
        <row r="39">
          <cell r="A39">
            <v>6</v>
          </cell>
          <cell r="B39" t="str">
            <v>Thợ bậc 3,5/7</v>
          </cell>
          <cell r="C39">
            <v>2.65</v>
          </cell>
          <cell r="D39">
            <v>5300000</v>
          </cell>
          <cell r="E39">
            <v>0</v>
          </cell>
          <cell r="G39" t="e">
            <v>#REF!</v>
          </cell>
          <cell r="H39">
            <v>203846</v>
          </cell>
        </row>
        <row r="40">
          <cell r="A40">
            <v>7</v>
          </cell>
          <cell r="B40" t="str">
            <v>Thợ bậc 3,7/7</v>
          </cell>
          <cell r="C40">
            <v>2.734</v>
          </cell>
          <cell r="D40">
            <v>5468000</v>
          </cell>
          <cell r="E40">
            <v>0</v>
          </cell>
          <cell r="G40" t="e">
            <v>#REF!</v>
          </cell>
          <cell r="H40">
            <v>210308</v>
          </cell>
        </row>
        <row r="41">
          <cell r="A41">
            <v>8</v>
          </cell>
          <cell r="B41" t="str">
            <v>Thợ bậc 4,0/7</v>
          </cell>
          <cell r="C41">
            <v>2.86</v>
          </cell>
          <cell r="D41">
            <v>5720000</v>
          </cell>
          <cell r="E41">
            <v>0</v>
          </cell>
          <cell r="G41" t="e">
            <v>#REF!</v>
          </cell>
          <cell r="H41">
            <v>220000</v>
          </cell>
        </row>
        <row r="42">
          <cell r="A42">
            <v>9</v>
          </cell>
          <cell r="B42" t="str">
            <v>Thợ bậc 4,5/7</v>
          </cell>
          <cell r="C42">
            <v>3.1150000000000002</v>
          </cell>
          <cell r="D42">
            <v>6230000</v>
          </cell>
          <cell r="E42">
            <v>0</v>
          </cell>
          <cell r="G42" t="e">
            <v>#REF!</v>
          </cell>
          <cell r="H42">
            <v>239615</v>
          </cell>
        </row>
        <row r="43">
          <cell r="A43">
            <v>10</v>
          </cell>
          <cell r="B43" t="str">
            <v>Thợ bậc 4,7/7</v>
          </cell>
          <cell r="C43">
            <v>3.2170000000000001</v>
          </cell>
          <cell r="D43">
            <v>6434000</v>
          </cell>
          <cell r="E43">
            <v>0</v>
          </cell>
          <cell r="G43" t="e">
            <v>#REF!</v>
          </cell>
          <cell r="H43">
            <v>247462</v>
          </cell>
        </row>
        <row r="44">
          <cell r="A44">
            <v>11</v>
          </cell>
          <cell r="B44" t="str">
            <v>Thợ bậc 5,0/7</v>
          </cell>
          <cell r="C44">
            <v>3.37</v>
          </cell>
          <cell r="D44">
            <v>6740000</v>
          </cell>
          <cell r="E44">
            <v>0</v>
          </cell>
          <cell r="G44" t="e">
            <v>#REF!</v>
          </cell>
          <cell r="H44">
            <v>259231</v>
          </cell>
        </row>
        <row r="45">
          <cell r="A45">
            <v>12</v>
          </cell>
          <cell r="B45" t="str">
            <v>Thợ bậc 5,5/7</v>
          </cell>
          <cell r="C45">
            <v>3.665</v>
          </cell>
          <cell r="D45">
            <v>7330000</v>
          </cell>
          <cell r="E45">
            <v>0</v>
          </cell>
          <cell r="G45" t="e">
            <v>#REF!</v>
          </cell>
          <cell r="H45">
            <v>281923</v>
          </cell>
        </row>
        <row r="46">
          <cell r="A46">
            <v>13</v>
          </cell>
          <cell r="B46" t="str">
            <v>Thợ bậc 6,0/7</v>
          </cell>
          <cell r="C46">
            <v>3.96</v>
          </cell>
          <cell r="D46">
            <v>7920000</v>
          </cell>
          <cell r="E46">
            <v>0</v>
          </cell>
          <cell r="G46" t="e">
            <v>#REF!</v>
          </cell>
          <cell r="H46">
            <v>304615</v>
          </cell>
        </row>
        <row r="47">
          <cell r="A47">
            <v>14</v>
          </cell>
          <cell r="B47" t="str">
            <v>Thợ bậc 6,5/7</v>
          </cell>
          <cell r="C47">
            <v>4.3049999999999997</v>
          </cell>
          <cell r="D47">
            <v>8610000</v>
          </cell>
          <cell r="E47">
            <v>0</v>
          </cell>
          <cell r="G47" t="e">
            <v>#REF!</v>
          </cell>
          <cell r="H47">
            <v>331154</v>
          </cell>
        </row>
        <row r="48">
          <cell r="A48">
            <v>15</v>
          </cell>
          <cell r="B48" t="str">
            <v>Thợ bậc 7,0/7</v>
          </cell>
          <cell r="C48">
            <v>4.6500000000000004</v>
          </cell>
          <cell r="D48">
            <v>9300000</v>
          </cell>
          <cell r="E48">
            <v>0</v>
          </cell>
          <cell r="G48" t="e">
            <v>#REF!</v>
          </cell>
          <cell r="H48">
            <v>357692</v>
          </cell>
        </row>
        <row r="50">
          <cell r="A50" t="str">
            <v>4. A1 - NGÀNH 9.4 - NHÓM II (ĐỊA CHẤT ĐO ĐẠC)</v>
          </cell>
        </row>
        <row r="51">
          <cell r="A51">
            <v>17</v>
          </cell>
          <cell r="B51" t="str">
            <v>Thợ bậc 4/7</v>
          </cell>
          <cell r="C51">
            <v>2.86</v>
          </cell>
          <cell r="D51">
            <v>5720000</v>
          </cell>
          <cell r="E51">
            <v>0</v>
          </cell>
          <cell r="G51" t="e">
            <v>#REF!</v>
          </cell>
          <cell r="H51">
            <v>220000</v>
          </cell>
        </row>
        <row r="55">
          <cell r="A55" t="str">
            <v>IV. BẢNG LƯƠNG NGÀY CÔNG KỸ SƯ TRỰC TIẾP</v>
          </cell>
        </row>
        <row r="56">
          <cell r="A56" t="str">
            <v>STT</v>
          </cell>
          <cell r="B56" t="str">
            <v>BẬC THỢ</v>
          </cell>
          <cell r="C56" t="str">
            <v>HỆ SỐ</v>
          </cell>
          <cell r="D56" t="str">
            <v>LƯƠNG CƠ BẢN</v>
          </cell>
          <cell r="F56" t="str">
            <v>PHỤ CẤP</v>
          </cell>
          <cell r="H56" t="str">
            <v>LƯƠNG NGÀY KỂ CẢ PHỤ CẤP</v>
          </cell>
        </row>
        <row r="57">
          <cell r="E57" t="str">
            <v>CT ngầm</v>
          </cell>
          <cell r="G57" t="str">
            <v>CT ngầm</v>
          </cell>
        </row>
        <row r="58">
          <cell r="A58">
            <v>1</v>
          </cell>
          <cell r="B58" t="str">
            <v>Kỹ sư bậc 2,0/8</v>
          </cell>
          <cell r="C58">
            <v>2.65</v>
          </cell>
          <cell r="D58">
            <v>5300000</v>
          </cell>
          <cell r="E58">
            <v>203846.15384615384</v>
          </cell>
          <cell r="G58" t="e">
            <v>#REF!</v>
          </cell>
          <cell r="H58">
            <v>203846</v>
          </cell>
        </row>
        <row r="59">
          <cell r="A59">
            <v>2</v>
          </cell>
          <cell r="B59" t="str">
            <v>Kỹ sư bậc 3,0/8</v>
          </cell>
          <cell r="C59">
            <v>2.96</v>
          </cell>
          <cell r="D59">
            <v>5920000</v>
          </cell>
          <cell r="E59">
            <v>227692.30769230769</v>
          </cell>
          <cell r="G59" t="e">
            <v>#REF!</v>
          </cell>
          <cell r="H59">
            <v>227692</v>
          </cell>
        </row>
        <row r="60">
          <cell r="A60">
            <v>3</v>
          </cell>
          <cell r="B60" t="str">
            <v>Kỹ sư bậc 3,5/8</v>
          </cell>
          <cell r="C60">
            <v>3.1150000000000002</v>
          </cell>
          <cell r="D60">
            <v>6230000</v>
          </cell>
          <cell r="E60">
            <v>239615.38461538462</v>
          </cell>
          <cell r="G60" t="e">
            <v>#REF!</v>
          </cell>
          <cell r="H60">
            <v>239615</v>
          </cell>
        </row>
        <row r="61">
          <cell r="A61">
            <v>4</v>
          </cell>
          <cell r="B61" t="str">
            <v>Kỹ sư bậc 4,0/8</v>
          </cell>
          <cell r="C61">
            <v>3.27</v>
          </cell>
          <cell r="D61">
            <v>6540000</v>
          </cell>
          <cell r="E61">
            <v>251538.46153846153</v>
          </cell>
          <cell r="G61" t="e">
            <v>#REF!</v>
          </cell>
          <cell r="H61">
            <v>251538</v>
          </cell>
        </row>
        <row r="62">
          <cell r="A62">
            <v>5</v>
          </cell>
          <cell r="B62" t="str">
            <v>Kỹ sư bậc 4,5/8</v>
          </cell>
          <cell r="C62">
            <v>3.4249999999999998</v>
          </cell>
          <cell r="D62">
            <v>6850000</v>
          </cell>
          <cell r="E62">
            <v>263461.53846153844</v>
          </cell>
          <cell r="G62" t="e">
            <v>#REF!</v>
          </cell>
          <cell r="H62">
            <v>263462</v>
          </cell>
        </row>
        <row r="63">
          <cell r="A63">
            <v>6</v>
          </cell>
          <cell r="B63" t="str">
            <v>Kỹ sư bậc 5,0/8</v>
          </cell>
          <cell r="C63">
            <v>3.58</v>
          </cell>
          <cell r="D63">
            <v>7160000</v>
          </cell>
          <cell r="E63">
            <v>275384.61538461538</v>
          </cell>
          <cell r="G63" t="e">
            <v>#REF!</v>
          </cell>
          <cell r="H63">
            <v>275385</v>
          </cell>
        </row>
        <row r="64">
          <cell r="A64">
            <v>7</v>
          </cell>
          <cell r="B64" t="str">
            <v>Kỹ sư bậc 5,5/8</v>
          </cell>
          <cell r="C64">
            <v>3.7349999999999999</v>
          </cell>
          <cell r="D64">
            <v>7470000</v>
          </cell>
          <cell r="E64">
            <v>287307.69230769231</v>
          </cell>
          <cell r="G64" t="e">
            <v>#REF!</v>
          </cell>
          <cell r="H64">
            <v>287308</v>
          </cell>
        </row>
        <row r="65">
          <cell r="A65">
            <v>8</v>
          </cell>
          <cell r="B65" t="str">
            <v>Kỹ sư bậc 6,0/8</v>
          </cell>
          <cell r="C65">
            <v>3.89</v>
          </cell>
          <cell r="D65">
            <v>7780000</v>
          </cell>
          <cell r="E65">
            <v>299230.76923076925</v>
          </cell>
          <cell r="G65" t="e">
            <v>#REF!</v>
          </cell>
          <cell r="H65">
            <v>299231</v>
          </cell>
        </row>
        <row r="68">
          <cell r="A68" t="str">
            <v>V. BẢNG LƯƠNG NGÀY CÔNG THỢ ĐIỀU KHIỂN MÁY XÂY DỰNG</v>
          </cell>
        </row>
        <row r="69">
          <cell r="A69" t="str">
            <v>STT</v>
          </cell>
          <cell r="B69" t="str">
            <v>BẬC THỢ</v>
          </cell>
          <cell r="C69" t="str">
            <v>HỆ SỐ</v>
          </cell>
          <cell r="D69" t="str">
            <v>LƯƠNG CƠ BẢN</v>
          </cell>
          <cell r="F69" t="str">
            <v>PHỤ CẤP</v>
          </cell>
          <cell r="H69" t="str">
            <v>LƯƠNG NGÀY KỂ CẢ PHỤ CẤP</v>
          </cell>
        </row>
        <row r="70">
          <cell r="E70" t="str">
            <v>CT ngầm</v>
          </cell>
          <cell r="G70" t="str">
            <v>CT ngầm</v>
          </cell>
        </row>
        <row r="71">
          <cell r="A71">
            <v>1</v>
          </cell>
          <cell r="B71" t="str">
            <v>Bậc thợ 1/7</v>
          </cell>
          <cell r="C71">
            <v>1.55</v>
          </cell>
          <cell r="D71">
            <v>3100000</v>
          </cell>
          <cell r="E71">
            <v>119230.76923076923</v>
          </cell>
          <cell r="G71" t="e">
            <v>#REF!</v>
          </cell>
          <cell r="H71">
            <v>119231</v>
          </cell>
        </row>
        <row r="72">
          <cell r="A72">
            <v>2</v>
          </cell>
          <cell r="B72" t="str">
            <v>Bậc thợ 2/7</v>
          </cell>
          <cell r="C72">
            <v>1.83</v>
          </cell>
          <cell r="D72">
            <v>3660000</v>
          </cell>
          <cell r="E72">
            <v>140769.23076923078</v>
          </cell>
          <cell r="G72" t="e">
            <v>#REF!</v>
          </cell>
          <cell r="H72">
            <v>140769</v>
          </cell>
        </row>
        <row r="73">
          <cell r="A73">
            <v>3</v>
          </cell>
          <cell r="B73" t="str">
            <v>Bậc thợ 2,7/7</v>
          </cell>
          <cell r="C73">
            <v>2.0609999999999999</v>
          </cell>
          <cell r="D73">
            <v>4122000</v>
          </cell>
          <cell r="E73">
            <v>158538.46153846153</v>
          </cell>
          <cell r="G73" t="e">
            <v>#REF!</v>
          </cell>
          <cell r="H73">
            <v>158538</v>
          </cell>
        </row>
        <row r="74">
          <cell r="A74">
            <v>4</v>
          </cell>
          <cell r="B74" t="str">
            <v>Bậc thợ 3/7</v>
          </cell>
          <cell r="C74">
            <v>2.16</v>
          </cell>
          <cell r="D74">
            <v>4320000</v>
          </cell>
          <cell r="E74">
            <v>166153.84615384616</v>
          </cell>
          <cell r="G74" t="e">
            <v>#REF!</v>
          </cell>
          <cell r="H74">
            <v>166154</v>
          </cell>
        </row>
        <row r="75">
          <cell r="A75">
            <v>5</v>
          </cell>
          <cell r="B75" t="str">
            <v>Bậc thợ 3,5/7</v>
          </cell>
          <cell r="C75">
            <v>2.355</v>
          </cell>
          <cell r="D75">
            <v>4710000</v>
          </cell>
          <cell r="E75">
            <v>181153.84615384616</v>
          </cell>
          <cell r="G75" t="e">
            <v>#REF!</v>
          </cell>
          <cell r="H75">
            <v>181154</v>
          </cell>
        </row>
        <row r="76">
          <cell r="A76">
            <v>6</v>
          </cell>
          <cell r="B76" t="str">
            <v>Bậc thợ 4/7</v>
          </cell>
          <cell r="C76">
            <v>2.5499999999999998</v>
          </cell>
          <cell r="D76">
            <v>5100000</v>
          </cell>
          <cell r="E76">
            <v>196153.84615384616</v>
          </cell>
          <cell r="G76" t="e">
            <v>#REF!</v>
          </cell>
          <cell r="H76">
            <v>196154</v>
          </cell>
        </row>
        <row r="77">
          <cell r="A77">
            <v>7</v>
          </cell>
          <cell r="B77" t="str">
            <v>Bậc thợ 5/7</v>
          </cell>
          <cell r="C77">
            <v>3.01</v>
          </cell>
          <cell r="D77">
            <v>6020000</v>
          </cell>
          <cell r="E77">
            <v>231538.46153846153</v>
          </cell>
          <cell r="G77" t="e">
            <v>#REF!</v>
          </cell>
          <cell r="H77">
            <v>231538</v>
          </cell>
        </row>
        <row r="78">
          <cell r="A78">
            <v>8</v>
          </cell>
          <cell r="B78" t="str">
            <v>Bậc thợ 6/7</v>
          </cell>
          <cell r="C78">
            <v>3.56</v>
          </cell>
          <cell r="D78">
            <v>7120000</v>
          </cell>
          <cell r="E78">
            <v>273846.15384615387</v>
          </cell>
          <cell r="G78" t="e">
            <v>#REF!</v>
          </cell>
          <cell r="H78">
            <v>273846</v>
          </cell>
        </row>
        <row r="79">
          <cell r="A79">
            <v>9</v>
          </cell>
          <cell r="B79" t="str">
            <v>Bậc thợ 7/7</v>
          </cell>
          <cell r="C79">
            <v>4.2</v>
          </cell>
          <cell r="D79">
            <v>8400000</v>
          </cell>
          <cell r="E79">
            <v>323076.92307692306</v>
          </cell>
          <cell r="G79" t="e">
            <v>#REF!</v>
          </cell>
          <cell r="H79">
            <v>323077</v>
          </cell>
        </row>
        <row r="81">
          <cell r="A81" t="str">
            <v>VI. BẢNG LƯƠNG NGÀY CÔNG NHÂN LÁI XE B.12</v>
          </cell>
        </row>
        <row r="82">
          <cell r="A82" t="str">
            <v>STT</v>
          </cell>
          <cell r="B82" t="str">
            <v>BẬC THỢ</v>
          </cell>
          <cell r="C82" t="str">
            <v>HỆ SỐ</v>
          </cell>
          <cell r="D82" t="str">
            <v>LƯƠNG CƠ BẢN</v>
          </cell>
          <cell r="F82" t="str">
            <v>PHỤ CẤP</v>
          </cell>
          <cell r="H82" t="str">
            <v>LƯƠNG NGÀY KỂ CẢ PHỤ CẤP</v>
          </cell>
        </row>
        <row r="83">
          <cell r="E83" t="str">
            <v>CT ngầm</v>
          </cell>
          <cell r="G83" t="str">
            <v>CT ngầm</v>
          </cell>
        </row>
        <row r="84">
          <cell r="B84" t="str">
            <v>Nhóm 1: Loại xe tải &lt; 3,5T</v>
          </cell>
        </row>
        <row r="85">
          <cell r="A85">
            <v>1</v>
          </cell>
          <cell r="B85" t="str">
            <v>I</v>
          </cell>
          <cell r="C85">
            <v>2.1800000000000002</v>
          </cell>
          <cell r="D85">
            <v>4360000</v>
          </cell>
          <cell r="E85">
            <v>167692.30769230769</v>
          </cell>
          <cell r="G85" t="e">
            <v>#REF!</v>
          </cell>
          <cell r="H85">
            <v>167692</v>
          </cell>
        </row>
        <row r="86">
          <cell r="A86">
            <v>2</v>
          </cell>
          <cell r="B86" t="str">
            <v>II</v>
          </cell>
          <cell r="C86">
            <v>2.57</v>
          </cell>
          <cell r="D86">
            <v>5140000</v>
          </cell>
          <cell r="E86">
            <v>197692.30769230769</v>
          </cell>
          <cell r="G86" t="e">
            <v>#REF!</v>
          </cell>
          <cell r="H86">
            <v>197692</v>
          </cell>
        </row>
        <row r="87">
          <cell r="A87">
            <v>3</v>
          </cell>
          <cell r="B87" t="str">
            <v>III</v>
          </cell>
          <cell r="C87">
            <v>3.05</v>
          </cell>
          <cell r="D87">
            <v>6100000</v>
          </cell>
          <cell r="E87">
            <v>234615.38461538462</v>
          </cell>
          <cell r="G87" t="e">
            <v>#REF!</v>
          </cell>
          <cell r="H87">
            <v>234615</v>
          </cell>
        </row>
        <row r="88">
          <cell r="A88">
            <v>4</v>
          </cell>
          <cell r="B88" t="str">
            <v>IV</v>
          </cell>
          <cell r="C88">
            <v>3.6</v>
          </cell>
          <cell r="D88">
            <v>7200000</v>
          </cell>
          <cell r="E88">
            <v>276923.07692307694</v>
          </cell>
          <cell r="G88" t="e">
            <v>#REF!</v>
          </cell>
          <cell r="H88">
            <v>276923</v>
          </cell>
        </row>
        <row r="89">
          <cell r="B89" t="str">
            <v>Nhóm 2: Loại xe tải từ 3,5T:7,5T</v>
          </cell>
        </row>
        <row r="90">
          <cell r="A90">
            <v>1</v>
          </cell>
          <cell r="B90" t="str">
            <v>I</v>
          </cell>
          <cell r="C90">
            <v>2.1800000000000002</v>
          </cell>
          <cell r="D90">
            <v>4360000</v>
          </cell>
          <cell r="E90">
            <v>167692.30769230769</v>
          </cell>
          <cell r="G90" t="e">
            <v>#REF!</v>
          </cell>
          <cell r="H90">
            <v>167692</v>
          </cell>
        </row>
        <row r="91">
          <cell r="A91">
            <v>2</v>
          </cell>
          <cell r="B91" t="str">
            <v>II</v>
          </cell>
          <cell r="C91">
            <v>2.57</v>
          </cell>
          <cell r="D91">
            <v>5140000</v>
          </cell>
          <cell r="E91">
            <v>197692.30769230769</v>
          </cell>
          <cell r="G91" t="e">
            <v>#REF!</v>
          </cell>
          <cell r="H91">
            <v>197692</v>
          </cell>
        </row>
        <row r="92">
          <cell r="A92">
            <v>3</v>
          </cell>
          <cell r="B92" t="str">
            <v>III</v>
          </cell>
          <cell r="C92">
            <v>3.05</v>
          </cell>
          <cell r="D92">
            <v>6100000</v>
          </cell>
          <cell r="E92">
            <v>234615.38461538462</v>
          </cell>
          <cell r="G92" t="e">
            <v>#REF!</v>
          </cell>
          <cell r="H92">
            <v>234615</v>
          </cell>
        </row>
        <row r="93">
          <cell r="A93">
            <v>4</v>
          </cell>
          <cell r="B93" t="str">
            <v>IV</v>
          </cell>
          <cell r="C93">
            <v>3.6</v>
          </cell>
          <cell r="D93">
            <v>7200000</v>
          </cell>
          <cell r="E93">
            <v>276923.07692307694</v>
          </cell>
          <cell r="G93" t="e">
            <v>#REF!</v>
          </cell>
          <cell r="H93">
            <v>276923</v>
          </cell>
        </row>
        <row r="94">
          <cell r="B94" t="str">
            <v>Nhóm 3: Loại xe tải từ 7,5T:16,5T</v>
          </cell>
        </row>
        <row r="95">
          <cell r="A95">
            <v>1</v>
          </cell>
          <cell r="B95" t="str">
            <v>I</v>
          </cell>
          <cell r="C95">
            <v>2.5099999999999998</v>
          </cell>
          <cell r="D95">
            <v>5020000</v>
          </cell>
          <cell r="E95">
            <v>193076.92307692306</v>
          </cell>
          <cell r="G95" t="e">
            <v>#REF!</v>
          </cell>
          <cell r="H95">
            <v>193077</v>
          </cell>
        </row>
        <row r="96">
          <cell r="A96">
            <v>2</v>
          </cell>
          <cell r="B96" t="str">
            <v>II</v>
          </cell>
          <cell r="C96">
            <v>2.94</v>
          </cell>
          <cell r="D96">
            <v>5880000</v>
          </cell>
          <cell r="E96">
            <v>226153.84615384616</v>
          </cell>
          <cell r="G96" t="e">
            <v>#REF!</v>
          </cell>
          <cell r="H96">
            <v>226154</v>
          </cell>
        </row>
        <row r="97">
          <cell r="A97">
            <v>3</v>
          </cell>
          <cell r="B97" t="str">
            <v>III</v>
          </cell>
          <cell r="C97">
            <v>3.44</v>
          </cell>
          <cell r="D97">
            <v>6880000</v>
          </cell>
          <cell r="E97">
            <v>264615.38461538462</v>
          </cell>
          <cell r="G97" t="e">
            <v>#REF!</v>
          </cell>
          <cell r="H97">
            <v>264615</v>
          </cell>
        </row>
        <row r="98">
          <cell r="A98">
            <v>4</v>
          </cell>
          <cell r="B98" t="str">
            <v>IV</v>
          </cell>
          <cell r="C98">
            <v>4.05</v>
          </cell>
          <cell r="D98">
            <v>8100000</v>
          </cell>
          <cell r="E98">
            <v>311538.46153846156</v>
          </cell>
          <cell r="G98" t="e">
            <v>#REF!</v>
          </cell>
          <cell r="H98">
            <v>311538</v>
          </cell>
        </row>
        <row r="99">
          <cell r="B99" t="str">
            <v>Loại xe tải từ 16,5T:25T</v>
          </cell>
        </row>
        <row r="100">
          <cell r="A100">
            <v>1</v>
          </cell>
          <cell r="B100" t="str">
            <v>I</v>
          </cell>
          <cell r="C100">
            <v>2.5099999999999998</v>
          </cell>
          <cell r="D100">
            <v>5020000</v>
          </cell>
          <cell r="E100">
            <v>193076.92307692306</v>
          </cell>
          <cell r="G100" t="e">
            <v>#REF!</v>
          </cell>
          <cell r="H100">
            <v>193077</v>
          </cell>
        </row>
        <row r="101">
          <cell r="A101">
            <v>2</v>
          </cell>
          <cell r="B101" t="str">
            <v>II</v>
          </cell>
          <cell r="C101">
            <v>2.94</v>
          </cell>
          <cell r="D101">
            <v>5880000</v>
          </cell>
          <cell r="E101">
            <v>226153.84615384616</v>
          </cell>
          <cell r="G101" t="e">
            <v>#REF!</v>
          </cell>
          <cell r="H101">
            <v>226154</v>
          </cell>
        </row>
        <row r="102">
          <cell r="A102">
            <v>3</v>
          </cell>
          <cell r="B102" t="str">
            <v>III</v>
          </cell>
          <cell r="C102">
            <v>3.44</v>
          </cell>
          <cell r="D102">
            <v>6880000</v>
          </cell>
          <cell r="E102">
            <v>264615.38461538462</v>
          </cell>
          <cell r="G102" t="e">
            <v>#REF!</v>
          </cell>
          <cell r="H102">
            <v>264615</v>
          </cell>
        </row>
        <row r="103">
          <cell r="A103">
            <v>4</v>
          </cell>
          <cell r="B103" t="str">
            <v>IV</v>
          </cell>
          <cell r="C103">
            <v>4.05</v>
          </cell>
          <cell r="D103">
            <v>8100000</v>
          </cell>
          <cell r="E103">
            <v>311538.46153846156</v>
          </cell>
          <cell r="G103" t="e">
            <v>#REF!</v>
          </cell>
          <cell r="H103">
            <v>311538</v>
          </cell>
        </row>
        <row r="104">
          <cell r="B104" t="str">
            <v>Loại xe tải từ 25T:40T</v>
          </cell>
        </row>
        <row r="105">
          <cell r="A105">
            <v>1</v>
          </cell>
          <cell r="B105" t="str">
            <v>I</v>
          </cell>
          <cell r="C105">
            <v>2.99</v>
          </cell>
          <cell r="D105">
            <v>5980000</v>
          </cell>
          <cell r="E105">
            <v>230000</v>
          </cell>
          <cell r="G105" t="e">
            <v>#REF!</v>
          </cell>
          <cell r="H105">
            <v>230000</v>
          </cell>
        </row>
        <row r="106">
          <cell r="A106">
            <v>2</v>
          </cell>
          <cell r="B106" t="str">
            <v>II</v>
          </cell>
          <cell r="C106">
            <v>3.5</v>
          </cell>
          <cell r="D106">
            <v>7000000</v>
          </cell>
          <cell r="E106">
            <v>269230.76923076925</v>
          </cell>
          <cell r="G106" t="e">
            <v>#REF!</v>
          </cell>
          <cell r="H106">
            <v>269231</v>
          </cell>
        </row>
        <row r="107">
          <cell r="A107">
            <v>3</v>
          </cell>
          <cell r="B107" t="str">
            <v>III</v>
          </cell>
          <cell r="C107">
            <v>4.1100000000000003</v>
          </cell>
          <cell r="D107">
            <v>8220000.0000000009</v>
          </cell>
          <cell r="E107">
            <v>316153.84615384619</v>
          </cell>
          <cell r="G107" t="e">
            <v>#REF!</v>
          </cell>
          <cell r="H107">
            <v>316154</v>
          </cell>
        </row>
        <row r="108">
          <cell r="A108">
            <v>4</v>
          </cell>
          <cell r="B108" t="str">
            <v>IV</v>
          </cell>
          <cell r="C108">
            <v>4.82</v>
          </cell>
          <cell r="D108">
            <v>9640000</v>
          </cell>
          <cell r="E108">
            <v>370769.23076923075</v>
          </cell>
          <cell r="G108" t="e">
            <v>#REF!</v>
          </cell>
          <cell r="H108">
            <v>370769</v>
          </cell>
        </row>
        <row r="109">
          <cell r="A109" t="str">
            <v>STT</v>
          </cell>
          <cell r="B109" t="str">
            <v>BẬC THỢ</v>
          </cell>
          <cell r="C109" t="str">
            <v>HỆ SỐ</v>
          </cell>
          <cell r="D109" t="str">
            <v>LƯƠNG CƠ BẢN</v>
          </cell>
          <cell r="F109" t="str">
            <v>PHỤ CẤP</v>
          </cell>
          <cell r="H109" t="str">
            <v>LƯƠNG NGÀY KỂ CẢ PHỤ CẤP</v>
          </cell>
        </row>
        <row r="110">
          <cell r="E110" t="str">
            <v>CT ngầm</v>
          </cell>
          <cell r="G110" t="str">
            <v>CT ngầm</v>
          </cell>
        </row>
        <row r="111">
          <cell r="B111" t="str">
            <v>Loại xe tải trên 40T</v>
          </cell>
        </row>
        <row r="112">
          <cell r="A112">
            <v>1</v>
          </cell>
          <cell r="B112" t="str">
            <v>I</v>
          </cell>
          <cell r="C112">
            <v>2.99</v>
          </cell>
          <cell r="D112">
            <v>5980000</v>
          </cell>
          <cell r="E112">
            <v>230000</v>
          </cell>
          <cell r="G112" t="e">
            <v>#REF!</v>
          </cell>
          <cell r="H112">
            <v>230000</v>
          </cell>
        </row>
        <row r="113">
          <cell r="A113">
            <v>2</v>
          </cell>
          <cell r="B113" t="str">
            <v>II</v>
          </cell>
          <cell r="C113">
            <v>3.5</v>
          </cell>
          <cell r="D113">
            <v>7000000</v>
          </cell>
          <cell r="E113">
            <v>269230.76923076925</v>
          </cell>
          <cell r="G113" t="e">
            <v>#REF!</v>
          </cell>
          <cell r="H113">
            <v>269231</v>
          </cell>
        </row>
        <row r="114">
          <cell r="A114" t="str">
            <v>STT</v>
          </cell>
          <cell r="B114" t="str">
            <v>BẬC THỢ</v>
          </cell>
          <cell r="C114" t="str">
            <v>HỆ SỐ</v>
          </cell>
          <cell r="D114" t="str">
            <v>LƯƠNG CƠ BẢN</v>
          </cell>
          <cell r="F114" t="str">
            <v>PHỤ CẤP</v>
          </cell>
          <cell r="H114" t="str">
            <v>LƯƠNG NGÀY KỂ CẢ PHỤ CẤP</v>
          </cell>
        </row>
        <row r="115">
          <cell r="E115" t="str">
            <v>CT ngầm</v>
          </cell>
          <cell r="G115" t="str">
            <v>CT ngầm</v>
          </cell>
        </row>
        <row r="116">
          <cell r="A116">
            <v>3</v>
          </cell>
          <cell r="B116" t="str">
            <v>III</v>
          </cell>
          <cell r="C116">
            <v>4.1100000000000003</v>
          </cell>
          <cell r="D116">
            <v>8220000.0000000009</v>
          </cell>
          <cell r="E116">
            <v>316153.84615384619</v>
          </cell>
          <cell r="G116" t="e">
            <v>#REF!</v>
          </cell>
          <cell r="H116">
            <v>316154</v>
          </cell>
        </row>
        <row r="117">
          <cell r="A117">
            <v>4</v>
          </cell>
          <cell r="B117" t="str">
            <v>IV</v>
          </cell>
          <cell r="C117">
            <v>4.82</v>
          </cell>
          <cell r="D117">
            <v>9640000</v>
          </cell>
          <cell r="E117">
            <v>370769.23076923075</v>
          </cell>
          <cell r="G117" t="e">
            <v>#REF!</v>
          </cell>
          <cell r="H117">
            <v>370769</v>
          </cell>
        </row>
        <row r="119">
          <cell r="A119" t="str">
            <v>VII. BẢNG LƯƠNG NGÀY CÔNG PHƯƠNG TIỆN THỦY</v>
          </cell>
        </row>
        <row r="121">
          <cell r="A121" t="str">
            <v>STT</v>
          </cell>
          <cell r="B121" t="str">
            <v>BẬC THỢ</v>
          </cell>
          <cell r="C121" t="str">
            <v>HỆ SỐ</v>
          </cell>
          <cell r="D121" t="str">
            <v>LƯƠNG CƠ BẢN</v>
          </cell>
          <cell r="F121" t="str">
            <v>PHỤ CẤP</v>
          </cell>
          <cell r="H121" t="str">
            <v>LƯƠNG NGÀY KỂ CẢ PHỤ CẤP</v>
          </cell>
        </row>
        <row r="122">
          <cell r="D122" t="str">
            <v>CT hở</v>
          </cell>
          <cell r="E122" t="str">
            <v>CT ngầm</v>
          </cell>
          <cell r="F122" t="str">
            <v>CT hở</v>
          </cell>
          <cell r="G122" t="str">
            <v>CT ngầm</v>
          </cell>
          <cell r="H122" t="str">
            <v>CT hở</v>
          </cell>
        </row>
        <row r="123">
          <cell r="A123">
            <v>1</v>
          </cell>
          <cell r="B123" t="str">
            <v>Th.trưởng 1/2</v>
          </cell>
          <cell r="C123">
            <v>4.88</v>
          </cell>
          <cell r="D123">
            <v>9760000</v>
          </cell>
          <cell r="E123">
            <v>0</v>
          </cell>
          <cell r="G123" t="e">
            <v>#REF!</v>
          </cell>
          <cell r="H123">
            <v>375385</v>
          </cell>
        </row>
        <row r="124">
          <cell r="A124">
            <v>2</v>
          </cell>
          <cell r="B124" t="str">
            <v>Th.trưởng 2/2</v>
          </cell>
          <cell r="C124">
            <v>5.19</v>
          </cell>
          <cell r="D124">
            <v>10380000</v>
          </cell>
          <cell r="E124">
            <v>0</v>
          </cell>
          <cell r="G124" t="e">
            <v>#REF!</v>
          </cell>
          <cell r="H124">
            <v>399231</v>
          </cell>
        </row>
        <row r="125">
          <cell r="A125">
            <v>3</v>
          </cell>
          <cell r="B125" t="str">
            <v>Th.phóI 1/2(B5)</v>
          </cell>
          <cell r="C125">
            <v>4.68</v>
          </cell>
          <cell r="D125">
            <v>9360000</v>
          </cell>
          <cell r="E125">
            <v>0</v>
          </cell>
          <cell r="G125" t="e">
            <v>#REF!</v>
          </cell>
          <cell r="H125">
            <v>360000</v>
          </cell>
        </row>
        <row r="126">
          <cell r="A126">
            <v>4</v>
          </cell>
          <cell r="B126" t="str">
            <v>Th.phóI 2/2(B5)</v>
          </cell>
          <cell r="C126">
            <v>4.92</v>
          </cell>
          <cell r="D126">
            <v>9840000</v>
          </cell>
          <cell r="E126">
            <v>0</v>
          </cell>
          <cell r="G126" t="e">
            <v>#REF!</v>
          </cell>
          <cell r="H126">
            <v>378462</v>
          </cell>
        </row>
        <row r="127">
          <cell r="A127">
            <v>5</v>
          </cell>
          <cell r="B127" t="str">
            <v>Th.phóII 1/2(B5)</v>
          </cell>
          <cell r="C127">
            <v>4.16</v>
          </cell>
          <cell r="D127">
            <v>8320000</v>
          </cell>
          <cell r="E127">
            <v>0</v>
          </cell>
          <cell r="G127" t="e">
            <v>#REF!</v>
          </cell>
          <cell r="H127">
            <v>320000</v>
          </cell>
        </row>
        <row r="128">
          <cell r="A128">
            <v>6</v>
          </cell>
          <cell r="B128" t="str">
            <v>Th.phóII 2/2(B5)</v>
          </cell>
          <cell r="C128">
            <v>4.37</v>
          </cell>
          <cell r="D128">
            <v>8740000</v>
          </cell>
          <cell r="E128">
            <v>0</v>
          </cell>
          <cell r="G128" t="e">
            <v>#REF!</v>
          </cell>
          <cell r="H128">
            <v>336154</v>
          </cell>
        </row>
        <row r="129">
          <cell r="A129">
            <v>7</v>
          </cell>
          <cell r="B129" t="str">
            <v>KTV cuốc I:2/2</v>
          </cell>
          <cell r="C129">
            <v>4.92</v>
          </cell>
          <cell r="D129">
            <v>9840000</v>
          </cell>
          <cell r="E129">
            <v>0</v>
          </cell>
          <cell r="G129" t="e">
            <v>#REF!</v>
          </cell>
          <cell r="H129">
            <v>378462</v>
          </cell>
        </row>
        <row r="130">
          <cell r="A130">
            <v>8</v>
          </cell>
          <cell r="B130" t="str">
            <v>KTV cuốc II:2/2</v>
          </cell>
          <cell r="C130">
            <v>4.68</v>
          </cell>
          <cell r="D130">
            <v>9360000</v>
          </cell>
          <cell r="E130">
            <v>0</v>
          </cell>
          <cell r="G130" t="e">
            <v>#REF!</v>
          </cell>
          <cell r="H130">
            <v>360000</v>
          </cell>
        </row>
        <row r="131">
          <cell r="A131">
            <v>9</v>
          </cell>
          <cell r="B131" t="str">
            <v>Máy trưởng 1/2</v>
          </cell>
          <cell r="C131">
            <v>4.71</v>
          </cell>
          <cell r="D131">
            <v>9420000</v>
          </cell>
          <cell r="E131">
            <v>0</v>
          </cell>
          <cell r="G131" t="e">
            <v>#REF!</v>
          </cell>
          <cell r="H131">
            <v>362308</v>
          </cell>
        </row>
        <row r="132">
          <cell r="A132">
            <v>10</v>
          </cell>
          <cell r="B132" t="str">
            <v>Máy trưởng 2/2</v>
          </cell>
          <cell r="C132">
            <v>5.07</v>
          </cell>
          <cell r="D132">
            <v>10140000</v>
          </cell>
          <cell r="E132">
            <v>0</v>
          </cell>
          <cell r="G132" t="e">
            <v>#REF!</v>
          </cell>
          <cell r="H132">
            <v>390000</v>
          </cell>
        </row>
        <row r="133">
          <cell r="A133">
            <v>11</v>
          </cell>
          <cell r="B133" t="str">
            <v>Thợ máy, điện 4/4</v>
          </cell>
          <cell r="C133">
            <v>2.99</v>
          </cell>
          <cell r="D133">
            <v>5980000</v>
          </cell>
          <cell r="E133">
            <v>0</v>
          </cell>
          <cell r="G133" t="e">
            <v>#REF!</v>
          </cell>
          <cell r="H133">
            <v>230000</v>
          </cell>
        </row>
        <row r="134">
          <cell r="A134">
            <v>12</v>
          </cell>
          <cell r="B134" t="str">
            <v>Thợ máy, điện 3/4</v>
          </cell>
          <cell r="C134">
            <v>2.66</v>
          </cell>
          <cell r="D134">
            <v>5320000</v>
          </cell>
          <cell r="E134">
            <v>0</v>
          </cell>
          <cell r="G134" t="e">
            <v>#REF!</v>
          </cell>
          <cell r="H134">
            <v>204615</v>
          </cell>
        </row>
        <row r="135">
          <cell r="A135">
            <v>13</v>
          </cell>
          <cell r="B135" t="str">
            <v>Thợ máy, điện 2,7/4</v>
          </cell>
          <cell r="C135">
            <v>2.57</v>
          </cell>
          <cell r="D135">
            <v>5140000</v>
          </cell>
          <cell r="E135">
            <v>0</v>
          </cell>
          <cell r="G135" t="e">
            <v>#REF!</v>
          </cell>
          <cell r="H135">
            <v>197692</v>
          </cell>
        </row>
        <row r="136">
          <cell r="A136">
            <v>14</v>
          </cell>
          <cell r="B136" t="str">
            <v>Thợ máy, điện 2/4</v>
          </cell>
          <cell r="C136">
            <v>2.35</v>
          </cell>
          <cell r="D136">
            <v>4700000</v>
          </cell>
          <cell r="E136">
            <v>0</v>
          </cell>
          <cell r="G136" t="e">
            <v>#REF!</v>
          </cell>
          <cell r="H136">
            <v>180769</v>
          </cell>
        </row>
        <row r="137">
          <cell r="A137">
            <v>15</v>
          </cell>
          <cell r="B137" t="str">
            <v>Thợ máy, điện 1/4</v>
          </cell>
          <cell r="C137">
            <v>2.0499999999999998</v>
          </cell>
          <cell r="D137">
            <v>4099999.9999999995</v>
          </cell>
          <cell r="E137">
            <v>0</v>
          </cell>
          <cell r="G137" t="e">
            <v>#REF!</v>
          </cell>
          <cell r="H137">
            <v>157692</v>
          </cell>
        </row>
        <row r="138">
          <cell r="A138">
            <v>16</v>
          </cell>
          <cell r="B138" t="str">
            <v>Điện trưởng 1/2</v>
          </cell>
          <cell r="C138">
            <v>4.16</v>
          </cell>
          <cell r="D138">
            <v>8320000</v>
          </cell>
          <cell r="E138">
            <v>0</v>
          </cell>
          <cell r="G138" t="e">
            <v>#REF!</v>
          </cell>
          <cell r="H138">
            <v>320000</v>
          </cell>
        </row>
        <row r="139">
          <cell r="A139">
            <v>17</v>
          </cell>
          <cell r="B139" t="str">
            <v>Điện trưởng 2/2</v>
          </cell>
          <cell r="C139">
            <v>4.3600000000000003</v>
          </cell>
          <cell r="D139">
            <v>8720000</v>
          </cell>
          <cell r="E139">
            <v>0</v>
          </cell>
          <cell r="G139" t="e">
            <v>#REF!</v>
          </cell>
          <cell r="H139">
            <v>335385</v>
          </cell>
        </row>
        <row r="140">
          <cell r="A140">
            <v>18</v>
          </cell>
          <cell r="B140" t="str">
            <v>Thủy thủ 1/4</v>
          </cell>
          <cell r="C140">
            <v>1.93</v>
          </cell>
          <cell r="D140">
            <v>3860000</v>
          </cell>
          <cell r="E140">
            <v>0</v>
          </cell>
          <cell r="G140" t="e">
            <v>#REF!</v>
          </cell>
          <cell r="H140">
            <v>148462</v>
          </cell>
        </row>
        <row r="141">
          <cell r="A141">
            <v>19</v>
          </cell>
          <cell r="B141" t="str">
            <v>Thủy thủ 2/4</v>
          </cell>
          <cell r="C141">
            <v>2.1800000000000002</v>
          </cell>
          <cell r="D141">
            <v>4360000</v>
          </cell>
          <cell r="E141">
            <v>0</v>
          </cell>
          <cell r="G141" t="e">
            <v>#REF!</v>
          </cell>
          <cell r="H141">
            <v>167692</v>
          </cell>
        </row>
        <row r="142">
          <cell r="A142">
            <v>20</v>
          </cell>
          <cell r="B142" t="str">
            <v>Thủy thủ  3/4</v>
          </cell>
          <cell r="C142">
            <v>2.5099999999999998</v>
          </cell>
          <cell r="D142">
            <v>5020000</v>
          </cell>
          <cell r="E142">
            <v>0</v>
          </cell>
          <cell r="G142" t="e">
            <v>#REF!</v>
          </cell>
          <cell r="H142">
            <v>193077</v>
          </cell>
        </row>
        <row r="143">
          <cell r="A143">
            <v>21</v>
          </cell>
          <cell r="B143" t="str">
            <v>Thủy thủ  4/4</v>
          </cell>
          <cell r="C143">
            <v>2.83</v>
          </cell>
          <cell r="D143">
            <v>5660000</v>
          </cell>
          <cell r="E143">
            <v>0</v>
          </cell>
          <cell r="G143" t="e">
            <v>#REF!</v>
          </cell>
          <cell r="H143">
            <v>217692</v>
          </cell>
        </row>
        <row r="147">
          <cell r="B147" t="str">
            <v>Thành phần</v>
          </cell>
          <cell r="F147" t="str">
            <v>Lương thợ</v>
          </cell>
        </row>
        <row r="148">
          <cell r="B148" t="str">
            <v>THỢ ĐIỀU KHIỂN MÁY</v>
          </cell>
        </row>
        <row r="149">
          <cell r="B149" t="str">
            <v>1x1/7</v>
          </cell>
          <cell r="F149">
            <v>119231</v>
          </cell>
          <cell r="G149" t="e">
            <v>#REF!</v>
          </cell>
        </row>
        <row r="150">
          <cell r="B150" t="str">
            <v>1x2/7</v>
          </cell>
          <cell r="F150">
            <v>140769</v>
          </cell>
          <cell r="G150" t="e">
            <v>#REF!</v>
          </cell>
        </row>
        <row r="151">
          <cell r="B151" t="str">
            <v>1x3/7</v>
          </cell>
          <cell r="F151">
            <v>166154</v>
          </cell>
          <cell r="G151" t="e">
            <v>#REF!</v>
          </cell>
        </row>
        <row r="152">
          <cell r="B152" t="str">
            <v>1x4/7</v>
          </cell>
          <cell r="F152">
            <v>196154</v>
          </cell>
          <cell r="G152" t="e">
            <v>#REF!</v>
          </cell>
        </row>
        <row r="153">
          <cell r="B153" t="str">
            <v>1x5/7</v>
          </cell>
          <cell r="F153">
            <v>231538</v>
          </cell>
          <cell r="G153" t="e">
            <v>#REF!</v>
          </cell>
        </row>
        <row r="154">
          <cell r="B154" t="str">
            <v>1x6/7</v>
          </cell>
          <cell r="F154">
            <v>273846</v>
          </cell>
          <cell r="G154" t="e">
            <v>#REF!</v>
          </cell>
        </row>
        <row r="155">
          <cell r="B155" t="str">
            <v>1x7/7</v>
          </cell>
          <cell r="F155">
            <v>323077</v>
          </cell>
          <cell r="G155" t="e">
            <v>#REF!</v>
          </cell>
        </row>
        <row r="156">
          <cell r="B156" t="str">
            <v>2x2/7</v>
          </cell>
          <cell r="F156">
            <v>281538</v>
          </cell>
          <cell r="G156" t="e">
            <v>#REF!</v>
          </cell>
        </row>
        <row r="157">
          <cell r="B157" t="str">
            <v>2x3/7</v>
          </cell>
          <cell r="F157">
            <v>332308</v>
          </cell>
          <cell r="G157" t="e">
            <v>#REF!</v>
          </cell>
        </row>
        <row r="158">
          <cell r="B158" t="str">
            <v>2x4/7</v>
          </cell>
          <cell r="F158">
            <v>392308</v>
          </cell>
          <cell r="G158" t="e">
            <v>#REF!</v>
          </cell>
        </row>
        <row r="159">
          <cell r="B159" t="str">
            <v>2x5/7</v>
          </cell>
          <cell r="F159">
            <v>463076</v>
          </cell>
          <cell r="G159" t="e">
            <v>#REF!</v>
          </cell>
        </row>
        <row r="160">
          <cell r="B160" t="str">
            <v>2x6/7</v>
          </cell>
          <cell r="F160">
            <v>547692</v>
          </cell>
          <cell r="G160" t="e">
            <v>#REF!</v>
          </cell>
        </row>
        <row r="161">
          <cell r="B161" t="str">
            <v>2x7/7</v>
          </cell>
          <cell r="F161">
            <v>646154</v>
          </cell>
          <cell r="G161" t="e">
            <v>#REF!</v>
          </cell>
        </row>
        <row r="162">
          <cell r="B162" t="str">
            <v>Thành phần</v>
          </cell>
          <cell r="F162" t="str">
            <v>Lương thợ</v>
          </cell>
        </row>
        <row r="163">
          <cell r="B163" t="str">
            <v>1x3/7+1x4/7</v>
          </cell>
          <cell r="F163">
            <v>362308</v>
          </cell>
          <cell r="G163" t="e">
            <v>#REF!</v>
          </cell>
        </row>
        <row r="164">
          <cell r="B164" t="str">
            <v>2x3/7+1x4/7</v>
          </cell>
          <cell r="F164">
            <v>528462</v>
          </cell>
          <cell r="G164" t="e">
            <v>#REF!</v>
          </cell>
        </row>
        <row r="165">
          <cell r="B165" t="str">
            <v>1x3/7+2x4/7</v>
          </cell>
          <cell r="F165">
            <v>558462</v>
          </cell>
          <cell r="G165" t="e">
            <v>#REF!</v>
          </cell>
        </row>
        <row r="166">
          <cell r="B166" t="str">
            <v>1x3/7+1x5/7</v>
          </cell>
          <cell r="F166">
            <v>397692</v>
          </cell>
          <cell r="G166" t="e">
            <v>#REF!</v>
          </cell>
        </row>
        <row r="167">
          <cell r="B167" t="str">
            <v>2x3/7+1x5/7</v>
          </cell>
          <cell r="F167">
            <v>563846</v>
          </cell>
          <cell r="G167" t="e">
            <v>#REF!</v>
          </cell>
        </row>
        <row r="168">
          <cell r="B168" t="str">
            <v>4x3/7+4x5/7</v>
          </cell>
          <cell r="F168">
            <v>1590768</v>
          </cell>
          <cell r="G168" t="e">
            <v>#REF!</v>
          </cell>
        </row>
        <row r="169">
          <cell r="B169" t="str">
            <v>1x3/7+1x6/7</v>
          </cell>
          <cell r="F169">
            <v>440000</v>
          </cell>
          <cell r="G169" t="e">
            <v>#REF!</v>
          </cell>
        </row>
        <row r="170">
          <cell r="B170" t="str">
            <v>2x3/7+2x6/7</v>
          </cell>
          <cell r="F170">
            <v>880000</v>
          </cell>
          <cell r="G170" t="e">
            <v>#REF!</v>
          </cell>
        </row>
        <row r="171">
          <cell r="B171" t="str">
            <v>1x3/7+1x7/7</v>
          </cell>
          <cell r="F171">
            <v>489231</v>
          </cell>
          <cell r="G171" t="e">
            <v>#REF!</v>
          </cell>
        </row>
        <row r="172">
          <cell r="B172" t="str">
            <v>1x4/7+1x5/7</v>
          </cell>
          <cell r="F172">
            <v>427692</v>
          </cell>
          <cell r="G172" t="e">
            <v>#REF!</v>
          </cell>
        </row>
        <row r="173">
          <cell r="B173" t="str">
            <v>1x4/7+1x6/7</v>
          </cell>
          <cell r="F173">
            <v>470000</v>
          </cell>
          <cell r="G173" t="e">
            <v>#REF!</v>
          </cell>
        </row>
        <row r="174">
          <cell r="B174" t="str">
            <v>2x4/7+1x5/7</v>
          </cell>
          <cell r="F174">
            <v>623846</v>
          </cell>
          <cell r="G174" t="e">
            <v>#REF!</v>
          </cell>
        </row>
        <row r="175">
          <cell r="B175" t="str">
            <v>2x4/7+1x6/7</v>
          </cell>
          <cell r="F175">
            <v>666154</v>
          </cell>
          <cell r="G175" t="e">
            <v>#REF!</v>
          </cell>
        </row>
        <row r="176">
          <cell r="B176" t="str">
            <v>1x4/7+1x7/7</v>
          </cell>
          <cell r="F176">
            <v>519231</v>
          </cell>
          <cell r="G176" t="e">
            <v>#REF!</v>
          </cell>
        </row>
        <row r="177">
          <cell r="B177" t="str">
            <v>2x4/7+1x7/7</v>
          </cell>
          <cell r="F177">
            <v>715385</v>
          </cell>
          <cell r="G177" t="e">
            <v>#REF!</v>
          </cell>
        </row>
        <row r="178">
          <cell r="B178" t="str">
            <v>2x4/7+2x7/7</v>
          </cell>
          <cell r="F178">
            <v>1038462</v>
          </cell>
          <cell r="G178" t="e">
            <v>#REF!</v>
          </cell>
        </row>
        <row r="179">
          <cell r="B179" t="str">
            <v>1x5/7+1x6/7</v>
          </cell>
          <cell r="F179">
            <v>505384</v>
          </cell>
          <cell r="G179" t="e">
            <v>#REF!</v>
          </cell>
        </row>
        <row r="180">
          <cell r="B180" t="str">
            <v>1x3/7+4x4/7+1x6/7</v>
          </cell>
          <cell r="F180">
            <v>1224616</v>
          </cell>
          <cell r="G180" t="e">
            <v>#REF!</v>
          </cell>
        </row>
        <row r="181">
          <cell r="B181" t="str">
            <v>1x4/7+1x5/7+1x6/7</v>
          </cell>
          <cell r="F181">
            <v>701538</v>
          </cell>
          <cell r="G181" t="e">
            <v>#REF!</v>
          </cell>
        </row>
        <row r="182">
          <cell r="B182" t="str">
            <v>2x4/7+1x5/7+1x6/7</v>
          </cell>
          <cell r="F182">
            <v>897692</v>
          </cell>
          <cell r="G182" t="e">
            <v>#REF!</v>
          </cell>
        </row>
        <row r="183">
          <cell r="B183" t="str">
            <v>2x4/7+1x5/7+1x7/7</v>
          </cell>
          <cell r="F183">
            <v>946923</v>
          </cell>
          <cell r="G183" t="e">
            <v>#REF!</v>
          </cell>
        </row>
        <row r="184">
          <cell r="B184" t="str">
            <v>2x4/7+1x6/7+1x7/7</v>
          </cell>
          <cell r="F184">
            <v>989231</v>
          </cell>
          <cell r="G184" t="e">
            <v>#REF!</v>
          </cell>
        </row>
        <row r="185">
          <cell r="B185" t="str">
            <v>1x6/7+1x4/7+2x3/7</v>
          </cell>
          <cell r="F185">
            <v>802308</v>
          </cell>
          <cell r="G185" t="e">
            <v>#REF!</v>
          </cell>
        </row>
        <row r="186">
          <cell r="B186" t="str">
            <v>1x6/7+1x5/7+2x3/7</v>
          </cell>
          <cell r="F186">
            <v>837692</v>
          </cell>
          <cell r="G186" t="e">
            <v>#REF!</v>
          </cell>
        </row>
        <row r="187">
          <cell r="B187" t="str">
            <v>1x6/7+4x4/7+1x3/7</v>
          </cell>
          <cell r="F187">
            <v>1224616</v>
          </cell>
          <cell r="G187" t="e">
            <v>#REF!</v>
          </cell>
        </row>
        <row r="188">
          <cell r="B188" t="str">
            <v>1x2/7+1x4/7+1x5/7</v>
          </cell>
          <cell r="F188">
            <v>568461</v>
          </cell>
          <cell r="G188" t="e">
            <v>#REF!</v>
          </cell>
        </row>
        <row r="189">
          <cell r="B189" t="str">
            <v>1x2/7+1x4/7+1x6/7</v>
          </cell>
          <cell r="F189">
            <v>610769</v>
          </cell>
          <cell r="G189" t="e">
            <v>#REF!</v>
          </cell>
        </row>
        <row r="190">
          <cell r="B190" t="str">
            <v>2x2/7+1x4/7+1x6/7</v>
          </cell>
          <cell r="F190">
            <v>751538</v>
          </cell>
          <cell r="G190" t="e">
            <v>#REF!</v>
          </cell>
        </row>
        <row r="191">
          <cell r="B191" t="str">
            <v>1x5/7+1x4/7+2x3/7</v>
          </cell>
          <cell r="F191">
            <v>760000</v>
          </cell>
          <cell r="G191" t="e">
            <v>#REF!</v>
          </cell>
        </row>
        <row r="192">
          <cell r="B192" t="str">
            <v>4x3/7+4x4/7+3x5/7</v>
          </cell>
          <cell r="F192">
            <v>2143846</v>
          </cell>
          <cell r="G192" t="e">
            <v>#REF!</v>
          </cell>
        </row>
        <row r="193">
          <cell r="B193" t="str">
            <v>2x2/7+1x4/7+1x5/7</v>
          </cell>
          <cell r="F193">
            <v>709230</v>
          </cell>
          <cell r="G193" t="e">
            <v>#REF!</v>
          </cell>
        </row>
        <row r="194">
          <cell r="B194" t="str">
            <v>5x3/7+5x4/7+4x5/7</v>
          </cell>
          <cell r="F194">
            <v>2737692</v>
          </cell>
          <cell r="G194" t="e">
            <v>#REF!</v>
          </cell>
        </row>
        <row r="195">
          <cell r="B195" t="str">
            <v>1x2/7+1x3/7+1x4/7</v>
          </cell>
          <cell r="F195">
            <v>503077</v>
          </cell>
          <cell r="G195" t="e">
            <v>#REF!</v>
          </cell>
        </row>
        <row r="196">
          <cell r="B196" t="str">
            <v>1x2/7+1x3/7+1x5/7</v>
          </cell>
          <cell r="F196">
            <v>538461</v>
          </cell>
          <cell r="G196" t="e">
            <v>#REF!</v>
          </cell>
        </row>
        <row r="197">
          <cell r="B197" t="str">
            <v>2x2/7+1x3/7+1x6/7</v>
          </cell>
          <cell r="F197">
            <v>721538</v>
          </cell>
          <cell r="G197" t="e">
            <v>#REF!</v>
          </cell>
        </row>
        <row r="198">
          <cell r="B198" t="str">
            <v>1x3/7+1x5/7+1x6/7</v>
          </cell>
          <cell r="F198">
            <v>671538</v>
          </cell>
          <cell r="G198" t="e">
            <v>#REF!</v>
          </cell>
        </row>
        <row r="199">
          <cell r="B199" t="str">
            <v>4x2/7+1x4/7+1x5/7</v>
          </cell>
          <cell r="F199">
            <v>990768</v>
          </cell>
          <cell r="G199" t="e">
            <v>#REF!</v>
          </cell>
        </row>
        <row r="200">
          <cell r="B200" t="str">
            <v>2x3/7+1x4/7+1x5/7</v>
          </cell>
          <cell r="F200">
            <v>760000</v>
          </cell>
          <cell r="G200" t="e">
            <v>#REF!</v>
          </cell>
        </row>
        <row r="201">
          <cell r="B201" t="str">
            <v>2x3/7+1x4/7+1x6/7</v>
          </cell>
          <cell r="F201">
            <v>802308</v>
          </cell>
          <cell r="G201" t="e">
            <v>#REF!</v>
          </cell>
        </row>
        <row r="202">
          <cell r="B202" t="str">
            <v>3x3/7+1x4/7+1x6/7</v>
          </cell>
          <cell r="F202">
            <v>968462</v>
          </cell>
          <cell r="G202" t="e">
            <v>#REF!</v>
          </cell>
        </row>
        <row r="203">
          <cell r="B203" t="str">
            <v>1x3/7+2x4/7+1x5/7+1x6/7</v>
          </cell>
          <cell r="F203">
            <v>1063846</v>
          </cell>
          <cell r="G203" t="e">
            <v>#REF!</v>
          </cell>
        </row>
        <row r="204">
          <cell r="B204" t="str">
            <v>4x3/7+4x4/7+3x5/7+1x6/7</v>
          </cell>
          <cell r="F204">
            <v>2417692</v>
          </cell>
          <cell r="G204" t="e">
            <v>#REF!</v>
          </cell>
        </row>
        <row r="205">
          <cell r="B205" t="str">
            <v>5x3/7+5x4/7+4x5/7+1x6/7</v>
          </cell>
          <cell r="F205">
            <v>3011538</v>
          </cell>
          <cell r="G205" t="e">
            <v>#REF!</v>
          </cell>
        </row>
        <row r="206">
          <cell r="B206" t="str">
            <v>1x6/7+1x5/7+1x4/7+2x3/7</v>
          </cell>
          <cell r="F206">
            <v>1033846</v>
          </cell>
          <cell r="G206" t="e">
            <v>#REF!</v>
          </cell>
        </row>
        <row r="207">
          <cell r="B207" t="str">
            <v>1x6/7+1x5/7+3x4/7+6x3/7</v>
          </cell>
          <cell r="F207">
            <v>2090770</v>
          </cell>
          <cell r="G207" t="e">
            <v>#REF!</v>
          </cell>
        </row>
        <row r="208">
          <cell r="B208" t="str">
            <v>2x3/7+1x4/7+1x5/7+2x6/7</v>
          </cell>
          <cell r="F208">
            <v>1307692</v>
          </cell>
          <cell r="G208" t="e">
            <v>#REF!</v>
          </cell>
        </row>
        <row r="209">
          <cell r="B209" t="str">
            <v>2x3/7+1x4/7+1x5/7+1x6/7</v>
          </cell>
          <cell r="F209">
            <v>1033846</v>
          </cell>
          <cell r="G209" t="e">
            <v>#REF!</v>
          </cell>
        </row>
        <row r="210">
          <cell r="B210" t="str">
            <v>4x3/7+4x4/7+3x5/7+3x6/7+1x7/7</v>
          </cell>
          <cell r="F210">
            <v>3288461</v>
          </cell>
          <cell r="G210" t="e">
            <v>#REF!</v>
          </cell>
        </row>
        <row r="211">
          <cell r="B211" t="str">
            <v>3x3/7+2x4/7+2x6/7+1x7/7</v>
          </cell>
          <cell r="F211">
            <v>1761539</v>
          </cell>
          <cell r="G211" t="e">
            <v>#REF!</v>
          </cell>
        </row>
        <row r="212">
          <cell r="B212" t="str">
            <v>LÁI XE</v>
          </cell>
        </row>
        <row r="213">
          <cell r="B213" t="str">
            <v>Loại &lt;3,5T</v>
          </cell>
        </row>
        <row r="214">
          <cell r="B214" t="str">
            <v>1x1/4 nhóm 1</v>
          </cell>
          <cell r="F214">
            <v>167692</v>
          </cell>
          <cell r="G214" t="e">
            <v>#REF!</v>
          </cell>
        </row>
        <row r="215">
          <cell r="B215" t="str">
            <v>1x2/4 nhóm 1</v>
          </cell>
          <cell r="F215">
            <v>197692</v>
          </cell>
          <cell r="G215" t="e">
            <v>#REF!</v>
          </cell>
        </row>
        <row r="216">
          <cell r="B216" t="str">
            <v>1x3/4 nhóm 1</v>
          </cell>
          <cell r="F216">
            <v>234615</v>
          </cell>
          <cell r="G216" t="e">
            <v>#REF!</v>
          </cell>
        </row>
        <row r="217">
          <cell r="B217" t="str">
            <v>Thành phần</v>
          </cell>
          <cell r="F217" t="str">
            <v>Lương thợ</v>
          </cell>
        </row>
        <row r="218">
          <cell r="B218" t="str">
            <v>1x4/4 nhóm 1</v>
          </cell>
          <cell r="F218">
            <v>276923</v>
          </cell>
          <cell r="G218" t="e">
            <v>#REF!</v>
          </cell>
        </row>
        <row r="219">
          <cell r="B219" t="str">
            <v>1x4/4 + 3/4L&lt;3,5</v>
          </cell>
          <cell r="F219">
            <v>511538</v>
          </cell>
          <cell r="G219" t="e">
            <v>#REF!</v>
          </cell>
        </row>
        <row r="220">
          <cell r="B220" t="str">
            <v>Loại 3,5-7,5T</v>
          </cell>
        </row>
        <row r="221">
          <cell r="B221" t="str">
            <v>1x1/4 nhóm 1</v>
          </cell>
          <cell r="F221">
            <v>167692</v>
          </cell>
          <cell r="G221" t="e">
            <v>#REF!</v>
          </cell>
        </row>
        <row r="222">
          <cell r="B222" t="str">
            <v>1x2/4 nhóm 1</v>
          </cell>
          <cell r="F222">
            <v>197692</v>
          </cell>
          <cell r="G222" t="e">
            <v>#REF!</v>
          </cell>
        </row>
        <row r="223">
          <cell r="B223" t="str">
            <v>1x3/4 nhóm 1</v>
          </cell>
          <cell r="F223">
            <v>234615</v>
          </cell>
          <cell r="G223" t="e">
            <v>#REF!</v>
          </cell>
        </row>
        <row r="224">
          <cell r="B224" t="str">
            <v>1x4/4 nhóm 1</v>
          </cell>
          <cell r="F224">
            <v>276923</v>
          </cell>
          <cell r="G224" t="e">
            <v>#REF!</v>
          </cell>
        </row>
        <row r="225">
          <cell r="B225" t="str">
            <v>1x1/4 + 3/4 nhóm 1</v>
          </cell>
          <cell r="F225">
            <v>167692</v>
          </cell>
          <cell r="G225" t="e">
            <v>#REF!</v>
          </cell>
        </row>
        <row r="226">
          <cell r="B226" t="str">
            <v>2x4/7 + 1x2/4 nhóm 1</v>
          </cell>
          <cell r="F226">
            <v>590000</v>
          </cell>
          <cell r="G226" t="e">
            <v>#REF!</v>
          </cell>
        </row>
        <row r="227">
          <cell r="B227" t="str">
            <v>1x4/4 + 3/4 nhóm 1</v>
          </cell>
          <cell r="F227">
            <v>511538</v>
          </cell>
          <cell r="G227" t="e">
            <v>#REF!</v>
          </cell>
        </row>
        <row r="228">
          <cell r="B228" t="str">
            <v>Loại 7,5 - 16,5T</v>
          </cell>
        </row>
        <row r="229">
          <cell r="B229" t="str">
            <v>1x1/4 nhóm 2</v>
          </cell>
          <cell r="F229">
            <v>193077</v>
          </cell>
          <cell r="G229" t="e">
            <v>#REF!</v>
          </cell>
        </row>
        <row r="230">
          <cell r="B230" t="str">
            <v>1x2/4 nhóm 2</v>
          </cell>
          <cell r="F230">
            <v>226154</v>
          </cell>
          <cell r="G230" t="e">
            <v>#REF!</v>
          </cell>
        </row>
        <row r="231">
          <cell r="B231" t="str">
            <v>1x3/4 nhóm 2</v>
          </cell>
          <cell r="F231">
            <v>264615</v>
          </cell>
          <cell r="G231" t="e">
            <v>#REF!</v>
          </cell>
        </row>
        <row r="232">
          <cell r="B232" t="str">
            <v>1x4/4 nhóm 2</v>
          </cell>
          <cell r="F232">
            <v>311538</v>
          </cell>
          <cell r="G232" t="e">
            <v>#REF!</v>
          </cell>
        </row>
        <row r="233">
          <cell r="B233" t="str">
            <v>1x1/4 + 3/4 nhóm 2</v>
          </cell>
          <cell r="F233">
            <v>457692</v>
          </cell>
          <cell r="G233" t="e">
            <v>#REF!</v>
          </cell>
        </row>
        <row r="234">
          <cell r="B234" t="str">
            <v>Loại 16,5 - 25T</v>
          </cell>
        </row>
        <row r="235">
          <cell r="B235" t="str">
            <v>1x1/4 nhóm 2</v>
          </cell>
          <cell r="F235">
            <v>193077</v>
          </cell>
          <cell r="G235" t="e">
            <v>#REF!</v>
          </cell>
        </row>
        <row r="236">
          <cell r="B236" t="str">
            <v>1x2/4 nhóm 2</v>
          </cell>
          <cell r="F236">
            <v>226154</v>
          </cell>
          <cell r="G236" t="e">
            <v>#REF!</v>
          </cell>
        </row>
        <row r="237">
          <cell r="B237" t="str">
            <v>1x3/4 nhóm 2</v>
          </cell>
          <cell r="F237">
            <v>264615</v>
          </cell>
          <cell r="G237" t="e">
            <v>#REF!</v>
          </cell>
        </row>
        <row r="238">
          <cell r="B238" t="str">
            <v>1x4/4 nhóm 2</v>
          </cell>
          <cell r="F238">
            <v>311538</v>
          </cell>
          <cell r="G238" t="e">
            <v>#REF!</v>
          </cell>
        </row>
        <row r="239">
          <cell r="B239" t="str">
            <v>1x1/4 + 3/4 nhóm 2</v>
          </cell>
          <cell r="F239">
            <v>457692</v>
          </cell>
          <cell r="G239" t="e">
            <v>#REF!</v>
          </cell>
        </row>
        <row r="240">
          <cell r="B240" t="str">
            <v>Loại 25 - 40T</v>
          </cell>
        </row>
        <row r="241">
          <cell r="B241" t="str">
            <v>1x1/4 nhóm 3</v>
          </cell>
          <cell r="F241">
            <v>230000</v>
          </cell>
          <cell r="G241" t="e">
            <v>#REF!</v>
          </cell>
        </row>
        <row r="242">
          <cell r="B242" t="str">
            <v>1x2/4 nhóm 3</v>
          </cell>
          <cell r="F242">
            <v>269231</v>
          </cell>
          <cell r="G242" t="e">
            <v>#REF!</v>
          </cell>
        </row>
        <row r="243">
          <cell r="B243" t="str">
            <v>1x3/4 nhóm 3</v>
          </cell>
          <cell r="F243">
            <v>316154</v>
          </cell>
          <cell r="G243" t="e">
            <v>#REF!</v>
          </cell>
        </row>
        <row r="244">
          <cell r="B244" t="str">
            <v>1x4/4 nhóm 3</v>
          </cell>
          <cell r="F244">
            <v>370769</v>
          </cell>
          <cell r="G244" t="e">
            <v>#REF!</v>
          </cell>
        </row>
        <row r="245">
          <cell r="B245" t="str">
            <v>1x1/4 + 3/4 nhóm 3</v>
          </cell>
          <cell r="F245">
            <v>546154</v>
          </cell>
          <cell r="G245" t="e">
            <v>#REF!</v>
          </cell>
        </row>
        <row r="246">
          <cell r="B246" t="str">
            <v>1x4/4 + 3/4 nhóm 3</v>
          </cell>
          <cell r="F246">
            <v>686923</v>
          </cell>
          <cell r="G246" t="e">
            <v>#REF!</v>
          </cell>
        </row>
        <row r="247">
          <cell r="B247" t="str">
            <v>Loại &gt;40T</v>
          </cell>
        </row>
        <row r="248">
          <cell r="B248" t="str">
            <v>1x1/4 nhóm 3</v>
          </cell>
          <cell r="F248">
            <v>230000</v>
          </cell>
          <cell r="G248" t="e">
            <v>#REF!</v>
          </cell>
        </row>
        <row r="249">
          <cell r="B249" t="str">
            <v>1x2/4 nhóm 3</v>
          </cell>
          <cell r="F249">
            <v>269231</v>
          </cell>
          <cell r="G249" t="e">
            <v>#REF!</v>
          </cell>
        </row>
        <row r="250">
          <cell r="B250" t="str">
            <v>1x3/4 nhóm 3</v>
          </cell>
          <cell r="F250">
            <v>316154</v>
          </cell>
          <cell r="G250" t="e">
            <v>#REF!</v>
          </cell>
        </row>
        <row r="251">
          <cell r="B251" t="str">
            <v>1x4/4 nhóm 3</v>
          </cell>
          <cell r="F251">
            <v>370769</v>
          </cell>
          <cell r="G251" t="e">
            <v>#REF!</v>
          </cell>
        </row>
        <row r="252">
          <cell r="B252" t="str">
            <v>1x1/4 + 3/4 nhóm 3</v>
          </cell>
          <cell r="F252">
            <v>546154</v>
          </cell>
          <cell r="G252" t="e">
            <v>#REF!</v>
          </cell>
        </row>
        <row r="253">
          <cell r="B253" t="str">
            <v>1x4/4 + 3/4 nhóm 3</v>
          </cell>
          <cell r="F253">
            <v>686923</v>
          </cell>
          <cell r="G253" t="e">
            <v>#REF!</v>
          </cell>
        </row>
        <row r="254">
          <cell r="B254" t="str">
            <v>PHƯƠNG TIỆN THỦY</v>
          </cell>
        </row>
        <row r="255">
          <cell r="B255" t="str">
            <v>Th.trưởng 1/2</v>
          </cell>
          <cell r="F255">
            <v>375385</v>
          </cell>
          <cell r="G255" t="e">
            <v>#REF!</v>
          </cell>
        </row>
        <row r="256">
          <cell r="B256" t="str">
            <v>Th.trưởng 2/2</v>
          </cell>
          <cell r="F256">
            <v>399231</v>
          </cell>
          <cell r="G256" t="e">
            <v>#REF!</v>
          </cell>
        </row>
        <row r="257">
          <cell r="B257" t="str">
            <v>Th.phóI 1/2(B5)</v>
          </cell>
          <cell r="F257">
            <v>360000</v>
          </cell>
          <cell r="G257" t="e">
            <v>#REF!</v>
          </cell>
        </row>
        <row r="258">
          <cell r="B258" t="str">
            <v>Th.phóI 2/2(B5)</v>
          </cell>
          <cell r="F258">
            <v>378462</v>
          </cell>
          <cell r="G258" t="e">
            <v>#REF!</v>
          </cell>
        </row>
        <row r="259">
          <cell r="B259" t="str">
            <v>Th.phóII 1/2(B5)</v>
          </cell>
          <cell r="F259">
            <v>320000</v>
          </cell>
          <cell r="G259" t="e">
            <v>#REF!</v>
          </cell>
        </row>
        <row r="260">
          <cell r="B260" t="str">
            <v>Th.phóII 2/2(B5)</v>
          </cell>
          <cell r="F260">
            <v>336154</v>
          </cell>
          <cell r="G260" t="e">
            <v>#REF!</v>
          </cell>
        </row>
        <row r="261">
          <cell r="B261" t="str">
            <v>KTV cuốc I:2/2</v>
          </cell>
          <cell r="F261">
            <v>378462</v>
          </cell>
          <cell r="G261" t="e">
            <v>#REF!</v>
          </cell>
        </row>
        <row r="262">
          <cell r="B262" t="str">
            <v>KTV cuốc II:2/2</v>
          </cell>
          <cell r="F262">
            <v>360000</v>
          </cell>
          <cell r="G262" t="e">
            <v>#REF!</v>
          </cell>
        </row>
        <row r="263">
          <cell r="B263" t="str">
            <v>Máy trưởng 1/2</v>
          </cell>
          <cell r="F263">
            <v>362308</v>
          </cell>
          <cell r="G263" t="e">
            <v>#REF!</v>
          </cell>
        </row>
        <row r="264">
          <cell r="B264" t="str">
            <v>Máy trưởng 2/2</v>
          </cell>
          <cell r="F264">
            <v>390000</v>
          </cell>
          <cell r="G264" t="e">
            <v>#REF!</v>
          </cell>
        </row>
        <row r="265">
          <cell r="B265" t="str">
            <v>Thợ máy, điện 4/4</v>
          </cell>
          <cell r="F265">
            <v>230000</v>
          </cell>
          <cell r="G265" t="e">
            <v>#REF!</v>
          </cell>
        </row>
        <row r="266">
          <cell r="B266" t="str">
            <v>Thợ máy, điện 3/4</v>
          </cell>
          <cell r="F266">
            <v>204615</v>
          </cell>
          <cell r="G266" t="e">
            <v>#REF!</v>
          </cell>
        </row>
        <row r="267">
          <cell r="B267" t="str">
            <v>Thợ máy, điện 2/4</v>
          </cell>
          <cell r="F267">
            <v>180769</v>
          </cell>
          <cell r="G267" t="e">
            <v>#REF!</v>
          </cell>
        </row>
        <row r="268">
          <cell r="B268" t="str">
            <v>Thợ máy, điện 1/4</v>
          </cell>
          <cell r="F268">
            <v>157692</v>
          </cell>
          <cell r="G268" t="e">
            <v>#REF!</v>
          </cell>
        </row>
        <row r="269">
          <cell r="B269" t="str">
            <v>Điện trưởng 1/2</v>
          </cell>
          <cell r="F269">
            <v>320000</v>
          </cell>
          <cell r="G269" t="e">
            <v>#REF!</v>
          </cell>
        </row>
        <row r="270">
          <cell r="B270" t="str">
            <v>Điện trưởng 2/2</v>
          </cell>
          <cell r="F270">
            <v>335385</v>
          </cell>
          <cell r="G270" t="e">
            <v>#REF!</v>
          </cell>
        </row>
        <row r="271">
          <cell r="B271" t="str">
            <v>Thủy thủ 1/4</v>
          </cell>
          <cell r="F271">
            <v>148462</v>
          </cell>
          <cell r="G271" t="e">
            <v>#REF!</v>
          </cell>
        </row>
        <row r="272">
          <cell r="B272" t="str">
            <v>Thành phần</v>
          </cell>
          <cell r="F272" t="str">
            <v>Lương thợ</v>
          </cell>
        </row>
        <row r="273">
          <cell r="B273" t="str">
            <v>Thủy thủ 2/4</v>
          </cell>
          <cell r="F273">
            <v>167692</v>
          </cell>
          <cell r="G273" t="e">
            <v>#REF!</v>
          </cell>
        </row>
        <row r="274">
          <cell r="B274" t="str">
            <v>Thủy thủ  3/4</v>
          </cell>
          <cell r="F274">
            <v>193077</v>
          </cell>
          <cell r="G274" t="e">
            <v>#REF!</v>
          </cell>
        </row>
        <row r="275">
          <cell r="B275" t="str">
            <v>Thủy thủ  4/4</v>
          </cell>
          <cell r="F275">
            <v>217692</v>
          </cell>
          <cell r="G275" t="e">
            <v>#REF!</v>
          </cell>
        </row>
        <row r="276">
          <cell r="B276" t="str">
            <v xml:space="preserve">1 x thuỷ thủ 2/4 </v>
          </cell>
          <cell r="F276">
            <v>167692</v>
          </cell>
          <cell r="G276" t="e">
            <v>#REF!</v>
          </cell>
        </row>
        <row r="277">
          <cell r="B277" t="str">
            <v>2 x thủy thủ 2/4</v>
          </cell>
          <cell r="F277">
            <v>335384</v>
          </cell>
          <cell r="G277" t="e">
            <v>#REF!</v>
          </cell>
        </row>
        <row r="278">
          <cell r="B278" t="str">
            <v>1 T.tr 1/2</v>
          </cell>
          <cell r="F278">
            <v>375385</v>
          </cell>
          <cell r="G278" t="e">
            <v>#REF!</v>
          </cell>
        </row>
        <row r="279">
          <cell r="B279" t="str">
            <v>1 T.tr 2/2</v>
          </cell>
          <cell r="F279">
            <v>399231</v>
          </cell>
          <cell r="G279" t="e">
            <v>#REF!</v>
          </cell>
        </row>
        <row r="280">
          <cell r="B280" t="str">
            <v>1 T.tr 1/2+1 thủy thủ 2/4</v>
          </cell>
          <cell r="F280">
            <v>543077</v>
          </cell>
          <cell r="G280" t="e">
            <v>#REF!</v>
          </cell>
        </row>
        <row r="281">
          <cell r="B281" t="str">
            <v>1 T.tr 1/2+1x5/7</v>
          </cell>
          <cell r="F281">
            <v>606923</v>
          </cell>
          <cell r="G281" t="e">
            <v>#REF!</v>
          </cell>
        </row>
        <row r="282">
          <cell r="B282" t="str">
            <v>1 T.tr 1/2+1 máy I 1/2+1 thủy thủ 2/4</v>
          </cell>
          <cell r="F282">
            <v>905385</v>
          </cell>
          <cell r="G282" t="e">
            <v>#REF!</v>
          </cell>
        </row>
        <row r="283">
          <cell r="B283" t="str">
            <v>1 thuỷ thủ 2/4 + 1 thợ máy 2/4</v>
          </cell>
          <cell r="F283">
            <v>348461</v>
          </cell>
          <cell r="G283" t="e">
            <v>#REF!</v>
          </cell>
        </row>
        <row r="284">
          <cell r="B284" t="str">
            <v>1 thuyền trưởng 1/2 + thuyền phó I 1/2 + 1 máy I 1/2 + 2 thợ máy (1x2/4+1x3/4) + 2 thuỷ thủ (1x2/4+1x3/4)</v>
          </cell>
          <cell r="F284">
            <v>1843846</v>
          </cell>
          <cell r="G284" t="e">
            <v>#REF!</v>
          </cell>
        </row>
        <row r="285">
          <cell r="B285" t="str">
            <v>1 thuyền trưởng 1/2 + thuyền phó II 1/2 + 1 máy I 1/2 + 2 thợ máy (1x2/4+1x3/4) + 2 thuỷ thủ (1x2/4+1x3/4)</v>
          </cell>
          <cell r="F285">
            <v>1803846</v>
          </cell>
          <cell r="G285" t="e">
            <v>#REF!</v>
          </cell>
        </row>
        <row r="286">
          <cell r="B286" t="str">
            <v>T.ph2.1/2 + 3 thợ máy (1x3/4 + 2x2/4) + 1thợ điện 2/4 + 1 Thuỷ thủ 2/4</v>
          </cell>
          <cell r="F286">
            <v>1234614</v>
          </cell>
          <cell r="G286" t="e">
            <v>#REF!</v>
          </cell>
        </row>
        <row r="287">
          <cell r="B287" t="str">
            <v>T.ph2.1/2 + 3 thợ máy (2x2/4 + 1x3/4) + 1thợ điện 2/4 + 1 thuỷ thủ 2/4</v>
          </cell>
          <cell r="F287">
            <v>1234614</v>
          </cell>
          <cell r="G287" t="e">
            <v>#REF!</v>
          </cell>
        </row>
        <row r="288">
          <cell r="B288" t="str">
            <v>T.tr 1/2+T.ph2.1/2+4thợ máy(3x2/4 + 1x4/4)+1thợ điện3/4+1 thuỷ thủ 2/4</v>
          </cell>
          <cell r="F288">
            <v>1839999</v>
          </cell>
          <cell r="G288" t="e">
            <v>#REF!</v>
          </cell>
        </row>
        <row r="289">
          <cell r="B289" t="str">
            <v>1 thuyền trưởng 2/2+1 thuyền phó I 1/2+1 máy I 1/2+2 thợ máy (1x3/4+1x2/4)+2 thủy thủ (1x2/4+1x3/4)</v>
          </cell>
          <cell r="F289">
            <v>1867692</v>
          </cell>
          <cell r="G289" t="e">
            <v>#REF!</v>
          </cell>
        </row>
        <row r="290">
          <cell r="B290" t="str">
            <v>1 thuyền trưởng 2/2 + 1 thuyền phóI 2/2 + 1 máy I 1/2 + 2 thợ máy (1x3/4+1x2/4) + 2 thủy thủ (1x2/4+1x3/4)</v>
          </cell>
          <cell r="F290">
            <v>1886154</v>
          </cell>
          <cell r="G290" t="e">
            <v>#REF!</v>
          </cell>
        </row>
        <row r="291">
          <cell r="B291" t="str">
            <v>1 thuyền trưởng 2/2 + thuyền phó I 2/2 + 1 máy I 2/2 + 3 thợ máy (2x3/4+1x2/4) + 4 thuỷ thủ (3x3/4+1x4/4)</v>
          </cell>
          <cell r="F291">
            <v>2554615</v>
          </cell>
          <cell r="G291" t="e">
            <v>#REF!</v>
          </cell>
        </row>
        <row r="292">
          <cell r="B292" t="str">
            <v>1 máy trưởng 2/2 + 1 kỹ thuật viên cuốc I 2/2 + 2 kỹ thuật viên cuốc II 2/2 + 2 thợ máy (1x2/4+1x4/4) + 2 thuỷ thủ (1x3/4+1x2/4)</v>
          </cell>
          <cell r="F292">
            <v>2260000</v>
          </cell>
          <cell r="G292" t="e">
            <v>#REF!</v>
          </cell>
        </row>
        <row r="293">
          <cell r="B293" t="str">
            <v>1 thuyền trưởng 1/2 + 1 thuyền phó I1/2 + 1 máy trưởng 2/2 + 1 kỹ thuật viên cuốc I 2/2 + 1kỹ thuật viên cuốc II 2/2 + 2 thợ máy (1x3/4+1x4/4) + 2 thuỷ thủ(1x3/4+1x2/4)</v>
          </cell>
          <cell r="F293">
            <v>2659231</v>
          </cell>
          <cell r="G293" t="e">
            <v>#REF!</v>
          </cell>
        </row>
        <row r="294">
          <cell r="B294" t="str">
            <v>1 thuyền trưởng 1/2 + 1 thuyền phó I1/2 + 1 kỹ thuật viên cuốc I 2/2 + 1kỹ thuật viên cuốc II 2/2 + 2 thợ máy (1x3/4+1x4/4) + 2 thuỷ thủ(1x2/4+1x3/4)</v>
          </cell>
          <cell r="F294">
            <v>2269231</v>
          </cell>
        </row>
        <row r="295">
          <cell r="B295" t="str">
            <v>1 máy trưởng 2/2 + 1 kỹ thuật viên cuốc I 2/2 + 2kỹ thuật viên cuốc II 2/2 + 2 thợ máy (1x2/4+1x4/4) + 2 thuỷ thủ(1x2/4+1x3/4)</v>
          </cell>
          <cell r="F295">
            <v>2260000</v>
          </cell>
        </row>
        <row r="296">
          <cell r="B296" t="str">
            <v>1 thuyền trưởng 2/2 + 1 thuyền phó I2/2 + 1 máy trưởng 2/2 + 1 kỹ thuật viên cuốc I 2/2 + 1kỹ thuật viên cuốc II 2/2 + 2 thợ máy (1x3/4+1x4/4) + 4 thuỷ thủ(3x3/4+1x4/4)</v>
          </cell>
          <cell r="F296">
            <v>3137693</v>
          </cell>
        </row>
        <row r="297">
          <cell r="B297" t="str">
            <v>T.ph2.1/2 + 3 thợ máy (2x2/4 + 1x3/4) + 1thợ điện 2/4 + 1 thuỷ thủ 2/4</v>
          </cell>
          <cell r="F297">
            <v>1234614</v>
          </cell>
        </row>
        <row r="298">
          <cell r="B298" t="str">
            <v>1 thuyền trưởng 1/2 + thuyền phó I 1/2 + 1 máy I 1/2 + 2 thợ máy (1x2/4+1x3/4) + 2 thuỷ thủ (1x2/4+1x3/4)</v>
          </cell>
          <cell r="F298">
            <v>1862308</v>
          </cell>
        </row>
        <row r="299">
          <cell r="B299" t="str">
            <v>Thành phần</v>
          </cell>
          <cell r="F299" t="str">
            <v>Lương thợ</v>
          </cell>
        </row>
        <row r="300">
          <cell r="B300" t="str">
            <v>1 thuyền trưởng 2/2 + 1 thuyền phó I2/2 + 1 kỹ thuật viên cuốc I 2/2 + 1kỹ thuật viên cuốc II 2/2 + 2 thợ máy (1x3/4+1x4/4) + 4 thuỷ thủ(3x3/4+1x4/4)</v>
          </cell>
          <cell r="F300">
            <v>2747693</v>
          </cell>
        </row>
        <row r="301">
          <cell r="B301" t="str">
            <v>1 thuyên trưởng 2/2 + 1 thuyền phó I2/2 + 1 kỹ thuật viên cuốc I 2/2 + 1kỹ thuật viên cuốc II 2/2 + 2 thợ máy (1x4/4+1x2/4) + 2 thuỷ thủ(1x3/4+1x4/4)</v>
          </cell>
          <cell r="F301">
            <v>2337693</v>
          </cell>
        </row>
      </sheetData>
      <sheetData sheetId="2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FECE-62D9-4B49-A002-E7A87571C71E}">
  <dimension ref="A1:I92"/>
  <sheetViews>
    <sheetView topLeftCell="A10" workbookViewId="0">
      <selection activeCell="B22" sqref="B22"/>
    </sheetView>
  </sheetViews>
  <sheetFormatPr defaultRowHeight="13.2"/>
  <cols>
    <col min="1" max="1" width="5" style="602" customWidth="1"/>
    <col min="2" max="2" width="52.44140625" style="603" customWidth="1"/>
    <col min="3" max="3" width="34.109375" style="603" bestFit="1" customWidth="1"/>
    <col min="4" max="4" width="7.44140625" style="603" bestFit="1" customWidth="1"/>
    <col min="5" max="5" width="11.33203125" style="602" bestFit="1" customWidth="1"/>
    <col min="6" max="6" width="12.44140625" style="604" bestFit="1" customWidth="1"/>
    <col min="7" max="7" width="18.6640625" style="605" bestFit="1" customWidth="1"/>
    <col min="8" max="250" width="8.88671875" style="603"/>
    <col min="251" max="251" width="5" style="603" customWidth="1"/>
    <col min="252" max="252" width="59.6640625" style="603" bestFit="1" customWidth="1"/>
    <col min="253" max="253" width="22.88671875" style="603" customWidth="1"/>
    <col min="254" max="254" width="8.88671875" style="603"/>
    <col min="255" max="255" width="11.33203125" style="603" bestFit="1" customWidth="1"/>
    <col min="256" max="256" width="12.44140625" style="603" bestFit="1" customWidth="1"/>
    <col min="257" max="257" width="18.6640625" style="603" bestFit="1" customWidth="1"/>
    <col min="258" max="258" width="16.88671875" style="603" bestFit="1" customWidth="1"/>
    <col min="259" max="259" width="17.6640625" style="603" bestFit="1" customWidth="1"/>
    <col min="260" max="260" width="12.5546875" style="603" bestFit="1" customWidth="1"/>
    <col min="261" max="506" width="8.88671875" style="603"/>
    <col min="507" max="507" width="5" style="603" customWidth="1"/>
    <col min="508" max="508" width="59.6640625" style="603" bestFit="1" customWidth="1"/>
    <col min="509" max="509" width="22.88671875" style="603" customWidth="1"/>
    <col min="510" max="510" width="8.88671875" style="603"/>
    <col min="511" max="511" width="11.33203125" style="603" bestFit="1" customWidth="1"/>
    <col min="512" max="512" width="12.44140625" style="603" bestFit="1" customWidth="1"/>
    <col min="513" max="513" width="18.6640625" style="603" bestFit="1" customWidth="1"/>
    <col min="514" max="514" width="16.88671875" style="603" bestFit="1" customWidth="1"/>
    <col min="515" max="515" width="17.6640625" style="603" bestFit="1" customWidth="1"/>
    <col min="516" max="516" width="12.5546875" style="603" bestFit="1" customWidth="1"/>
    <col min="517" max="762" width="8.88671875" style="603"/>
    <col min="763" max="763" width="5" style="603" customWidth="1"/>
    <col min="764" max="764" width="59.6640625" style="603" bestFit="1" customWidth="1"/>
    <col min="765" max="765" width="22.88671875" style="603" customWidth="1"/>
    <col min="766" max="766" width="8.88671875" style="603"/>
    <col min="767" max="767" width="11.33203125" style="603" bestFit="1" customWidth="1"/>
    <col min="768" max="768" width="12.44140625" style="603" bestFit="1" customWidth="1"/>
    <col min="769" max="769" width="18.6640625" style="603" bestFit="1" customWidth="1"/>
    <col min="770" max="770" width="16.88671875" style="603" bestFit="1" customWidth="1"/>
    <col min="771" max="771" width="17.6640625" style="603" bestFit="1" customWidth="1"/>
    <col min="772" max="772" width="12.5546875" style="603" bestFit="1" customWidth="1"/>
    <col min="773" max="1018" width="8.88671875" style="603"/>
    <col min="1019" max="1019" width="5" style="603" customWidth="1"/>
    <col min="1020" max="1020" width="59.6640625" style="603" bestFit="1" customWidth="1"/>
    <col min="1021" max="1021" width="22.88671875" style="603" customWidth="1"/>
    <col min="1022" max="1022" width="8.88671875" style="603"/>
    <col min="1023" max="1023" width="11.33203125" style="603" bestFit="1" customWidth="1"/>
    <col min="1024" max="1024" width="12.44140625" style="603" bestFit="1" customWidth="1"/>
    <col min="1025" max="1025" width="18.6640625" style="603" bestFit="1" customWidth="1"/>
    <col min="1026" max="1026" width="16.88671875" style="603" bestFit="1" customWidth="1"/>
    <col min="1027" max="1027" width="17.6640625" style="603" bestFit="1" customWidth="1"/>
    <col min="1028" max="1028" width="12.5546875" style="603" bestFit="1" customWidth="1"/>
    <col min="1029" max="1274" width="8.88671875" style="603"/>
    <col min="1275" max="1275" width="5" style="603" customWidth="1"/>
    <col min="1276" max="1276" width="59.6640625" style="603" bestFit="1" customWidth="1"/>
    <col min="1277" max="1277" width="22.88671875" style="603" customWidth="1"/>
    <col min="1278" max="1278" width="8.88671875" style="603"/>
    <col min="1279" max="1279" width="11.33203125" style="603" bestFit="1" customWidth="1"/>
    <col min="1280" max="1280" width="12.44140625" style="603" bestFit="1" customWidth="1"/>
    <col min="1281" max="1281" width="18.6640625" style="603" bestFit="1" customWidth="1"/>
    <col min="1282" max="1282" width="16.88671875" style="603" bestFit="1" customWidth="1"/>
    <col min="1283" max="1283" width="17.6640625" style="603" bestFit="1" customWidth="1"/>
    <col min="1284" max="1284" width="12.5546875" style="603" bestFit="1" customWidth="1"/>
    <col min="1285" max="1530" width="8.88671875" style="603"/>
    <col min="1531" max="1531" width="5" style="603" customWidth="1"/>
    <col min="1532" max="1532" width="59.6640625" style="603" bestFit="1" customWidth="1"/>
    <col min="1533" max="1533" width="22.88671875" style="603" customWidth="1"/>
    <col min="1534" max="1534" width="8.88671875" style="603"/>
    <col min="1535" max="1535" width="11.33203125" style="603" bestFit="1" customWidth="1"/>
    <col min="1536" max="1536" width="12.44140625" style="603" bestFit="1" customWidth="1"/>
    <col min="1537" max="1537" width="18.6640625" style="603" bestFit="1" customWidth="1"/>
    <col min="1538" max="1538" width="16.88671875" style="603" bestFit="1" customWidth="1"/>
    <col min="1539" max="1539" width="17.6640625" style="603" bestFit="1" customWidth="1"/>
    <col min="1540" max="1540" width="12.5546875" style="603" bestFit="1" customWidth="1"/>
    <col min="1541" max="1786" width="8.88671875" style="603"/>
    <col min="1787" max="1787" width="5" style="603" customWidth="1"/>
    <col min="1788" max="1788" width="59.6640625" style="603" bestFit="1" customWidth="1"/>
    <col min="1789" max="1789" width="22.88671875" style="603" customWidth="1"/>
    <col min="1790" max="1790" width="8.88671875" style="603"/>
    <col min="1791" max="1791" width="11.33203125" style="603" bestFit="1" customWidth="1"/>
    <col min="1792" max="1792" width="12.44140625" style="603" bestFit="1" customWidth="1"/>
    <col min="1793" max="1793" width="18.6640625" style="603" bestFit="1" customWidth="1"/>
    <col min="1794" max="1794" width="16.88671875" style="603" bestFit="1" customWidth="1"/>
    <col min="1795" max="1795" width="17.6640625" style="603" bestFit="1" customWidth="1"/>
    <col min="1796" max="1796" width="12.5546875" style="603" bestFit="1" customWidth="1"/>
    <col min="1797" max="2042" width="8.88671875" style="603"/>
    <col min="2043" max="2043" width="5" style="603" customWidth="1"/>
    <col min="2044" max="2044" width="59.6640625" style="603" bestFit="1" customWidth="1"/>
    <col min="2045" max="2045" width="22.88671875" style="603" customWidth="1"/>
    <col min="2046" max="2046" width="8.88671875" style="603"/>
    <col min="2047" max="2047" width="11.33203125" style="603" bestFit="1" customWidth="1"/>
    <col min="2048" max="2048" width="12.44140625" style="603" bestFit="1" customWidth="1"/>
    <col min="2049" max="2049" width="18.6640625" style="603" bestFit="1" customWidth="1"/>
    <col min="2050" max="2050" width="16.88671875" style="603" bestFit="1" customWidth="1"/>
    <col min="2051" max="2051" width="17.6640625" style="603" bestFit="1" customWidth="1"/>
    <col min="2052" max="2052" width="12.5546875" style="603" bestFit="1" customWidth="1"/>
    <col min="2053" max="2298" width="8.88671875" style="603"/>
    <col min="2299" max="2299" width="5" style="603" customWidth="1"/>
    <col min="2300" max="2300" width="59.6640625" style="603" bestFit="1" customWidth="1"/>
    <col min="2301" max="2301" width="22.88671875" style="603" customWidth="1"/>
    <col min="2302" max="2302" width="8.88671875" style="603"/>
    <col min="2303" max="2303" width="11.33203125" style="603" bestFit="1" customWidth="1"/>
    <col min="2304" max="2304" width="12.44140625" style="603" bestFit="1" customWidth="1"/>
    <col min="2305" max="2305" width="18.6640625" style="603" bestFit="1" customWidth="1"/>
    <col min="2306" max="2306" width="16.88671875" style="603" bestFit="1" customWidth="1"/>
    <col min="2307" max="2307" width="17.6640625" style="603" bestFit="1" customWidth="1"/>
    <col min="2308" max="2308" width="12.5546875" style="603" bestFit="1" customWidth="1"/>
    <col min="2309" max="2554" width="8.88671875" style="603"/>
    <col min="2555" max="2555" width="5" style="603" customWidth="1"/>
    <col min="2556" max="2556" width="59.6640625" style="603" bestFit="1" customWidth="1"/>
    <col min="2557" max="2557" width="22.88671875" style="603" customWidth="1"/>
    <col min="2558" max="2558" width="8.88671875" style="603"/>
    <col min="2559" max="2559" width="11.33203125" style="603" bestFit="1" customWidth="1"/>
    <col min="2560" max="2560" width="12.44140625" style="603" bestFit="1" customWidth="1"/>
    <col min="2561" max="2561" width="18.6640625" style="603" bestFit="1" customWidth="1"/>
    <col min="2562" max="2562" width="16.88671875" style="603" bestFit="1" customWidth="1"/>
    <col min="2563" max="2563" width="17.6640625" style="603" bestFit="1" customWidth="1"/>
    <col min="2564" max="2564" width="12.5546875" style="603" bestFit="1" customWidth="1"/>
    <col min="2565" max="2810" width="8.88671875" style="603"/>
    <col min="2811" max="2811" width="5" style="603" customWidth="1"/>
    <col min="2812" max="2812" width="59.6640625" style="603" bestFit="1" customWidth="1"/>
    <col min="2813" max="2813" width="22.88671875" style="603" customWidth="1"/>
    <col min="2814" max="2814" width="8.88671875" style="603"/>
    <col min="2815" max="2815" width="11.33203125" style="603" bestFit="1" customWidth="1"/>
    <col min="2816" max="2816" width="12.44140625" style="603" bestFit="1" customWidth="1"/>
    <col min="2817" max="2817" width="18.6640625" style="603" bestFit="1" customWidth="1"/>
    <col min="2818" max="2818" width="16.88671875" style="603" bestFit="1" customWidth="1"/>
    <col min="2819" max="2819" width="17.6640625" style="603" bestFit="1" customWidth="1"/>
    <col min="2820" max="2820" width="12.5546875" style="603" bestFit="1" customWidth="1"/>
    <col min="2821" max="3066" width="8.88671875" style="603"/>
    <col min="3067" max="3067" width="5" style="603" customWidth="1"/>
    <col min="3068" max="3068" width="59.6640625" style="603" bestFit="1" customWidth="1"/>
    <col min="3069" max="3069" width="22.88671875" style="603" customWidth="1"/>
    <col min="3070" max="3070" width="8.88671875" style="603"/>
    <col min="3071" max="3071" width="11.33203125" style="603" bestFit="1" customWidth="1"/>
    <col min="3072" max="3072" width="12.44140625" style="603" bestFit="1" customWidth="1"/>
    <col min="3073" max="3073" width="18.6640625" style="603" bestFit="1" customWidth="1"/>
    <col min="3074" max="3074" width="16.88671875" style="603" bestFit="1" customWidth="1"/>
    <col min="3075" max="3075" width="17.6640625" style="603" bestFit="1" customWidth="1"/>
    <col min="3076" max="3076" width="12.5546875" style="603" bestFit="1" customWidth="1"/>
    <col min="3077" max="3322" width="8.88671875" style="603"/>
    <col min="3323" max="3323" width="5" style="603" customWidth="1"/>
    <col min="3324" max="3324" width="59.6640625" style="603" bestFit="1" customWidth="1"/>
    <col min="3325" max="3325" width="22.88671875" style="603" customWidth="1"/>
    <col min="3326" max="3326" width="8.88671875" style="603"/>
    <col min="3327" max="3327" width="11.33203125" style="603" bestFit="1" customWidth="1"/>
    <col min="3328" max="3328" width="12.44140625" style="603" bestFit="1" customWidth="1"/>
    <col min="3329" max="3329" width="18.6640625" style="603" bestFit="1" customWidth="1"/>
    <col min="3330" max="3330" width="16.88671875" style="603" bestFit="1" customWidth="1"/>
    <col min="3331" max="3331" width="17.6640625" style="603" bestFit="1" customWidth="1"/>
    <col min="3332" max="3332" width="12.5546875" style="603" bestFit="1" customWidth="1"/>
    <col min="3333" max="3578" width="8.88671875" style="603"/>
    <col min="3579" max="3579" width="5" style="603" customWidth="1"/>
    <col min="3580" max="3580" width="59.6640625" style="603" bestFit="1" customWidth="1"/>
    <col min="3581" max="3581" width="22.88671875" style="603" customWidth="1"/>
    <col min="3582" max="3582" width="8.88671875" style="603"/>
    <col min="3583" max="3583" width="11.33203125" style="603" bestFit="1" customWidth="1"/>
    <col min="3584" max="3584" width="12.44140625" style="603" bestFit="1" customWidth="1"/>
    <col min="3585" max="3585" width="18.6640625" style="603" bestFit="1" customWidth="1"/>
    <col min="3586" max="3586" width="16.88671875" style="603" bestFit="1" customWidth="1"/>
    <col min="3587" max="3587" width="17.6640625" style="603" bestFit="1" customWidth="1"/>
    <col min="3588" max="3588" width="12.5546875" style="603" bestFit="1" customWidth="1"/>
    <col min="3589" max="3834" width="8.88671875" style="603"/>
    <col min="3835" max="3835" width="5" style="603" customWidth="1"/>
    <col min="3836" max="3836" width="59.6640625" style="603" bestFit="1" customWidth="1"/>
    <col min="3837" max="3837" width="22.88671875" style="603" customWidth="1"/>
    <col min="3838" max="3838" width="8.88671875" style="603"/>
    <col min="3839" max="3839" width="11.33203125" style="603" bestFit="1" customWidth="1"/>
    <col min="3840" max="3840" width="12.44140625" style="603" bestFit="1" customWidth="1"/>
    <col min="3841" max="3841" width="18.6640625" style="603" bestFit="1" customWidth="1"/>
    <col min="3842" max="3842" width="16.88671875" style="603" bestFit="1" customWidth="1"/>
    <col min="3843" max="3843" width="17.6640625" style="603" bestFit="1" customWidth="1"/>
    <col min="3844" max="3844" width="12.5546875" style="603" bestFit="1" customWidth="1"/>
    <col min="3845" max="4090" width="8.88671875" style="603"/>
    <col min="4091" max="4091" width="5" style="603" customWidth="1"/>
    <col min="4092" max="4092" width="59.6640625" style="603" bestFit="1" customWidth="1"/>
    <col min="4093" max="4093" width="22.88671875" style="603" customWidth="1"/>
    <col min="4094" max="4094" width="8.88671875" style="603"/>
    <col min="4095" max="4095" width="11.33203125" style="603" bestFit="1" customWidth="1"/>
    <col min="4096" max="4096" width="12.44140625" style="603" bestFit="1" customWidth="1"/>
    <col min="4097" max="4097" width="18.6640625" style="603" bestFit="1" customWidth="1"/>
    <col min="4098" max="4098" width="16.88671875" style="603" bestFit="1" customWidth="1"/>
    <col min="4099" max="4099" width="17.6640625" style="603" bestFit="1" customWidth="1"/>
    <col min="4100" max="4100" width="12.5546875" style="603" bestFit="1" customWidth="1"/>
    <col min="4101" max="4346" width="8.88671875" style="603"/>
    <col min="4347" max="4347" width="5" style="603" customWidth="1"/>
    <col min="4348" max="4348" width="59.6640625" style="603" bestFit="1" customWidth="1"/>
    <col min="4349" max="4349" width="22.88671875" style="603" customWidth="1"/>
    <col min="4350" max="4350" width="8.88671875" style="603"/>
    <col min="4351" max="4351" width="11.33203125" style="603" bestFit="1" customWidth="1"/>
    <col min="4352" max="4352" width="12.44140625" style="603" bestFit="1" customWidth="1"/>
    <col min="4353" max="4353" width="18.6640625" style="603" bestFit="1" customWidth="1"/>
    <col min="4354" max="4354" width="16.88671875" style="603" bestFit="1" customWidth="1"/>
    <col min="4355" max="4355" width="17.6640625" style="603" bestFit="1" customWidth="1"/>
    <col min="4356" max="4356" width="12.5546875" style="603" bestFit="1" customWidth="1"/>
    <col min="4357" max="4602" width="8.88671875" style="603"/>
    <col min="4603" max="4603" width="5" style="603" customWidth="1"/>
    <col min="4604" max="4604" width="59.6640625" style="603" bestFit="1" customWidth="1"/>
    <col min="4605" max="4605" width="22.88671875" style="603" customWidth="1"/>
    <col min="4606" max="4606" width="8.88671875" style="603"/>
    <col min="4607" max="4607" width="11.33203125" style="603" bestFit="1" customWidth="1"/>
    <col min="4608" max="4608" width="12.44140625" style="603" bestFit="1" customWidth="1"/>
    <col min="4609" max="4609" width="18.6640625" style="603" bestFit="1" customWidth="1"/>
    <col min="4610" max="4610" width="16.88671875" style="603" bestFit="1" customWidth="1"/>
    <col min="4611" max="4611" width="17.6640625" style="603" bestFit="1" customWidth="1"/>
    <col min="4612" max="4612" width="12.5546875" style="603" bestFit="1" customWidth="1"/>
    <col min="4613" max="4858" width="8.88671875" style="603"/>
    <col min="4859" max="4859" width="5" style="603" customWidth="1"/>
    <col min="4860" max="4860" width="59.6640625" style="603" bestFit="1" customWidth="1"/>
    <col min="4861" max="4861" width="22.88671875" style="603" customWidth="1"/>
    <col min="4862" max="4862" width="8.88671875" style="603"/>
    <col min="4863" max="4863" width="11.33203125" style="603" bestFit="1" customWidth="1"/>
    <col min="4864" max="4864" width="12.44140625" style="603" bestFit="1" customWidth="1"/>
    <col min="4865" max="4865" width="18.6640625" style="603" bestFit="1" customWidth="1"/>
    <col min="4866" max="4866" width="16.88671875" style="603" bestFit="1" customWidth="1"/>
    <col min="4867" max="4867" width="17.6640625" style="603" bestFit="1" customWidth="1"/>
    <col min="4868" max="4868" width="12.5546875" style="603" bestFit="1" customWidth="1"/>
    <col min="4869" max="5114" width="8.88671875" style="603"/>
    <col min="5115" max="5115" width="5" style="603" customWidth="1"/>
    <col min="5116" max="5116" width="59.6640625" style="603" bestFit="1" customWidth="1"/>
    <col min="5117" max="5117" width="22.88671875" style="603" customWidth="1"/>
    <col min="5118" max="5118" width="8.88671875" style="603"/>
    <col min="5119" max="5119" width="11.33203125" style="603" bestFit="1" customWidth="1"/>
    <col min="5120" max="5120" width="12.44140625" style="603" bestFit="1" customWidth="1"/>
    <col min="5121" max="5121" width="18.6640625" style="603" bestFit="1" customWidth="1"/>
    <col min="5122" max="5122" width="16.88671875" style="603" bestFit="1" customWidth="1"/>
    <col min="5123" max="5123" width="17.6640625" style="603" bestFit="1" customWidth="1"/>
    <col min="5124" max="5124" width="12.5546875" style="603" bestFit="1" customWidth="1"/>
    <col min="5125" max="5370" width="8.88671875" style="603"/>
    <col min="5371" max="5371" width="5" style="603" customWidth="1"/>
    <col min="5372" max="5372" width="59.6640625" style="603" bestFit="1" customWidth="1"/>
    <col min="5373" max="5373" width="22.88671875" style="603" customWidth="1"/>
    <col min="5374" max="5374" width="8.88671875" style="603"/>
    <col min="5375" max="5375" width="11.33203125" style="603" bestFit="1" customWidth="1"/>
    <col min="5376" max="5376" width="12.44140625" style="603" bestFit="1" customWidth="1"/>
    <col min="5377" max="5377" width="18.6640625" style="603" bestFit="1" customWidth="1"/>
    <col min="5378" max="5378" width="16.88671875" style="603" bestFit="1" customWidth="1"/>
    <col min="5379" max="5379" width="17.6640625" style="603" bestFit="1" customWidth="1"/>
    <col min="5380" max="5380" width="12.5546875" style="603" bestFit="1" customWidth="1"/>
    <col min="5381" max="5626" width="8.88671875" style="603"/>
    <col min="5627" max="5627" width="5" style="603" customWidth="1"/>
    <col min="5628" max="5628" width="59.6640625" style="603" bestFit="1" customWidth="1"/>
    <col min="5629" max="5629" width="22.88671875" style="603" customWidth="1"/>
    <col min="5630" max="5630" width="8.88671875" style="603"/>
    <col min="5631" max="5631" width="11.33203125" style="603" bestFit="1" customWidth="1"/>
    <col min="5632" max="5632" width="12.44140625" style="603" bestFit="1" customWidth="1"/>
    <col min="5633" max="5633" width="18.6640625" style="603" bestFit="1" customWidth="1"/>
    <col min="5634" max="5634" width="16.88671875" style="603" bestFit="1" customWidth="1"/>
    <col min="5635" max="5635" width="17.6640625" style="603" bestFit="1" customWidth="1"/>
    <col min="5636" max="5636" width="12.5546875" style="603" bestFit="1" customWidth="1"/>
    <col min="5637" max="5882" width="8.88671875" style="603"/>
    <col min="5883" max="5883" width="5" style="603" customWidth="1"/>
    <col min="5884" max="5884" width="59.6640625" style="603" bestFit="1" customWidth="1"/>
    <col min="5885" max="5885" width="22.88671875" style="603" customWidth="1"/>
    <col min="5886" max="5886" width="8.88671875" style="603"/>
    <col min="5887" max="5887" width="11.33203125" style="603" bestFit="1" customWidth="1"/>
    <col min="5888" max="5888" width="12.44140625" style="603" bestFit="1" customWidth="1"/>
    <col min="5889" max="5889" width="18.6640625" style="603" bestFit="1" customWidth="1"/>
    <col min="5890" max="5890" width="16.88671875" style="603" bestFit="1" customWidth="1"/>
    <col min="5891" max="5891" width="17.6640625" style="603" bestFit="1" customWidth="1"/>
    <col min="5892" max="5892" width="12.5546875" style="603" bestFit="1" customWidth="1"/>
    <col min="5893" max="6138" width="8.88671875" style="603"/>
    <col min="6139" max="6139" width="5" style="603" customWidth="1"/>
    <col min="6140" max="6140" width="59.6640625" style="603" bestFit="1" customWidth="1"/>
    <col min="6141" max="6141" width="22.88671875" style="603" customWidth="1"/>
    <col min="6142" max="6142" width="8.88671875" style="603"/>
    <col min="6143" max="6143" width="11.33203125" style="603" bestFit="1" customWidth="1"/>
    <col min="6144" max="6144" width="12.44140625" style="603" bestFit="1" customWidth="1"/>
    <col min="6145" max="6145" width="18.6640625" style="603" bestFit="1" customWidth="1"/>
    <col min="6146" max="6146" width="16.88671875" style="603" bestFit="1" customWidth="1"/>
    <col min="6147" max="6147" width="17.6640625" style="603" bestFit="1" customWidth="1"/>
    <col min="6148" max="6148" width="12.5546875" style="603" bestFit="1" customWidth="1"/>
    <col min="6149" max="6394" width="8.88671875" style="603"/>
    <col min="6395" max="6395" width="5" style="603" customWidth="1"/>
    <col min="6396" max="6396" width="59.6640625" style="603" bestFit="1" customWidth="1"/>
    <col min="6397" max="6397" width="22.88671875" style="603" customWidth="1"/>
    <col min="6398" max="6398" width="8.88671875" style="603"/>
    <col min="6399" max="6399" width="11.33203125" style="603" bestFit="1" customWidth="1"/>
    <col min="6400" max="6400" width="12.44140625" style="603" bestFit="1" customWidth="1"/>
    <col min="6401" max="6401" width="18.6640625" style="603" bestFit="1" customWidth="1"/>
    <col min="6402" max="6402" width="16.88671875" style="603" bestFit="1" customWidth="1"/>
    <col min="6403" max="6403" width="17.6640625" style="603" bestFit="1" customWidth="1"/>
    <col min="6404" max="6404" width="12.5546875" style="603" bestFit="1" customWidth="1"/>
    <col min="6405" max="6650" width="8.88671875" style="603"/>
    <col min="6651" max="6651" width="5" style="603" customWidth="1"/>
    <col min="6652" max="6652" width="59.6640625" style="603" bestFit="1" customWidth="1"/>
    <col min="6653" max="6653" width="22.88671875" style="603" customWidth="1"/>
    <col min="6654" max="6654" width="8.88671875" style="603"/>
    <col min="6655" max="6655" width="11.33203125" style="603" bestFit="1" customWidth="1"/>
    <col min="6656" max="6656" width="12.44140625" style="603" bestFit="1" customWidth="1"/>
    <col min="6657" max="6657" width="18.6640625" style="603" bestFit="1" customWidth="1"/>
    <col min="6658" max="6658" width="16.88671875" style="603" bestFit="1" customWidth="1"/>
    <col min="6659" max="6659" width="17.6640625" style="603" bestFit="1" customWidth="1"/>
    <col min="6660" max="6660" width="12.5546875" style="603" bestFit="1" customWidth="1"/>
    <col min="6661" max="6906" width="8.88671875" style="603"/>
    <col min="6907" max="6907" width="5" style="603" customWidth="1"/>
    <col min="6908" max="6908" width="59.6640625" style="603" bestFit="1" customWidth="1"/>
    <col min="6909" max="6909" width="22.88671875" style="603" customWidth="1"/>
    <col min="6910" max="6910" width="8.88671875" style="603"/>
    <col min="6911" max="6911" width="11.33203125" style="603" bestFit="1" customWidth="1"/>
    <col min="6912" max="6912" width="12.44140625" style="603" bestFit="1" customWidth="1"/>
    <col min="6913" max="6913" width="18.6640625" style="603" bestFit="1" customWidth="1"/>
    <col min="6914" max="6914" width="16.88671875" style="603" bestFit="1" customWidth="1"/>
    <col min="6915" max="6915" width="17.6640625" style="603" bestFit="1" customWidth="1"/>
    <col min="6916" max="6916" width="12.5546875" style="603" bestFit="1" customWidth="1"/>
    <col min="6917" max="7162" width="8.88671875" style="603"/>
    <col min="7163" max="7163" width="5" style="603" customWidth="1"/>
    <col min="7164" max="7164" width="59.6640625" style="603" bestFit="1" customWidth="1"/>
    <col min="7165" max="7165" width="22.88671875" style="603" customWidth="1"/>
    <col min="7166" max="7166" width="8.88671875" style="603"/>
    <col min="7167" max="7167" width="11.33203125" style="603" bestFit="1" customWidth="1"/>
    <col min="7168" max="7168" width="12.44140625" style="603" bestFit="1" customWidth="1"/>
    <col min="7169" max="7169" width="18.6640625" style="603" bestFit="1" customWidth="1"/>
    <col min="7170" max="7170" width="16.88671875" style="603" bestFit="1" customWidth="1"/>
    <col min="7171" max="7171" width="17.6640625" style="603" bestFit="1" customWidth="1"/>
    <col min="7172" max="7172" width="12.5546875" style="603" bestFit="1" customWidth="1"/>
    <col min="7173" max="7418" width="8.88671875" style="603"/>
    <col min="7419" max="7419" width="5" style="603" customWidth="1"/>
    <col min="7420" max="7420" width="59.6640625" style="603" bestFit="1" customWidth="1"/>
    <col min="7421" max="7421" width="22.88671875" style="603" customWidth="1"/>
    <col min="7422" max="7422" width="8.88671875" style="603"/>
    <col min="7423" max="7423" width="11.33203125" style="603" bestFit="1" customWidth="1"/>
    <col min="7424" max="7424" width="12.44140625" style="603" bestFit="1" customWidth="1"/>
    <col min="7425" max="7425" width="18.6640625" style="603" bestFit="1" customWidth="1"/>
    <col min="7426" max="7426" width="16.88671875" style="603" bestFit="1" customWidth="1"/>
    <col min="7427" max="7427" width="17.6640625" style="603" bestFit="1" customWidth="1"/>
    <col min="7428" max="7428" width="12.5546875" style="603" bestFit="1" customWidth="1"/>
    <col min="7429" max="7674" width="8.88671875" style="603"/>
    <col min="7675" max="7675" width="5" style="603" customWidth="1"/>
    <col min="7676" max="7676" width="59.6640625" style="603" bestFit="1" customWidth="1"/>
    <col min="7677" max="7677" width="22.88671875" style="603" customWidth="1"/>
    <col min="7678" max="7678" width="8.88671875" style="603"/>
    <col min="7679" max="7679" width="11.33203125" style="603" bestFit="1" customWidth="1"/>
    <col min="7680" max="7680" width="12.44140625" style="603" bestFit="1" customWidth="1"/>
    <col min="7681" max="7681" width="18.6640625" style="603" bestFit="1" customWidth="1"/>
    <col min="7682" max="7682" width="16.88671875" style="603" bestFit="1" customWidth="1"/>
    <col min="7683" max="7683" width="17.6640625" style="603" bestFit="1" customWidth="1"/>
    <col min="7684" max="7684" width="12.5546875" style="603" bestFit="1" customWidth="1"/>
    <col min="7685" max="7930" width="8.88671875" style="603"/>
    <col min="7931" max="7931" width="5" style="603" customWidth="1"/>
    <col min="7932" max="7932" width="59.6640625" style="603" bestFit="1" customWidth="1"/>
    <col min="7933" max="7933" width="22.88671875" style="603" customWidth="1"/>
    <col min="7934" max="7934" width="8.88671875" style="603"/>
    <col min="7935" max="7935" width="11.33203125" style="603" bestFit="1" customWidth="1"/>
    <col min="7936" max="7936" width="12.44140625" style="603" bestFit="1" customWidth="1"/>
    <col min="7937" max="7937" width="18.6640625" style="603" bestFit="1" customWidth="1"/>
    <col min="7938" max="7938" width="16.88671875" style="603" bestFit="1" customWidth="1"/>
    <col min="7939" max="7939" width="17.6640625" style="603" bestFit="1" customWidth="1"/>
    <col min="7940" max="7940" width="12.5546875" style="603" bestFit="1" customWidth="1"/>
    <col min="7941" max="8186" width="8.88671875" style="603"/>
    <col min="8187" max="8187" width="5" style="603" customWidth="1"/>
    <col min="8188" max="8188" width="59.6640625" style="603" bestFit="1" customWidth="1"/>
    <col min="8189" max="8189" width="22.88671875" style="603" customWidth="1"/>
    <col min="8190" max="8190" width="8.88671875" style="603"/>
    <col min="8191" max="8191" width="11.33203125" style="603" bestFit="1" customWidth="1"/>
    <col min="8192" max="8192" width="12.44140625" style="603" bestFit="1" customWidth="1"/>
    <col min="8193" max="8193" width="18.6640625" style="603" bestFit="1" customWidth="1"/>
    <col min="8194" max="8194" width="16.88671875" style="603" bestFit="1" customWidth="1"/>
    <col min="8195" max="8195" width="17.6640625" style="603" bestFit="1" customWidth="1"/>
    <col min="8196" max="8196" width="12.5546875" style="603" bestFit="1" customWidth="1"/>
    <col min="8197" max="8442" width="8.88671875" style="603"/>
    <col min="8443" max="8443" width="5" style="603" customWidth="1"/>
    <col min="8444" max="8444" width="59.6640625" style="603" bestFit="1" customWidth="1"/>
    <col min="8445" max="8445" width="22.88671875" style="603" customWidth="1"/>
    <col min="8446" max="8446" width="8.88671875" style="603"/>
    <col min="8447" max="8447" width="11.33203125" style="603" bestFit="1" customWidth="1"/>
    <col min="8448" max="8448" width="12.44140625" style="603" bestFit="1" customWidth="1"/>
    <col min="8449" max="8449" width="18.6640625" style="603" bestFit="1" customWidth="1"/>
    <col min="8450" max="8450" width="16.88671875" style="603" bestFit="1" customWidth="1"/>
    <col min="8451" max="8451" width="17.6640625" style="603" bestFit="1" customWidth="1"/>
    <col min="8452" max="8452" width="12.5546875" style="603" bestFit="1" customWidth="1"/>
    <col min="8453" max="8698" width="8.88671875" style="603"/>
    <col min="8699" max="8699" width="5" style="603" customWidth="1"/>
    <col min="8700" max="8700" width="59.6640625" style="603" bestFit="1" customWidth="1"/>
    <col min="8701" max="8701" width="22.88671875" style="603" customWidth="1"/>
    <col min="8702" max="8702" width="8.88671875" style="603"/>
    <col min="8703" max="8703" width="11.33203125" style="603" bestFit="1" customWidth="1"/>
    <col min="8704" max="8704" width="12.44140625" style="603" bestFit="1" customWidth="1"/>
    <col min="8705" max="8705" width="18.6640625" style="603" bestFit="1" customWidth="1"/>
    <col min="8706" max="8706" width="16.88671875" style="603" bestFit="1" customWidth="1"/>
    <col min="8707" max="8707" width="17.6640625" style="603" bestFit="1" customWidth="1"/>
    <col min="8708" max="8708" width="12.5546875" style="603" bestFit="1" customWidth="1"/>
    <col min="8709" max="8954" width="8.88671875" style="603"/>
    <col min="8955" max="8955" width="5" style="603" customWidth="1"/>
    <col min="8956" max="8956" width="59.6640625" style="603" bestFit="1" customWidth="1"/>
    <col min="8957" max="8957" width="22.88671875" style="603" customWidth="1"/>
    <col min="8958" max="8958" width="8.88671875" style="603"/>
    <col min="8959" max="8959" width="11.33203125" style="603" bestFit="1" customWidth="1"/>
    <col min="8960" max="8960" width="12.44140625" style="603" bestFit="1" customWidth="1"/>
    <col min="8961" max="8961" width="18.6640625" style="603" bestFit="1" customWidth="1"/>
    <col min="8962" max="8962" width="16.88671875" style="603" bestFit="1" customWidth="1"/>
    <col min="8963" max="8963" width="17.6640625" style="603" bestFit="1" customWidth="1"/>
    <col min="8964" max="8964" width="12.5546875" style="603" bestFit="1" customWidth="1"/>
    <col min="8965" max="9210" width="8.88671875" style="603"/>
    <col min="9211" max="9211" width="5" style="603" customWidth="1"/>
    <col min="9212" max="9212" width="59.6640625" style="603" bestFit="1" customWidth="1"/>
    <col min="9213" max="9213" width="22.88671875" style="603" customWidth="1"/>
    <col min="9214" max="9214" width="8.88671875" style="603"/>
    <col min="9215" max="9215" width="11.33203125" style="603" bestFit="1" customWidth="1"/>
    <col min="9216" max="9216" width="12.44140625" style="603" bestFit="1" customWidth="1"/>
    <col min="9217" max="9217" width="18.6640625" style="603" bestFit="1" customWidth="1"/>
    <col min="9218" max="9218" width="16.88671875" style="603" bestFit="1" customWidth="1"/>
    <col min="9219" max="9219" width="17.6640625" style="603" bestFit="1" customWidth="1"/>
    <col min="9220" max="9220" width="12.5546875" style="603" bestFit="1" customWidth="1"/>
    <col min="9221" max="9466" width="8.88671875" style="603"/>
    <col min="9467" max="9467" width="5" style="603" customWidth="1"/>
    <col min="9468" max="9468" width="59.6640625" style="603" bestFit="1" customWidth="1"/>
    <col min="9469" max="9469" width="22.88671875" style="603" customWidth="1"/>
    <col min="9470" max="9470" width="8.88671875" style="603"/>
    <col min="9471" max="9471" width="11.33203125" style="603" bestFit="1" customWidth="1"/>
    <col min="9472" max="9472" width="12.44140625" style="603" bestFit="1" customWidth="1"/>
    <col min="9473" max="9473" width="18.6640625" style="603" bestFit="1" customWidth="1"/>
    <col min="9474" max="9474" width="16.88671875" style="603" bestFit="1" customWidth="1"/>
    <col min="9475" max="9475" width="17.6640625" style="603" bestFit="1" customWidth="1"/>
    <col min="9476" max="9476" width="12.5546875" style="603" bestFit="1" customWidth="1"/>
    <col min="9477" max="9722" width="8.88671875" style="603"/>
    <col min="9723" max="9723" width="5" style="603" customWidth="1"/>
    <col min="9724" max="9724" width="59.6640625" style="603" bestFit="1" customWidth="1"/>
    <col min="9725" max="9725" width="22.88671875" style="603" customWidth="1"/>
    <col min="9726" max="9726" width="8.88671875" style="603"/>
    <col min="9727" max="9727" width="11.33203125" style="603" bestFit="1" customWidth="1"/>
    <col min="9728" max="9728" width="12.44140625" style="603" bestFit="1" customWidth="1"/>
    <col min="9729" max="9729" width="18.6640625" style="603" bestFit="1" customWidth="1"/>
    <col min="9730" max="9730" width="16.88671875" style="603" bestFit="1" customWidth="1"/>
    <col min="9731" max="9731" width="17.6640625" style="603" bestFit="1" customWidth="1"/>
    <col min="9732" max="9732" width="12.5546875" style="603" bestFit="1" customWidth="1"/>
    <col min="9733" max="9978" width="8.88671875" style="603"/>
    <col min="9979" max="9979" width="5" style="603" customWidth="1"/>
    <col min="9980" max="9980" width="59.6640625" style="603" bestFit="1" customWidth="1"/>
    <col min="9981" max="9981" width="22.88671875" style="603" customWidth="1"/>
    <col min="9982" max="9982" width="8.88671875" style="603"/>
    <col min="9983" max="9983" width="11.33203125" style="603" bestFit="1" customWidth="1"/>
    <col min="9984" max="9984" width="12.44140625" style="603" bestFit="1" customWidth="1"/>
    <col min="9985" max="9985" width="18.6640625" style="603" bestFit="1" customWidth="1"/>
    <col min="9986" max="9986" width="16.88671875" style="603" bestFit="1" customWidth="1"/>
    <col min="9987" max="9987" width="17.6640625" style="603" bestFit="1" customWidth="1"/>
    <col min="9988" max="9988" width="12.5546875" style="603" bestFit="1" customWidth="1"/>
    <col min="9989" max="10234" width="8.88671875" style="603"/>
    <col min="10235" max="10235" width="5" style="603" customWidth="1"/>
    <col min="10236" max="10236" width="59.6640625" style="603" bestFit="1" customWidth="1"/>
    <col min="10237" max="10237" width="22.88671875" style="603" customWidth="1"/>
    <col min="10238" max="10238" width="8.88671875" style="603"/>
    <col min="10239" max="10239" width="11.33203125" style="603" bestFit="1" customWidth="1"/>
    <col min="10240" max="10240" width="12.44140625" style="603" bestFit="1" customWidth="1"/>
    <col min="10241" max="10241" width="18.6640625" style="603" bestFit="1" customWidth="1"/>
    <col min="10242" max="10242" width="16.88671875" style="603" bestFit="1" customWidth="1"/>
    <col min="10243" max="10243" width="17.6640625" style="603" bestFit="1" customWidth="1"/>
    <col min="10244" max="10244" width="12.5546875" style="603" bestFit="1" customWidth="1"/>
    <col min="10245" max="10490" width="8.88671875" style="603"/>
    <col min="10491" max="10491" width="5" style="603" customWidth="1"/>
    <col min="10492" max="10492" width="59.6640625" style="603" bestFit="1" customWidth="1"/>
    <col min="10493" max="10493" width="22.88671875" style="603" customWidth="1"/>
    <col min="10494" max="10494" width="8.88671875" style="603"/>
    <col min="10495" max="10495" width="11.33203125" style="603" bestFit="1" customWidth="1"/>
    <col min="10496" max="10496" width="12.44140625" style="603" bestFit="1" customWidth="1"/>
    <col min="10497" max="10497" width="18.6640625" style="603" bestFit="1" customWidth="1"/>
    <col min="10498" max="10498" width="16.88671875" style="603" bestFit="1" customWidth="1"/>
    <col min="10499" max="10499" width="17.6640625" style="603" bestFit="1" customWidth="1"/>
    <col min="10500" max="10500" width="12.5546875" style="603" bestFit="1" customWidth="1"/>
    <col min="10501" max="10746" width="8.88671875" style="603"/>
    <col min="10747" max="10747" width="5" style="603" customWidth="1"/>
    <col min="10748" max="10748" width="59.6640625" style="603" bestFit="1" customWidth="1"/>
    <col min="10749" max="10749" width="22.88671875" style="603" customWidth="1"/>
    <col min="10750" max="10750" width="8.88671875" style="603"/>
    <col min="10751" max="10751" width="11.33203125" style="603" bestFit="1" customWidth="1"/>
    <col min="10752" max="10752" width="12.44140625" style="603" bestFit="1" customWidth="1"/>
    <col min="10753" max="10753" width="18.6640625" style="603" bestFit="1" customWidth="1"/>
    <col min="10754" max="10754" width="16.88671875" style="603" bestFit="1" customWidth="1"/>
    <col min="10755" max="10755" width="17.6640625" style="603" bestFit="1" customWidth="1"/>
    <col min="10756" max="10756" width="12.5546875" style="603" bestFit="1" customWidth="1"/>
    <col min="10757" max="11002" width="8.88671875" style="603"/>
    <col min="11003" max="11003" width="5" style="603" customWidth="1"/>
    <col min="11004" max="11004" width="59.6640625" style="603" bestFit="1" customWidth="1"/>
    <col min="11005" max="11005" width="22.88671875" style="603" customWidth="1"/>
    <col min="11006" max="11006" width="8.88671875" style="603"/>
    <col min="11007" max="11007" width="11.33203125" style="603" bestFit="1" customWidth="1"/>
    <col min="11008" max="11008" width="12.44140625" style="603" bestFit="1" customWidth="1"/>
    <col min="11009" max="11009" width="18.6640625" style="603" bestFit="1" customWidth="1"/>
    <col min="11010" max="11010" width="16.88671875" style="603" bestFit="1" customWidth="1"/>
    <col min="11011" max="11011" width="17.6640625" style="603" bestFit="1" customWidth="1"/>
    <col min="11012" max="11012" width="12.5546875" style="603" bestFit="1" customWidth="1"/>
    <col min="11013" max="11258" width="8.88671875" style="603"/>
    <col min="11259" max="11259" width="5" style="603" customWidth="1"/>
    <col min="11260" max="11260" width="59.6640625" style="603" bestFit="1" customWidth="1"/>
    <col min="11261" max="11261" width="22.88671875" style="603" customWidth="1"/>
    <col min="11262" max="11262" width="8.88671875" style="603"/>
    <col min="11263" max="11263" width="11.33203125" style="603" bestFit="1" customWidth="1"/>
    <col min="11264" max="11264" width="12.44140625" style="603" bestFit="1" customWidth="1"/>
    <col min="11265" max="11265" width="18.6640625" style="603" bestFit="1" customWidth="1"/>
    <col min="11266" max="11266" width="16.88671875" style="603" bestFit="1" customWidth="1"/>
    <col min="11267" max="11267" width="17.6640625" style="603" bestFit="1" customWidth="1"/>
    <col min="11268" max="11268" width="12.5546875" style="603" bestFit="1" customWidth="1"/>
    <col min="11269" max="11514" width="8.88671875" style="603"/>
    <col min="11515" max="11515" width="5" style="603" customWidth="1"/>
    <col min="11516" max="11516" width="59.6640625" style="603" bestFit="1" customWidth="1"/>
    <col min="11517" max="11517" width="22.88671875" style="603" customWidth="1"/>
    <col min="11518" max="11518" width="8.88671875" style="603"/>
    <col min="11519" max="11519" width="11.33203125" style="603" bestFit="1" customWidth="1"/>
    <col min="11520" max="11520" width="12.44140625" style="603" bestFit="1" customWidth="1"/>
    <col min="11521" max="11521" width="18.6640625" style="603" bestFit="1" customWidth="1"/>
    <col min="11522" max="11522" width="16.88671875" style="603" bestFit="1" customWidth="1"/>
    <col min="11523" max="11523" width="17.6640625" style="603" bestFit="1" customWidth="1"/>
    <col min="11524" max="11524" width="12.5546875" style="603" bestFit="1" customWidth="1"/>
    <col min="11525" max="11770" width="8.88671875" style="603"/>
    <col min="11771" max="11771" width="5" style="603" customWidth="1"/>
    <col min="11772" max="11772" width="59.6640625" style="603" bestFit="1" customWidth="1"/>
    <col min="11773" max="11773" width="22.88671875" style="603" customWidth="1"/>
    <col min="11774" max="11774" width="8.88671875" style="603"/>
    <col min="11775" max="11775" width="11.33203125" style="603" bestFit="1" customWidth="1"/>
    <col min="11776" max="11776" width="12.44140625" style="603" bestFit="1" customWidth="1"/>
    <col min="11777" max="11777" width="18.6640625" style="603" bestFit="1" customWidth="1"/>
    <col min="11778" max="11778" width="16.88671875" style="603" bestFit="1" customWidth="1"/>
    <col min="11779" max="11779" width="17.6640625" style="603" bestFit="1" customWidth="1"/>
    <col min="11780" max="11780" width="12.5546875" style="603" bestFit="1" customWidth="1"/>
    <col min="11781" max="12026" width="8.88671875" style="603"/>
    <col min="12027" max="12027" width="5" style="603" customWidth="1"/>
    <col min="12028" max="12028" width="59.6640625" style="603" bestFit="1" customWidth="1"/>
    <col min="12029" max="12029" width="22.88671875" style="603" customWidth="1"/>
    <col min="12030" max="12030" width="8.88671875" style="603"/>
    <col min="12031" max="12031" width="11.33203125" style="603" bestFit="1" customWidth="1"/>
    <col min="12032" max="12032" width="12.44140625" style="603" bestFit="1" customWidth="1"/>
    <col min="12033" max="12033" width="18.6640625" style="603" bestFit="1" customWidth="1"/>
    <col min="12034" max="12034" width="16.88671875" style="603" bestFit="1" customWidth="1"/>
    <col min="12035" max="12035" width="17.6640625" style="603" bestFit="1" customWidth="1"/>
    <col min="12036" max="12036" width="12.5546875" style="603" bestFit="1" customWidth="1"/>
    <col min="12037" max="12282" width="8.88671875" style="603"/>
    <col min="12283" max="12283" width="5" style="603" customWidth="1"/>
    <col min="12284" max="12284" width="59.6640625" style="603" bestFit="1" customWidth="1"/>
    <col min="12285" max="12285" width="22.88671875" style="603" customWidth="1"/>
    <col min="12286" max="12286" width="8.88671875" style="603"/>
    <col min="12287" max="12287" width="11.33203125" style="603" bestFit="1" customWidth="1"/>
    <col min="12288" max="12288" width="12.44140625" style="603" bestFit="1" customWidth="1"/>
    <col min="12289" max="12289" width="18.6640625" style="603" bestFit="1" customWidth="1"/>
    <col min="12290" max="12290" width="16.88671875" style="603" bestFit="1" customWidth="1"/>
    <col min="12291" max="12291" width="17.6640625" style="603" bestFit="1" customWidth="1"/>
    <col min="12292" max="12292" width="12.5546875" style="603" bestFit="1" customWidth="1"/>
    <col min="12293" max="12538" width="8.88671875" style="603"/>
    <col min="12539" max="12539" width="5" style="603" customWidth="1"/>
    <col min="12540" max="12540" width="59.6640625" style="603" bestFit="1" customWidth="1"/>
    <col min="12541" max="12541" width="22.88671875" style="603" customWidth="1"/>
    <col min="12542" max="12542" width="8.88671875" style="603"/>
    <col min="12543" max="12543" width="11.33203125" style="603" bestFit="1" customWidth="1"/>
    <col min="12544" max="12544" width="12.44140625" style="603" bestFit="1" customWidth="1"/>
    <col min="12545" max="12545" width="18.6640625" style="603" bestFit="1" customWidth="1"/>
    <col min="12546" max="12546" width="16.88671875" style="603" bestFit="1" customWidth="1"/>
    <col min="12547" max="12547" width="17.6640625" style="603" bestFit="1" customWidth="1"/>
    <col min="12548" max="12548" width="12.5546875" style="603" bestFit="1" customWidth="1"/>
    <col min="12549" max="12794" width="8.88671875" style="603"/>
    <col min="12795" max="12795" width="5" style="603" customWidth="1"/>
    <col min="12796" max="12796" width="59.6640625" style="603" bestFit="1" customWidth="1"/>
    <col min="12797" max="12797" width="22.88671875" style="603" customWidth="1"/>
    <col min="12798" max="12798" width="8.88671875" style="603"/>
    <col min="12799" max="12799" width="11.33203125" style="603" bestFit="1" customWidth="1"/>
    <col min="12800" max="12800" width="12.44140625" style="603" bestFit="1" customWidth="1"/>
    <col min="12801" max="12801" width="18.6640625" style="603" bestFit="1" customWidth="1"/>
    <col min="12802" max="12802" width="16.88671875" style="603" bestFit="1" customWidth="1"/>
    <col min="12803" max="12803" width="17.6640625" style="603" bestFit="1" customWidth="1"/>
    <col min="12804" max="12804" width="12.5546875" style="603" bestFit="1" customWidth="1"/>
    <col min="12805" max="13050" width="8.88671875" style="603"/>
    <col min="13051" max="13051" width="5" style="603" customWidth="1"/>
    <col min="13052" max="13052" width="59.6640625" style="603" bestFit="1" customWidth="1"/>
    <col min="13053" max="13053" width="22.88671875" style="603" customWidth="1"/>
    <col min="13054" max="13054" width="8.88671875" style="603"/>
    <col min="13055" max="13055" width="11.33203125" style="603" bestFit="1" customWidth="1"/>
    <col min="13056" max="13056" width="12.44140625" style="603" bestFit="1" customWidth="1"/>
    <col min="13057" max="13057" width="18.6640625" style="603" bestFit="1" customWidth="1"/>
    <col min="13058" max="13058" width="16.88671875" style="603" bestFit="1" customWidth="1"/>
    <col min="13059" max="13059" width="17.6640625" style="603" bestFit="1" customWidth="1"/>
    <col min="13060" max="13060" width="12.5546875" style="603" bestFit="1" customWidth="1"/>
    <col min="13061" max="13306" width="8.88671875" style="603"/>
    <col min="13307" max="13307" width="5" style="603" customWidth="1"/>
    <col min="13308" max="13308" width="59.6640625" style="603" bestFit="1" customWidth="1"/>
    <col min="13309" max="13309" width="22.88671875" style="603" customWidth="1"/>
    <col min="13310" max="13310" width="8.88671875" style="603"/>
    <col min="13311" max="13311" width="11.33203125" style="603" bestFit="1" customWidth="1"/>
    <col min="13312" max="13312" width="12.44140625" style="603" bestFit="1" customWidth="1"/>
    <col min="13313" max="13313" width="18.6640625" style="603" bestFit="1" customWidth="1"/>
    <col min="13314" max="13314" width="16.88671875" style="603" bestFit="1" customWidth="1"/>
    <col min="13315" max="13315" width="17.6640625" style="603" bestFit="1" customWidth="1"/>
    <col min="13316" max="13316" width="12.5546875" style="603" bestFit="1" customWidth="1"/>
    <col min="13317" max="13562" width="8.88671875" style="603"/>
    <col min="13563" max="13563" width="5" style="603" customWidth="1"/>
    <col min="13564" max="13564" width="59.6640625" style="603" bestFit="1" customWidth="1"/>
    <col min="13565" max="13565" width="22.88671875" style="603" customWidth="1"/>
    <col min="13566" max="13566" width="8.88671875" style="603"/>
    <col min="13567" max="13567" width="11.33203125" style="603" bestFit="1" customWidth="1"/>
    <col min="13568" max="13568" width="12.44140625" style="603" bestFit="1" customWidth="1"/>
    <col min="13569" max="13569" width="18.6640625" style="603" bestFit="1" customWidth="1"/>
    <col min="13570" max="13570" width="16.88671875" style="603" bestFit="1" customWidth="1"/>
    <col min="13571" max="13571" width="17.6640625" style="603" bestFit="1" customWidth="1"/>
    <col min="13572" max="13572" width="12.5546875" style="603" bestFit="1" customWidth="1"/>
    <col min="13573" max="13818" width="8.88671875" style="603"/>
    <col min="13819" max="13819" width="5" style="603" customWidth="1"/>
    <col min="13820" max="13820" width="59.6640625" style="603" bestFit="1" customWidth="1"/>
    <col min="13821" max="13821" width="22.88671875" style="603" customWidth="1"/>
    <col min="13822" max="13822" width="8.88671875" style="603"/>
    <col min="13823" max="13823" width="11.33203125" style="603" bestFit="1" customWidth="1"/>
    <col min="13824" max="13824" width="12.44140625" style="603" bestFit="1" customWidth="1"/>
    <col min="13825" max="13825" width="18.6640625" style="603" bestFit="1" customWidth="1"/>
    <col min="13826" max="13826" width="16.88671875" style="603" bestFit="1" customWidth="1"/>
    <col min="13827" max="13827" width="17.6640625" style="603" bestFit="1" customWidth="1"/>
    <col min="13828" max="13828" width="12.5546875" style="603" bestFit="1" customWidth="1"/>
    <col min="13829" max="14074" width="8.88671875" style="603"/>
    <col min="14075" max="14075" width="5" style="603" customWidth="1"/>
    <col min="14076" max="14076" width="59.6640625" style="603" bestFit="1" customWidth="1"/>
    <col min="14077" max="14077" width="22.88671875" style="603" customWidth="1"/>
    <col min="14078" max="14078" width="8.88671875" style="603"/>
    <col min="14079" max="14079" width="11.33203125" style="603" bestFit="1" customWidth="1"/>
    <col min="14080" max="14080" width="12.44140625" style="603" bestFit="1" customWidth="1"/>
    <col min="14081" max="14081" width="18.6640625" style="603" bestFit="1" customWidth="1"/>
    <col min="14082" max="14082" width="16.88671875" style="603" bestFit="1" customWidth="1"/>
    <col min="14083" max="14083" width="17.6640625" style="603" bestFit="1" customWidth="1"/>
    <col min="14084" max="14084" width="12.5546875" style="603" bestFit="1" customWidth="1"/>
    <col min="14085" max="14330" width="8.88671875" style="603"/>
    <col min="14331" max="14331" width="5" style="603" customWidth="1"/>
    <col min="14332" max="14332" width="59.6640625" style="603" bestFit="1" customWidth="1"/>
    <col min="14333" max="14333" width="22.88671875" style="603" customWidth="1"/>
    <col min="14334" max="14334" width="8.88671875" style="603"/>
    <col min="14335" max="14335" width="11.33203125" style="603" bestFit="1" customWidth="1"/>
    <col min="14336" max="14336" width="12.44140625" style="603" bestFit="1" customWidth="1"/>
    <col min="14337" max="14337" width="18.6640625" style="603" bestFit="1" customWidth="1"/>
    <col min="14338" max="14338" width="16.88671875" style="603" bestFit="1" customWidth="1"/>
    <col min="14339" max="14339" width="17.6640625" style="603" bestFit="1" customWidth="1"/>
    <col min="14340" max="14340" width="12.5546875" style="603" bestFit="1" customWidth="1"/>
    <col min="14341" max="14586" width="8.88671875" style="603"/>
    <col min="14587" max="14587" width="5" style="603" customWidth="1"/>
    <col min="14588" max="14588" width="59.6640625" style="603" bestFit="1" customWidth="1"/>
    <col min="14589" max="14589" width="22.88671875" style="603" customWidth="1"/>
    <col min="14590" max="14590" width="8.88671875" style="603"/>
    <col min="14591" max="14591" width="11.33203125" style="603" bestFit="1" customWidth="1"/>
    <col min="14592" max="14592" width="12.44140625" style="603" bestFit="1" customWidth="1"/>
    <col min="14593" max="14593" width="18.6640625" style="603" bestFit="1" customWidth="1"/>
    <col min="14594" max="14594" width="16.88671875" style="603" bestFit="1" customWidth="1"/>
    <col min="14595" max="14595" width="17.6640625" style="603" bestFit="1" customWidth="1"/>
    <col min="14596" max="14596" width="12.5546875" style="603" bestFit="1" customWidth="1"/>
    <col min="14597" max="14842" width="8.88671875" style="603"/>
    <col min="14843" max="14843" width="5" style="603" customWidth="1"/>
    <col min="14844" max="14844" width="59.6640625" style="603" bestFit="1" customWidth="1"/>
    <col min="14845" max="14845" width="22.88671875" style="603" customWidth="1"/>
    <col min="14846" max="14846" width="8.88671875" style="603"/>
    <col min="14847" max="14847" width="11.33203125" style="603" bestFit="1" customWidth="1"/>
    <col min="14848" max="14848" width="12.44140625" style="603" bestFit="1" customWidth="1"/>
    <col min="14849" max="14849" width="18.6640625" style="603" bestFit="1" customWidth="1"/>
    <col min="14850" max="14850" width="16.88671875" style="603" bestFit="1" customWidth="1"/>
    <col min="14851" max="14851" width="17.6640625" style="603" bestFit="1" customWidth="1"/>
    <col min="14852" max="14852" width="12.5546875" style="603" bestFit="1" customWidth="1"/>
    <col min="14853" max="15098" width="8.88671875" style="603"/>
    <col min="15099" max="15099" width="5" style="603" customWidth="1"/>
    <col min="15100" max="15100" width="59.6640625" style="603" bestFit="1" customWidth="1"/>
    <col min="15101" max="15101" width="22.88671875" style="603" customWidth="1"/>
    <col min="15102" max="15102" width="8.88671875" style="603"/>
    <col min="15103" max="15103" width="11.33203125" style="603" bestFit="1" customWidth="1"/>
    <col min="15104" max="15104" width="12.44140625" style="603" bestFit="1" customWidth="1"/>
    <col min="15105" max="15105" width="18.6640625" style="603" bestFit="1" customWidth="1"/>
    <col min="15106" max="15106" width="16.88671875" style="603" bestFit="1" customWidth="1"/>
    <col min="15107" max="15107" width="17.6640625" style="603" bestFit="1" customWidth="1"/>
    <col min="15108" max="15108" width="12.5546875" style="603" bestFit="1" customWidth="1"/>
    <col min="15109" max="15354" width="8.88671875" style="603"/>
    <col min="15355" max="15355" width="5" style="603" customWidth="1"/>
    <col min="15356" max="15356" width="59.6640625" style="603" bestFit="1" customWidth="1"/>
    <col min="15357" max="15357" width="22.88671875" style="603" customWidth="1"/>
    <col min="15358" max="15358" width="8.88671875" style="603"/>
    <col min="15359" max="15359" width="11.33203125" style="603" bestFit="1" customWidth="1"/>
    <col min="15360" max="15360" width="12.44140625" style="603" bestFit="1" customWidth="1"/>
    <col min="15361" max="15361" width="18.6640625" style="603" bestFit="1" customWidth="1"/>
    <col min="15362" max="15362" width="16.88671875" style="603" bestFit="1" customWidth="1"/>
    <col min="15363" max="15363" width="17.6640625" style="603" bestFit="1" customWidth="1"/>
    <col min="15364" max="15364" width="12.5546875" style="603" bestFit="1" customWidth="1"/>
    <col min="15365" max="15610" width="8.88671875" style="603"/>
    <col min="15611" max="15611" width="5" style="603" customWidth="1"/>
    <col min="15612" max="15612" width="59.6640625" style="603" bestFit="1" customWidth="1"/>
    <col min="15613" max="15613" width="22.88671875" style="603" customWidth="1"/>
    <col min="15614" max="15614" width="8.88671875" style="603"/>
    <col min="15615" max="15615" width="11.33203125" style="603" bestFit="1" customWidth="1"/>
    <col min="15616" max="15616" width="12.44140625" style="603" bestFit="1" customWidth="1"/>
    <col min="15617" max="15617" width="18.6640625" style="603" bestFit="1" customWidth="1"/>
    <col min="15618" max="15618" width="16.88671875" style="603" bestFit="1" customWidth="1"/>
    <col min="15619" max="15619" width="17.6640625" style="603" bestFit="1" customWidth="1"/>
    <col min="15620" max="15620" width="12.5546875" style="603" bestFit="1" customWidth="1"/>
    <col min="15621" max="15866" width="8.88671875" style="603"/>
    <col min="15867" max="15867" width="5" style="603" customWidth="1"/>
    <col min="15868" max="15868" width="59.6640625" style="603" bestFit="1" customWidth="1"/>
    <col min="15869" max="15869" width="22.88671875" style="603" customWidth="1"/>
    <col min="15870" max="15870" width="8.88671875" style="603"/>
    <col min="15871" max="15871" width="11.33203125" style="603" bestFit="1" customWidth="1"/>
    <col min="15872" max="15872" width="12.44140625" style="603" bestFit="1" customWidth="1"/>
    <col min="15873" max="15873" width="18.6640625" style="603" bestFit="1" customWidth="1"/>
    <col min="15874" max="15874" width="16.88671875" style="603" bestFit="1" customWidth="1"/>
    <col min="15875" max="15875" width="17.6640625" style="603" bestFit="1" customWidth="1"/>
    <col min="15876" max="15876" width="12.5546875" style="603" bestFit="1" customWidth="1"/>
    <col min="15877" max="16122" width="8.88671875" style="603"/>
    <col min="16123" max="16123" width="5" style="603" customWidth="1"/>
    <col min="16124" max="16124" width="59.6640625" style="603" bestFit="1" customWidth="1"/>
    <col min="16125" max="16125" width="22.88671875" style="603" customWidth="1"/>
    <col min="16126" max="16126" width="8.88671875" style="603"/>
    <col min="16127" max="16127" width="11.33203125" style="603" bestFit="1" customWidth="1"/>
    <col min="16128" max="16128" width="12.44140625" style="603" bestFit="1" customWidth="1"/>
    <col min="16129" max="16129" width="18.6640625" style="603" bestFit="1" customWidth="1"/>
    <col min="16130" max="16130" width="16.88671875" style="603" bestFit="1" customWidth="1"/>
    <col min="16131" max="16131" width="17.6640625" style="603" bestFit="1" customWidth="1"/>
    <col min="16132" max="16132" width="12.5546875" style="603" bestFit="1" customWidth="1"/>
    <col min="16133" max="16384" width="8.88671875" style="603"/>
  </cols>
  <sheetData>
    <row r="1" spans="1:9" s="547" customFormat="1" ht="24.6">
      <c r="A1" s="636" t="s">
        <v>420</v>
      </c>
      <c r="B1" s="636"/>
      <c r="C1" s="636"/>
      <c r="D1" s="636"/>
      <c r="E1" s="636"/>
      <c r="F1" s="636"/>
      <c r="G1" s="636"/>
      <c r="H1" s="546"/>
      <c r="I1" s="546"/>
    </row>
    <row r="2" spans="1:9" s="547" customFormat="1" ht="18">
      <c r="A2" s="637"/>
      <c r="B2" s="637"/>
      <c r="C2" s="637"/>
      <c r="D2" s="637"/>
      <c r="E2" s="637"/>
      <c r="F2" s="637"/>
      <c r="G2" s="637"/>
      <c r="H2" s="546"/>
      <c r="I2" s="546"/>
    </row>
    <row r="3" spans="1:9" s="547" customFormat="1" ht="18" customHeight="1">
      <c r="A3" s="638" t="s">
        <v>421</v>
      </c>
      <c r="B3" s="639"/>
      <c r="C3" s="639"/>
      <c r="D3" s="639"/>
      <c r="E3" s="639"/>
      <c r="F3" s="639"/>
      <c r="G3" s="639"/>
      <c r="H3" s="546"/>
      <c r="I3" s="546"/>
    </row>
    <row r="4" spans="1:9" s="547" customFormat="1" ht="18">
      <c r="A4" s="639" t="s">
        <v>422</v>
      </c>
      <c r="B4" s="639"/>
      <c r="C4" s="639"/>
      <c r="D4" s="639"/>
      <c r="E4" s="639"/>
      <c r="F4" s="639"/>
      <c r="G4" s="639"/>
      <c r="H4" s="546"/>
      <c r="I4" s="546"/>
    </row>
    <row r="5" spans="1:9" s="552" customFormat="1" ht="18">
      <c r="A5" s="548"/>
      <c r="B5" s="548"/>
      <c r="C5" s="548"/>
      <c r="D5" s="548"/>
      <c r="E5" s="548"/>
      <c r="F5" s="549"/>
      <c r="G5" s="550"/>
      <c r="H5" s="551"/>
      <c r="I5" s="551"/>
    </row>
    <row r="6" spans="1:9" s="556" customFormat="1" ht="46.8">
      <c r="A6" s="553" t="s">
        <v>67</v>
      </c>
      <c r="B6" s="553" t="s">
        <v>423</v>
      </c>
      <c r="C6" s="553" t="s">
        <v>424</v>
      </c>
      <c r="D6" s="553" t="s">
        <v>82</v>
      </c>
      <c r="E6" s="553" t="s">
        <v>425</v>
      </c>
      <c r="F6" s="554" t="s">
        <v>7</v>
      </c>
      <c r="G6" s="555" t="s">
        <v>8</v>
      </c>
    </row>
    <row r="7" spans="1:9" s="564" customFormat="1" ht="15.6">
      <c r="A7" s="557" t="s">
        <v>94</v>
      </c>
      <c r="B7" s="558" t="s">
        <v>324</v>
      </c>
      <c r="C7" s="559"/>
      <c r="D7" s="560"/>
      <c r="E7" s="561"/>
      <c r="F7" s="562"/>
      <c r="G7" s="563"/>
    </row>
    <row r="8" spans="1:9" s="564" customFormat="1" ht="15.6">
      <c r="A8" s="565">
        <v>1</v>
      </c>
      <c r="B8" s="566" t="s">
        <v>239</v>
      </c>
      <c r="C8" s="566" t="s">
        <v>426</v>
      </c>
      <c r="D8" s="565" t="s">
        <v>219</v>
      </c>
      <c r="E8" s="567">
        <v>12.162000000000001</v>
      </c>
      <c r="F8" s="568"/>
      <c r="G8" s="569">
        <f>F8*E8</f>
        <v>0</v>
      </c>
      <c r="H8" s="564" t="str">
        <f>VLOOKUP(B8,_klhd!C:C,1,0)</f>
        <v>Cáp ACX 50/8mm2 (24)KV: (1,02xCd)</v>
      </c>
    </row>
    <row r="9" spans="1:9" s="570" customFormat="1" ht="15.6">
      <c r="A9" s="565">
        <v>2</v>
      </c>
      <c r="B9" s="566" t="s">
        <v>218</v>
      </c>
      <c r="C9" s="566" t="s">
        <v>426</v>
      </c>
      <c r="D9" s="565" t="s">
        <v>219</v>
      </c>
      <c r="E9" s="567">
        <v>2.141</v>
      </c>
      <c r="F9" s="568"/>
      <c r="G9" s="569">
        <f>F9*E9</f>
        <v>0</v>
      </c>
      <c r="H9" s="564" t="str">
        <f>VLOOKUP(B9,_klhd!C:C,1,0)</f>
        <v>Cáp chằng D5/8" mạ kẽm nhúng</v>
      </c>
    </row>
    <row r="10" spans="1:9" s="564" customFormat="1" ht="15.6">
      <c r="A10" s="565">
        <v>3</v>
      </c>
      <c r="B10" s="566" t="s">
        <v>266</v>
      </c>
      <c r="C10" s="566" t="s">
        <v>426</v>
      </c>
      <c r="D10" s="565" t="s">
        <v>219</v>
      </c>
      <c r="E10" s="567">
        <v>6</v>
      </c>
      <c r="F10" s="568"/>
      <c r="G10" s="569">
        <f t="shared" ref="G10:G73" si="0">F10*E10</f>
        <v>0</v>
      </c>
      <c r="H10" s="564" t="str">
        <f>VLOOKUP(B10,_klhd!C:C,1,0)</f>
        <v>Cáp CXV 25mm2</v>
      </c>
    </row>
    <row r="11" spans="1:9" s="570" customFormat="1" ht="15.6">
      <c r="A11" s="565">
        <v>4</v>
      </c>
      <c r="B11" s="566" t="s">
        <v>268</v>
      </c>
      <c r="C11" s="566" t="s">
        <v>426</v>
      </c>
      <c r="D11" s="565" t="s">
        <v>219</v>
      </c>
      <c r="E11" s="567">
        <v>21.5</v>
      </c>
      <c r="F11" s="568"/>
      <c r="G11" s="569">
        <f t="shared" si="0"/>
        <v>0</v>
      </c>
      <c r="H11" s="564" t="str">
        <f>VLOOKUP(B11,_klhd!C:C,1,0)</f>
        <v>Cáp CXV 50mm2</v>
      </c>
    </row>
    <row r="12" spans="1:9" s="570" customFormat="1" ht="15.6">
      <c r="A12" s="565">
        <v>5</v>
      </c>
      <c r="B12" s="566" t="s">
        <v>186</v>
      </c>
      <c r="C12" s="566" t="s">
        <v>426</v>
      </c>
      <c r="D12" s="565" t="s">
        <v>30</v>
      </c>
      <c r="E12" s="567">
        <v>67</v>
      </c>
      <c r="F12" s="568"/>
      <c r="G12" s="569">
        <f t="shared" si="0"/>
        <v>0</v>
      </c>
      <c r="H12" s="564" t="str">
        <f>VLOOKUP(B12,_klhd!C:C,1,0)</f>
        <v>Cáp đồng trần M25mm2 (0,224kg/m)</v>
      </c>
    </row>
    <row r="13" spans="1:9" s="570" customFormat="1" ht="15.6">
      <c r="A13" s="565">
        <v>6</v>
      </c>
      <c r="B13" s="566" t="s">
        <v>252</v>
      </c>
      <c r="C13" s="566" t="s">
        <v>426</v>
      </c>
      <c r="D13" s="565" t="s">
        <v>190</v>
      </c>
      <c r="E13" s="567">
        <v>172</v>
      </c>
      <c r="F13" s="568"/>
      <c r="G13" s="569">
        <f t="shared" si="0"/>
        <v>0</v>
      </c>
      <c r="H13" s="564" t="str">
        <f>VLOOKUP(B13,_klhd!C:C,1,0)</f>
        <v>Chân sứ đỉnh cong dài 870 - 4 ly  sứ 24kV (không bọc chì)</v>
      </c>
    </row>
    <row r="14" spans="1:9" s="564" customFormat="1" ht="15.6">
      <c r="A14" s="565">
        <v>7</v>
      </c>
      <c r="B14" s="566" t="s">
        <v>201</v>
      </c>
      <c r="C14" s="566" t="s">
        <v>426</v>
      </c>
      <c r="D14" s="565" t="s">
        <v>190</v>
      </c>
      <c r="E14" s="567">
        <v>102</v>
      </c>
      <c r="F14" s="568"/>
      <c r="G14" s="569">
        <f t="shared" si="0"/>
        <v>0</v>
      </c>
      <c r="H14" s="564" t="str">
        <f>VLOOKUP(B14,_klhd!C:C,1,0)</f>
        <v>Chân sứ đỉnh thẳng dài 870 - 4 ly sứ 24kV (không bọc chì)</v>
      </c>
    </row>
    <row r="15" spans="1:9" s="570" customFormat="1" ht="15.6">
      <c r="A15" s="565">
        <v>8</v>
      </c>
      <c r="B15" s="566" t="s">
        <v>207</v>
      </c>
      <c r="C15" s="566" t="s">
        <v>426</v>
      </c>
      <c r="D15" s="565" t="s">
        <v>190</v>
      </c>
      <c r="E15" s="567">
        <v>10</v>
      </c>
      <c r="F15" s="568"/>
      <c r="G15" s="569">
        <f t="shared" si="0"/>
        <v>0</v>
      </c>
      <c r="H15" s="564" t="str">
        <f>VLOOKUP(B15,_klhd!C:C,1,0)</f>
        <v>Đà hộp composite 110x80x5-800</v>
      </c>
    </row>
    <row r="16" spans="1:9" s="570" customFormat="1" ht="15.6">
      <c r="A16" s="565">
        <v>9</v>
      </c>
      <c r="B16" s="566" t="s">
        <v>200</v>
      </c>
      <c r="C16" s="566" t="s">
        <v>426</v>
      </c>
      <c r="D16" s="565" t="s">
        <v>190</v>
      </c>
      <c r="E16" s="567">
        <v>52</v>
      </c>
      <c r="F16" s="568"/>
      <c r="G16" s="569">
        <f t="shared" si="0"/>
        <v>0</v>
      </c>
      <c r="H16" s="564" t="str">
        <f>VLOOKUP(B16,_klhd!C:C,1,0)</f>
        <v>Đà tháp U160x64x5 - 2200mm (1 cái/ bộ)</v>
      </c>
    </row>
    <row r="17" spans="1:8" s="570" customFormat="1" ht="15.6">
      <c r="A17" s="565">
        <v>10</v>
      </c>
      <c r="B17" s="566" t="s">
        <v>287</v>
      </c>
      <c r="C17" s="566" t="s">
        <v>426</v>
      </c>
      <c r="D17" s="565" t="s">
        <v>30</v>
      </c>
      <c r="E17" s="567">
        <v>1</v>
      </c>
      <c r="F17" s="568"/>
      <c r="G17" s="569">
        <f t="shared" si="0"/>
        <v>0</v>
      </c>
      <c r="H17" s="564" t="str">
        <f>VLOOKUP(B17,_klhd!C:C,1,0)</f>
        <v>Dây nhôm A70 (buộc sứ ống chỉ vào AC 70; 1,2m/tao/sứ)</v>
      </c>
    </row>
    <row r="18" spans="1:8" s="570" customFormat="1" ht="15.6">
      <c r="A18" s="565">
        <v>11</v>
      </c>
      <c r="B18" s="566" t="s">
        <v>220</v>
      </c>
      <c r="C18" s="566" t="s">
        <v>426</v>
      </c>
      <c r="D18" s="565" t="s">
        <v>190</v>
      </c>
      <c r="E18" s="567">
        <v>146</v>
      </c>
      <c r="F18" s="568"/>
      <c r="G18" s="569">
        <f t="shared" si="0"/>
        <v>0</v>
      </c>
      <c r="H18" s="564" t="str">
        <f>VLOOKUP(B18,_klhd!C:C,1,0)</f>
        <v>Sứ chằng lớn (90N): 01 cái/ bộ</v>
      </c>
    </row>
    <row r="19" spans="1:8" s="570" customFormat="1" ht="15.6">
      <c r="A19" s="565">
        <v>12</v>
      </c>
      <c r="B19" s="566" t="s">
        <v>249</v>
      </c>
      <c r="C19" s="566" t="s">
        <v>426</v>
      </c>
      <c r="D19" s="565" t="s">
        <v>190</v>
      </c>
      <c r="E19" s="567">
        <v>41</v>
      </c>
      <c r="F19" s="568"/>
      <c r="G19" s="569">
        <f t="shared" si="0"/>
        <v>0</v>
      </c>
      <c r="H19" s="564" t="str">
        <f>VLOOKUP(B19,_klhd!C:C,1,0)</f>
        <v>Sứ đứng 24KV ĐR540mm (không bọc chì)</v>
      </c>
    </row>
    <row r="20" spans="1:8" s="564" customFormat="1" ht="15.6">
      <c r="A20" s="565">
        <v>13</v>
      </c>
      <c r="B20" s="566" t="s">
        <v>242</v>
      </c>
      <c r="C20" s="566" t="s">
        <v>426</v>
      </c>
      <c r="D20" s="565" t="s">
        <v>190</v>
      </c>
      <c r="E20" s="567">
        <v>31</v>
      </c>
      <c r="F20" s="568"/>
      <c r="G20" s="569">
        <f t="shared" si="0"/>
        <v>0</v>
      </c>
      <c r="H20" s="564" t="str">
        <f>VLOOKUP(B20,_klhd!C:C,1,0)</f>
        <v>Sứ ống chỉ</v>
      </c>
    </row>
    <row r="21" spans="1:8" s="570" customFormat="1" ht="15.6">
      <c r="A21" s="565">
        <v>14</v>
      </c>
      <c r="B21" s="566" t="s">
        <v>258</v>
      </c>
      <c r="C21" s="566" t="s">
        <v>426</v>
      </c>
      <c r="D21" s="565" t="s">
        <v>259</v>
      </c>
      <c r="E21" s="567">
        <v>74</v>
      </c>
      <c r="F21" s="568"/>
      <c r="G21" s="569">
        <f t="shared" si="0"/>
        <v>0</v>
      </c>
      <c r="H21" s="564" t="str">
        <f>VLOOKUP(B21,_klhd!C:C,1,0)</f>
        <v>Sứ treo polymer 24kV</v>
      </c>
    </row>
    <row r="22" spans="1:8" s="570" customFormat="1" ht="15.6">
      <c r="A22" s="565">
        <v>15</v>
      </c>
      <c r="B22" s="566" t="s">
        <v>209</v>
      </c>
      <c r="C22" s="566" t="s">
        <v>426</v>
      </c>
      <c r="D22" s="565" t="s">
        <v>190</v>
      </c>
      <c r="E22" s="567">
        <v>10</v>
      </c>
      <c r="F22" s="568"/>
      <c r="G22" s="569">
        <f t="shared" si="0"/>
        <v>0</v>
      </c>
      <c r="H22" s="564" t="str">
        <f>VLOOKUP(B22,_klhd!C:C,1,0)</f>
        <v>Thanh chống composite 10x40x720</v>
      </c>
    </row>
    <row r="23" spans="1:8" s="570" customFormat="1" ht="15.6">
      <c r="A23" s="565">
        <v>16</v>
      </c>
      <c r="B23" s="566" t="s">
        <v>196</v>
      </c>
      <c r="C23" s="566" t="s">
        <v>426</v>
      </c>
      <c r="D23" s="565" t="s">
        <v>197</v>
      </c>
      <c r="E23" s="567">
        <v>19</v>
      </c>
      <c r="F23" s="568"/>
      <c r="G23" s="569">
        <f t="shared" si="0"/>
        <v>0</v>
      </c>
      <c r="H23" s="564" t="str">
        <f>VLOOKUP(B23,_klhd!C:C,1,0)</f>
        <v>Trụ BTLT 12m F540 dự ứng lực</v>
      </c>
    </row>
    <row r="24" spans="1:8" s="570" customFormat="1" ht="15.6">
      <c r="A24" s="565">
        <v>17</v>
      </c>
      <c r="B24" s="566" t="s">
        <v>241</v>
      </c>
      <c r="C24" s="566" t="s">
        <v>426</v>
      </c>
      <c r="D24" s="565" t="s">
        <v>212</v>
      </c>
      <c r="E24" s="567">
        <v>31</v>
      </c>
      <c r="F24" s="568"/>
      <c r="G24" s="569">
        <f t="shared" si="0"/>
        <v>0</v>
      </c>
      <c r="H24" s="564" t="str">
        <f>VLOOKUP(B24,_klhd!C:C,1,0)</f>
        <v>Uclevis - 3mm</v>
      </c>
    </row>
    <row r="25" spans="1:8" s="570" customFormat="1" ht="15.6">
      <c r="A25" s="571" t="s">
        <v>95</v>
      </c>
      <c r="B25" s="572" t="s">
        <v>346</v>
      </c>
      <c r="C25" s="566"/>
      <c r="D25" s="573"/>
      <c r="E25" s="574"/>
      <c r="F25" s="568"/>
      <c r="G25" s="569">
        <f t="shared" si="0"/>
        <v>0</v>
      </c>
      <c r="H25" s="564" t="str">
        <f>VLOOKUP(B25,_klhd!C:C,1,0)</f>
        <v>Phần vật tư nhà thầu cấp</v>
      </c>
    </row>
    <row r="26" spans="1:8" s="570" customFormat="1" ht="31.2">
      <c r="A26" s="565">
        <v>1</v>
      </c>
      <c r="B26" s="566" t="s">
        <v>278</v>
      </c>
      <c r="C26" s="575" t="s">
        <v>427</v>
      </c>
      <c r="D26" s="565" t="s">
        <v>212</v>
      </c>
      <c r="E26" s="567">
        <v>6</v>
      </c>
      <c r="F26" s="568">
        <v>52000</v>
      </c>
      <c r="G26" s="569">
        <f t="shared" si="0"/>
        <v>312000</v>
      </c>
      <c r="H26" s="564" t="str">
        <f>VLOOKUP(B26,_klhd!C:C,1,0)</f>
        <v>Bass LI bắt FCO</v>
      </c>
    </row>
    <row r="27" spans="1:8" s="570" customFormat="1" ht="31.2">
      <c r="A27" s="565">
        <v>2</v>
      </c>
      <c r="B27" s="566" t="s">
        <v>279</v>
      </c>
      <c r="C27" s="575" t="s">
        <v>427</v>
      </c>
      <c r="D27" s="565" t="s">
        <v>212</v>
      </c>
      <c r="E27" s="567">
        <v>4</v>
      </c>
      <c r="F27" s="568">
        <f>F26</f>
        <v>52000</v>
      </c>
      <c r="G27" s="569">
        <f t="shared" si="0"/>
        <v>208000</v>
      </c>
      <c r="H27" s="564" t="str">
        <f>VLOOKUP(B27,_klhd!C:C,1,0)</f>
        <v>Bass LL bắt FCO &amp; LA</v>
      </c>
    </row>
    <row r="28" spans="1:8" s="570" customFormat="1" ht="31.2">
      <c r="A28" s="565">
        <v>3</v>
      </c>
      <c r="B28" s="575" t="s">
        <v>227</v>
      </c>
      <c r="C28" s="575" t="s">
        <v>427</v>
      </c>
      <c r="D28" s="565" t="s">
        <v>212</v>
      </c>
      <c r="E28" s="567">
        <v>32</v>
      </c>
      <c r="F28" s="568">
        <v>320000</v>
      </c>
      <c r="G28" s="569">
        <f t="shared" si="0"/>
        <v>10240000</v>
      </c>
      <c r="H28" s="564" t="str">
        <f>VLOOKUP(B28,_klhd!C:C,1,0)</f>
        <v>Bộ chống chằng hẹp Φ60/50x1500+2BL12x40+BL16x250/80</v>
      </c>
    </row>
    <row r="29" spans="1:8" s="564" customFormat="1" ht="31.2">
      <c r="A29" s="565">
        <v>4</v>
      </c>
      <c r="B29" s="566" t="s">
        <v>214</v>
      </c>
      <c r="C29" s="575" t="s">
        <v>427</v>
      </c>
      <c r="D29" s="565" t="s">
        <v>212</v>
      </c>
      <c r="E29" s="567">
        <v>10</v>
      </c>
      <c r="F29" s="568">
        <v>15200</v>
      </c>
      <c r="G29" s="569">
        <f t="shared" si="0"/>
        <v>152000</v>
      </c>
      <c r="H29" s="564" t="str">
        <f>VLOOKUP(B29,_klhd!C:C,1,0)</f>
        <v>Boulon 14x120+ 2 long đền vuông D16-50x50x3/Zn</v>
      </c>
    </row>
    <row r="30" spans="1:8" s="570" customFormat="1" ht="31.2">
      <c r="A30" s="565">
        <v>5</v>
      </c>
      <c r="B30" s="566" t="s">
        <v>213</v>
      </c>
      <c r="C30" s="575" t="s">
        <v>427</v>
      </c>
      <c r="D30" s="565" t="s">
        <v>212</v>
      </c>
      <c r="E30" s="567">
        <v>141</v>
      </c>
      <c r="F30" s="568">
        <v>20900</v>
      </c>
      <c r="G30" s="569">
        <f t="shared" si="0"/>
        <v>2946900</v>
      </c>
      <c r="H30" s="564" t="str">
        <f>VLOOKUP(B30,_klhd!C:C,1,0)</f>
        <v>Boulon 16x250 + 02 long đền vuông D18-50x50x3/Zn</v>
      </c>
    </row>
    <row r="31" spans="1:8" s="570" customFormat="1" ht="31.2">
      <c r="A31" s="565">
        <v>6</v>
      </c>
      <c r="B31" s="566" t="s">
        <v>253</v>
      </c>
      <c r="C31" s="575" t="s">
        <v>427</v>
      </c>
      <c r="D31" s="565" t="s">
        <v>212</v>
      </c>
      <c r="E31" s="567">
        <v>172</v>
      </c>
      <c r="F31" s="568">
        <v>23750</v>
      </c>
      <c r="G31" s="569">
        <f t="shared" si="0"/>
        <v>4085000</v>
      </c>
      <c r="H31" s="564" t="str">
        <f>VLOOKUP(B31,_klhd!C:C,1,0)</f>
        <v>Boulon 16x300 + 02 long đền vuông D18-50x50x3/Zn</v>
      </c>
    </row>
    <row r="32" spans="1:8" s="570" customFormat="1" ht="31.2">
      <c r="A32" s="565">
        <v>7</v>
      </c>
      <c r="B32" s="566" t="s">
        <v>211</v>
      </c>
      <c r="C32" s="575" t="s">
        <v>427</v>
      </c>
      <c r="D32" s="565" t="s">
        <v>212</v>
      </c>
      <c r="E32" s="567">
        <v>10</v>
      </c>
      <c r="F32" s="568">
        <v>26600</v>
      </c>
      <c r="G32" s="569">
        <f t="shared" si="0"/>
        <v>266000</v>
      </c>
      <c r="H32" s="564" t="str">
        <f>VLOOKUP(B32,_klhd!C:C,1,0)</f>
        <v>Boulon 16x350+ 2 long đền vuông D18-50x50x3/Zn</v>
      </c>
    </row>
    <row r="33" spans="1:8" s="570" customFormat="1" ht="31.2">
      <c r="A33" s="565">
        <v>8</v>
      </c>
      <c r="B33" s="575" t="s">
        <v>204</v>
      </c>
      <c r="C33" s="575" t="s">
        <v>427</v>
      </c>
      <c r="D33" s="565" t="s">
        <v>190</v>
      </c>
      <c r="E33" s="567">
        <v>104</v>
      </c>
      <c r="F33" s="568">
        <v>25600</v>
      </c>
      <c r="G33" s="569">
        <f t="shared" si="0"/>
        <v>2662400</v>
      </c>
      <c r="H33" s="564" t="str">
        <f>VLOOKUP(B33,_klhd!C:C,1,0)</f>
        <v>Boulon D16x300VRS + 02 long đền vuông D18-50x50x3/Zn: (02 cái/ bộ)</v>
      </c>
    </row>
    <row r="34" spans="1:8" s="570" customFormat="1" ht="31.2">
      <c r="A34" s="565">
        <v>9</v>
      </c>
      <c r="B34" s="575" t="s">
        <v>203</v>
      </c>
      <c r="C34" s="575" t="s">
        <v>427</v>
      </c>
      <c r="D34" s="565" t="s">
        <v>190</v>
      </c>
      <c r="E34" s="567">
        <v>104</v>
      </c>
      <c r="F34" s="568">
        <v>17100</v>
      </c>
      <c r="G34" s="569">
        <f t="shared" si="0"/>
        <v>1778400</v>
      </c>
      <c r="H34" s="564" t="str">
        <f>VLOOKUP(B34,_klhd!C:C,1,0)</f>
        <v>Boulon D16x50 + 02 long đền vuông D18-50x50x3/Zn: (02 cái/ bộ)</v>
      </c>
    </row>
    <row r="35" spans="1:8" s="564" customFormat="1" ht="31.2">
      <c r="A35" s="565">
        <v>10</v>
      </c>
      <c r="B35" s="575" t="s">
        <v>222</v>
      </c>
      <c r="C35" s="575" t="s">
        <v>427</v>
      </c>
      <c r="D35" s="565" t="s">
        <v>212</v>
      </c>
      <c r="E35" s="567">
        <v>219</v>
      </c>
      <c r="F35" s="568">
        <v>28500</v>
      </c>
      <c r="G35" s="569">
        <f t="shared" si="0"/>
        <v>6241500</v>
      </c>
      <c r="H35" s="564" t="str">
        <f>VLOOKUP(B35,_klhd!C:C,1,0)</f>
        <v>Boulon mắt 16x250 + 01 long đền vuông D18-50x50x3/Zn</v>
      </c>
    </row>
    <row r="36" spans="1:8" s="570" customFormat="1" ht="31.2">
      <c r="A36" s="565">
        <v>11</v>
      </c>
      <c r="B36" s="566" t="s">
        <v>246</v>
      </c>
      <c r="C36" s="575" t="s">
        <v>427</v>
      </c>
      <c r="D36" s="565" t="s">
        <v>212</v>
      </c>
      <c r="E36" s="567">
        <v>74</v>
      </c>
      <c r="F36" s="568">
        <v>33200</v>
      </c>
      <c r="G36" s="569">
        <f t="shared" si="0"/>
        <v>2456800</v>
      </c>
      <c r="H36" s="564" t="str">
        <f>VLOOKUP(B36,_klhd!C:C,1,0)</f>
        <v>Boulon mắt 16x300 + 1 long đền vuông D18-50x50x3/Zn</v>
      </c>
    </row>
    <row r="37" spans="1:8" s="570" customFormat="1" ht="31.2">
      <c r="A37" s="565">
        <v>12</v>
      </c>
      <c r="B37" s="566" t="s">
        <v>275</v>
      </c>
      <c r="C37" s="575" t="s">
        <v>427</v>
      </c>
      <c r="D37" s="565" t="s">
        <v>190</v>
      </c>
      <c r="E37" s="567">
        <v>10</v>
      </c>
      <c r="F37" s="568">
        <v>237500</v>
      </c>
      <c r="G37" s="569">
        <f t="shared" si="0"/>
        <v>2375000</v>
      </c>
      <c r="H37" s="564" t="str">
        <f>VLOOKUP(B37,_klhd!C:C,1,0)</f>
        <v>Chụp FCO (Trên + Dưới)</v>
      </c>
    </row>
    <row r="38" spans="1:8" s="570" customFormat="1" ht="31.2">
      <c r="A38" s="565">
        <v>13</v>
      </c>
      <c r="B38" s="566" t="s">
        <v>273</v>
      </c>
      <c r="C38" s="575" t="s">
        <v>427</v>
      </c>
      <c r="D38" s="565" t="s">
        <v>190</v>
      </c>
      <c r="E38" s="567">
        <v>33</v>
      </c>
      <c r="F38" s="568">
        <v>95000</v>
      </c>
      <c r="G38" s="569">
        <f t="shared" si="0"/>
        <v>3135000</v>
      </c>
      <c r="H38" s="564" t="str">
        <f>VLOOKUP(B38,_klhd!C:C,1,0)</f>
        <v>Chụp kẹp quai hotline</v>
      </c>
    </row>
    <row r="39" spans="1:8" s="570" customFormat="1" ht="31.2">
      <c r="A39" s="565">
        <v>14</v>
      </c>
      <c r="B39" s="566" t="s">
        <v>276</v>
      </c>
      <c r="C39" s="575" t="s">
        <v>427</v>
      </c>
      <c r="D39" s="565" t="s">
        <v>190</v>
      </c>
      <c r="E39" s="567">
        <v>5</v>
      </c>
      <c r="F39" s="568">
        <v>76000</v>
      </c>
      <c r="G39" s="569">
        <f t="shared" si="0"/>
        <v>380000</v>
      </c>
      <c r="H39" s="564" t="str">
        <f>VLOOKUP(B39,_klhd!C:C,1,0)</f>
        <v>Chụp LA</v>
      </c>
    </row>
    <row r="40" spans="1:8" s="570" customFormat="1" ht="31.2">
      <c r="A40" s="565">
        <v>15</v>
      </c>
      <c r="B40" s="566" t="s">
        <v>187</v>
      </c>
      <c r="C40" s="575" t="s">
        <v>427</v>
      </c>
      <c r="D40" s="565" t="s">
        <v>188</v>
      </c>
      <c r="E40" s="567">
        <v>33</v>
      </c>
      <c r="F40" s="568">
        <v>123500</v>
      </c>
      <c r="G40" s="569">
        <f t="shared" si="0"/>
        <v>4075500</v>
      </c>
      <c r="H40" s="564" t="str">
        <f>VLOOKUP(B40,_klhd!C:C,1,0)</f>
        <v>Cọc tiếp địa mạ đồng 16x2400</v>
      </c>
    </row>
    <row r="41" spans="1:8" s="570" customFormat="1" ht="31.2">
      <c r="A41" s="565">
        <v>16</v>
      </c>
      <c r="B41" s="566" t="s">
        <v>282</v>
      </c>
      <c r="C41" s="575" t="s">
        <v>427</v>
      </c>
      <c r="D41" s="565" t="s">
        <v>190</v>
      </c>
      <c r="E41" s="567">
        <v>172</v>
      </c>
      <c r="F41" s="568">
        <v>120000</v>
      </c>
      <c r="G41" s="569">
        <f t="shared" si="0"/>
        <v>20640000</v>
      </c>
      <c r="H41" s="564" t="str">
        <f>VLOOKUP(B41,_klhd!C:C,1,0)</f>
        <v>Dây buộc cổ sứ đỡ góc vào dây ACX50mm2</v>
      </c>
    </row>
    <row r="42" spans="1:8" s="570" customFormat="1" ht="31.2">
      <c r="A42" s="565">
        <v>17</v>
      </c>
      <c r="B42" s="566" t="s">
        <v>280</v>
      </c>
      <c r="C42" s="575" t="s">
        <v>427</v>
      </c>
      <c r="D42" s="565" t="s">
        <v>190</v>
      </c>
      <c r="E42" s="567">
        <v>106</v>
      </c>
      <c r="F42" s="568">
        <v>240000</v>
      </c>
      <c r="G42" s="569">
        <f t="shared" si="0"/>
        <v>25440000</v>
      </c>
      <c r="H42" s="564" t="str">
        <f>VLOOKUP(B42,_klhd!C:C,1,0)</f>
        <v>Dây buộc cổ sứ đỡ thẳng vào dây ACX50mm2</v>
      </c>
    </row>
    <row r="43" spans="1:8" s="570" customFormat="1" ht="31.2">
      <c r="A43" s="565">
        <v>18</v>
      </c>
      <c r="B43" s="575" t="s">
        <v>263</v>
      </c>
      <c r="C43" s="575" t="s">
        <v>427</v>
      </c>
      <c r="D43" s="565" t="s">
        <v>212</v>
      </c>
      <c r="E43" s="567">
        <v>74</v>
      </c>
      <c r="F43" s="568">
        <v>210000</v>
      </c>
      <c r="G43" s="569">
        <f t="shared" si="0"/>
        <v>15540000</v>
      </c>
      <c r="H43" s="564" t="str">
        <f>VLOOKUP(B43,_klhd!C:C,1,0)</f>
        <v>Giáp níu dừng dây bọc trung thế ACX50mm2 + Yếm móng U giáp níu</v>
      </c>
    </row>
    <row r="44" spans="1:8" s="570" customFormat="1" ht="31.2">
      <c r="A44" s="565">
        <v>19</v>
      </c>
      <c r="B44" s="566" t="s">
        <v>271</v>
      </c>
      <c r="C44" s="575" t="s">
        <v>427</v>
      </c>
      <c r="D44" s="565" t="s">
        <v>190</v>
      </c>
      <c r="E44" s="567">
        <v>16</v>
      </c>
      <c r="F44" s="568">
        <v>57000</v>
      </c>
      <c r="G44" s="569">
        <f t="shared" si="0"/>
        <v>912000</v>
      </c>
      <c r="H44" s="564" t="str">
        <f>VLOOKUP(B44,_klhd!C:C,1,0)</f>
        <v>Hotline clamp mạ Sn 2/0</v>
      </c>
    </row>
    <row r="45" spans="1:8" s="570" customFormat="1" ht="31.2">
      <c r="A45" s="565">
        <v>20</v>
      </c>
      <c r="B45" s="566" t="s">
        <v>272</v>
      </c>
      <c r="C45" s="575" t="s">
        <v>427</v>
      </c>
      <c r="D45" s="565" t="s">
        <v>190</v>
      </c>
      <c r="E45" s="567">
        <v>8</v>
      </c>
      <c r="F45" s="568">
        <v>80000</v>
      </c>
      <c r="G45" s="569">
        <f t="shared" si="0"/>
        <v>640000</v>
      </c>
      <c r="H45" s="564" t="str">
        <f>VLOOKUP(B45,_klhd!C:C,1,0)</f>
        <v>Hotline clamp mạ Sn 4/0</v>
      </c>
    </row>
    <row r="46" spans="1:8" s="570" customFormat="1" ht="31.2">
      <c r="A46" s="565">
        <v>21</v>
      </c>
      <c r="B46" s="566" t="s">
        <v>221</v>
      </c>
      <c r="C46" s="575" t="s">
        <v>427</v>
      </c>
      <c r="D46" s="565" t="s">
        <v>190</v>
      </c>
      <c r="E46" s="567">
        <v>1168</v>
      </c>
      <c r="F46" s="568">
        <v>32000</v>
      </c>
      <c r="G46" s="569">
        <f t="shared" si="0"/>
        <v>37376000</v>
      </c>
      <c r="H46" s="564" t="str">
        <f>VLOOKUP(B46,_klhd!C:C,1,0)</f>
        <v>Kẹp chằng 3 boulon 5/8"/Zn (B46x130): 08 cái/ bộ</v>
      </c>
    </row>
    <row r="47" spans="1:8" s="570" customFormat="1" ht="31.2">
      <c r="A47" s="565">
        <v>22</v>
      </c>
      <c r="B47" s="566" t="s">
        <v>192</v>
      </c>
      <c r="C47" s="575" t="s">
        <v>427</v>
      </c>
      <c r="D47" s="565" t="s">
        <v>190</v>
      </c>
      <c r="E47" s="567">
        <v>33</v>
      </c>
      <c r="F47" s="568">
        <v>14200</v>
      </c>
      <c r="G47" s="569">
        <f t="shared" si="0"/>
        <v>468600</v>
      </c>
      <c r="H47" s="564" t="str">
        <f>VLOOKUP(B47,_klhd!C:C,1,0)</f>
        <v>Kẹp cọc tiếp địa Cu</v>
      </c>
    </row>
    <row r="48" spans="1:8" s="570" customFormat="1" ht="31.2">
      <c r="A48" s="565">
        <v>23</v>
      </c>
      <c r="B48" s="566" t="s">
        <v>245</v>
      </c>
      <c r="C48" s="575" t="s">
        <v>427</v>
      </c>
      <c r="D48" s="565" t="s">
        <v>190</v>
      </c>
      <c r="E48" s="567">
        <v>74</v>
      </c>
      <c r="F48" s="568">
        <v>76000</v>
      </c>
      <c r="G48" s="569">
        <f t="shared" si="0"/>
        <v>5624000</v>
      </c>
      <c r="H48" s="564" t="str">
        <f>VLOOKUP(B48,_klhd!C:C,1,0)</f>
        <v>Kẹp dừng dây 3U-4mm (50-70mm2)</v>
      </c>
    </row>
    <row r="49" spans="1:8" s="570" customFormat="1" ht="31.2">
      <c r="A49" s="565">
        <v>24</v>
      </c>
      <c r="B49" s="566" t="s">
        <v>189</v>
      </c>
      <c r="C49" s="575" t="s">
        <v>427</v>
      </c>
      <c r="D49" s="565" t="s">
        <v>190</v>
      </c>
      <c r="E49" s="567">
        <v>70</v>
      </c>
      <c r="F49" s="568">
        <v>28500</v>
      </c>
      <c r="G49" s="569">
        <f t="shared" si="0"/>
        <v>1995000</v>
      </c>
      <c r="H49" s="564" t="str">
        <f>VLOOKUP(B49,_klhd!C:C,1,0)</f>
        <v>Kẹp ép WR 279</v>
      </c>
    </row>
    <row r="50" spans="1:8" s="570" customFormat="1" ht="31.2">
      <c r="A50" s="565">
        <v>25</v>
      </c>
      <c r="B50" s="566" t="s">
        <v>265</v>
      </c>
      <c r="C50" s="575" t="s">
        <v>427</v>
      </c>
      <c r="D50" s="565" t="s">
        <v>190</v>
      </c>
      <c r="E50" s="567">
        <v>4</v>
      </c>
      <c r="F50" s="568">
        <v>33200</v>
      </c>
      <c r="G50" s="569">
        <f t="shared" si="0"/>
        <v>132800</v>
      </c>
      <c r="H50" s="564" t="str">
        <f>VLOOKUP(B50,_klhd!C:C,1,0)</f>
        <v>Kẹp ép WR 419 (120/120)</v>
      </c>
    </row>
    <row r="51" spans="1:8" s="570" customFormat="1" ht="31.2">
      <c r="A51" s="565">
        <v>26</v>
      </c>
      <c r="B51" s="566" t="s">
        <v>269</v>
      </c>
      <c r="C51" s="575" t="s">
        <v>427</v>
      </c>
      <c r="D51" s="565" t="s">
        <v>212</v>
      </c>
      <c r="E51" s="567">
        <v>35</v>
      </c>
      <c r="F51" s="568">
        <v>142500</v>
      </c>
      <c r="G51" s="569">
        <f t="shared" si="0"/>
        <v>4987500</v>
      </c>
      <c r="H51" s="564" t="str">
        <f>VLOOKUP(B51,_klhd!C:C,1,0)</f>
        <v>Kẹp quai Al-Cu 8 ly (4/0)</v>
      </c>
    </row>
    <row r="52" spans="1:8" s="570" customFormat="1" ht="31.2">
      <c r="A52" s="565">
        <v>27</v>
      </c>
      <c r="B52" s="566" t="s">
        <v>224</v>
      </c>
      <c r="C52" s="575" t="s">
        <v>427</v>
      </c>
      <c r="D52" s="565" t="s">
        <v>190</v>
      </c>
      <c r="E52" s="567">
        <v>143</v>
      </c>
      <c r="F52" s="568">
        <v>45000</v>
      </c>
      <c r="G52" s="569">
        <f t="shared" si="0"/>
        <v>6435000</v>
      </c>
      <c r="H52" s="564" t="str">
        <f>VLOOKUP(B52,_klhd!C:C,1,0)</f>
        <v>Máng che dây chằng 0,8x2000: 01 cái/ bộ</v>
      </c>
    </row>
    <row r="53" spans="1:8" s="570" customFormat="1" ht="31.2">
      <c r="A53" s="565">
        <v>28</v>
      </c>
      <c r="B53" s="566" t="s">
        <v>261</v>
      </c>
      <c r="C53" s="575" t="s">
        <v>427</v>
      </c>
      <c r="D53" s="565" t="s">
        <v>190</v>
      </c>
      <c r="E53" s="567">
        <v>74</v>
      </c>
      <c r="F53" s="568">
        <v>23700</v>
      </c>
      <c r="G53" s="569">
        <f t="shared" si="0"/>
        <v>1753800</v>
      </c>
      <c r="H53" s="564" t="str">
        <f>VLOOKUP(B53,_klhd!C:C,1,0)</f>
        <v>Móc treo chữ U Ø16: dài 100</v>
      </c>
    </row>
    <row r="54" spans="1:8" s="570" customFormat="1" ht="31.2">
      <c r="A54" s="565">
        <v>29</v>
      </c>
      <c r="B54" s="566" t="s">
        <v>233</v>
      </c>
      <c r="C54" s="575" t="s">
        <v>427</v>
      </c>
      <c r="D54" s="565" t="s">
        <v>190</v>
      </c>
      <c r="E54" s="567">
        <v>5</v>
      </c>
      <c r="F54" s="568">
        <v>76000</v>
      </c>
      <c r="G54" s="569">
        <f t="shared" si="0"/>
        <v>380000</v>
      </c>
      <c r="H54" s="564" t="str">
        <f>VLOOKUP(B54,_klhd!C:C,1,0)</f>
        <v>Neo xòe 8H-135inch2 + đĩa sen (sơn đen)</v>
      </c>
    </row>
    <row r="55" spans="1:8" s="570" customFormat="1" ht="31.2">
      <c r="A55" s="565">
        <v>30</v>
      </c>
      <c r="B55" s="566" t="s">
        <v>191</v>
      </c>
      <c r="C55" s="575" t="s">
        <v>427</v>
      </c>
      <c r="D55" s="565" t="s">
        <v>190</v>
      </c>
      <c r="E55" s="567">
        <v>66</v>
      </c>
      <c r="F55" s="568">
        <v>23700</v>
      </c>
      <c r="G55" s="569">
        <f t="shared" si="0"/>
        <v>1564200</v>
      </c>
      <c r="H55" s="564" t="str">
        <f>VLOOKUP(B55,_klhd!C:C,1,0)</f>
        <v>Ốc siết cáp 38mm2</v>
      </c>
    </row>
    <row r="56" spans="1:8" s="570" customFormat="1" ht="31.2">
      <c r="A56" s="565">
        <v>31</v>
      </c>
      <c r="B56" s="575" t="s">
        <v>286</v>
      </c>
      <c r="C56" s="575" t="s">
        <v>427</v>
      </c>
      <c r="D56" s="565" t="s">
        <v>219</v>
      </c>
      <c r="E56" s="567">
        <v>41</v>
      </c>
      <c r="F56" s="568">
        <v>120000</v>
      </c>
      <c r="G56" s="569">
        <f t="shared" si="0"/>
        <v>4920000</v>
      </c>
      <c r="H56" s="564" t="str">
        <f>VLOOKUP(B56,_klhd!C:C,1,0)</f>
        <v>Ống co nhiệt cách điện loại Ф 50/25 độ dày &gt;1mm</v>
      </c>
    </row>
    <row r="57" spans="1:8" s="570" customFormat="1" ht="31.2">
      <c r="A57" s="565">
        <v>32</v>
      </c>
      <c r="B57" s="566" t="s">
        <v>363</v>
      </c>
      <c r="C57" s="575" t="s">
        <v>427</v>
      </c>
      <c r="D57" s="565" t="s">
        <v>284</v>
      </c>
      <c r="E57" s="567">
        <v>41</v>
      </c>
      <c r="F57" s="568">
        <v>28500</v>
      </c>
      <c r="G57" s="569">
        <f t="shared" si="0"/>
        <v>1168500</v>
      </c>
      <c r="H57" s="564" t="str">
        <f>VLOOKUP(B57,_klhd!C:C,1,0)</f>
        <v>Ống nối dây AC50mm2 (không có lõi thép)</v>
      </c>
    </row>
    <row r="58" spans="1:8" s="570" customFormat="1" ht="31.2">
      <c r="A58" s="565">
        <v>33</v>
      </c>
      <c r="B58" s="566" t="s">
        <v>365</v>
      </c>
      <c r="C58" s="575" t="s">
        <v>427</v>
      </c>
      <c r="D58" s="565" t="s">
        <v>284</v>
      </c>
      <c r="E58" s="567">
        <v>1</v>
      </c>
      <c r="F58" s="568">
        <v>33200</v>
      </c>
      <c r="G58" s="569">
        <f t="shared" si="0"/>
        <v>33200</v>
      </c>
      <c r="H58" s="564" t="str">
        <f>VLOOKUP(B58,_klhd!C:C,1,0)</f>
        <v>Ống nối dây AC95mm2 (không có lõi thép)</v>
      </c>
    </row>
    <row r="59" spans="1:8" s="570" customFormat="1" ht="31.2">
      <c r="A59" s="565">
        <v>34</v>
      </c>
      <c r="B59" s="566" t="s">
        <v>289</v>
      </c>
      <c r="C59" s="575" t="s">
        <v>427</v>
      </c>
      <c r="D59" s="565" t="s">
        <v>290</v>
      </c>
      <c r="E59" s="567">
        <v>1</v>
      </c>
      <c r="F59" s="568">
        <v>130000</v>
      </c>
      <c r="G59" s="569">
        <f t="shared" si="0"/>
        <v>130000</v>
      </c>
      <c r="H59" s="564" t="str">
        <f>VLOOKUP(B59,_klhd!C:C,1,0)</f>
        <v>Sơn đen (sơn chữ): 400ml (1bình/15 trụ)</v>
      </c>
    </row>
    <row r="60" spans="1:8" s="570" customFormat="1" ht="31.2">
      <c r="A60" s="565">
        <v>35</v>
      </c>
      <c r="B60" s="566" t="s">
        <v>288</v>
      </c>
      <c r="C60" s="575" t="s">
        <v>427</v>
      </c>
      <c r="D60" s="565" t="s">
        <v>30</v>
      </c>
      <c r="E60" s="567">
        <v>1</v>
      </c>
      <c r="F60" s="568">
        <f>F59</f>
        <v>130000</v>
      </c>
      <c r="G60" s="569">
        <f t="shared" si="0"/>
        <v>130000</v>
      </c>
      <c r="H60" s="564" t="str">
        <f>VLOOKUP(B60,_klhd!C:C,1,0)</f>
        <v>Sơn trắng (sơn nền):1kg/20 trụ</v>
      </c>
    </row>
    <row r="61" spans="1:8" s="570" customFormat="1" ht="31.2">
      <c r="A61" s="565">
        <v>36</v>
      </c>
      <c r="B61" s="566" t="s">
        <v>232</v>
      </c>
      <c r="C61" s="575" t="s">
        <v>427</v>
      </c>
      <c r="D61" s="565" t="s">
        <v>190</v>
      </c>
      <c r="E61" s="567">
        <v>5</v>
      </c>
      <c r="F61" s="568">
        <v>260000</v>
      </c>
      <c r="G61" s="569">
        <f t="shared" si="0"/>
        <v>1300000</v>
      </c>
      <c r="H61" s="564" t="str">
        <f>VLOOKUP(B61,_klhd!C:C,1,0)</f>
        <v>Ty neo Ø22x2400</v>
      </c>
    </row>
    <row r="62" spans="1:8" s="570" customFormat="1" ht="31.2">
      <c r="A62" s="565">
        <v>37</v>
      </c>
      <c r="B62" s="575" t="s">
        <v>223</v>
      </c>
      <c r="C62" s="575" t="s">
        <v>427</v>
      </c>
      <c r="D62" s="565" t="s">
        <v>190</v>
      </c>
      <c r="E62" s="567">
        <v>292</v>
      </c>
      <c r="F62" s="568">
        <v>9500</v>
      </c>
      <c r="G62" s="569">
        <f t="shared" si="0"/>
        <v>2774000</v>
      </c>
      <c r="H62" s="564" t="str">
        <f>VLOOKUP(B62,_klhd!C:C,1,0)</f>
        <v>Yếm đỡ dây chằng Ø1/2" mạ kẽm - dày 2mm đỡ dây chằng 5/8: 02 cái / bộ</v>
      </c>
    </row>
    <row r="63" spans="1:8" s="570" customFormat="1" ht="15.6">
      <c r="A63" s="571" t="s">
        <v>95</v>
      </c>
      <c r="B63" s="576" t="s">
        <v>371</v>
      </c>
      <c r="C63" s="566"/>
      <c r="D63" s="573"/>
      <c r="E63" s="574"/>
      <c r="F63" s="568"/>
      <c r="G63" s="569"/>
      <c r="H63" s="564" t="str">
        <f>VLOOKUP(B63,_klhd!C:C,1,0)</f>
        <v>Phần nhân công, máy thi công</v>
      </c>
    </row>
    <row r="64" spans="1:8" s="570" customFormat="1" ht="31.2">
      <c r="A64" s="565">
        <v>1</v>
      </c>
      <c r="B64" s="575" t="s">
        <v>292</v>
      </c>
      <c r="C64" s="566" t="s">
        <v>428</v>
      </c>
      <c r="D64" s="565" t="s">
        <v>293</v>
      </c>
      <c r="E64" s="567">
        <v>5.5</v>
      </c>
      <c r="F64" s="568">
        <v>300000</v>
      </c>
      <c r="G64" s="569">
        <f t="shared" si="0"/>
        <v>1650000</v>
      </c>
      <c r="H64" s="564" t="str">
        <f>VLOOKUP(B64,_klhd!C:C,1,0)</f>
        <v>Đào đất cấp III : 0,226m3/móng M12; 0,25m3/móng neo xuống; 0,25m3/móng neo lệch.</v>
      </c>
    </row>
    <row r="65" spans="1:8" s="570" customFormat="1" ht="31.2">
      <c r="A65" s="565">
        <v>2</v>
      </c>
      <c r="B65" s="575" t="s">
        <v>294</v>
      </c>
      <c r="C65" s="566" t="s">
        <v>428</v>
      </c>
      <c r="D65" s="565" t="s">
        <v>293</v>
      </c>
      <c r="E65" s="567">
        <v>4.7</v>
      </c>
      <c r="F65" s="568">
        <v>200000</v>
      </c>
      <c r="G65" s="569">
        <f t="shared" si="0"/>
        <v>940000</v>
      </c>
      <c r="H65" s="564" t="str">
        <f>VLOOKUP(B65,_klhd!C:C,1,0)</f>
        <v>Đắp đất k=0,9 : 0,18m3/móng M12; 0,25m3/móng neo xuống; 0,25m3/móng neo lệch.</v>
      </c>
    </row>
    <row r="66" spans="1:8" s="570" customFormat="1" ht="15.6">
      <c r="A66" s="565">
        <v>3</v>
      </c>
      <c r="B66" s="566" t="s">
        <v>295</v>
      </c>
      <c r="C66" s="566" t="s">
        <v>428</v>
      </c>
      <c r="D66" s="565" t="s">
        <v>188</v>
      </c>
      <c r="E66" s="567">
        <v>33</v>
      </c>
      <c r="F66" s="568">
        <v>25000</v>
      </c>
      <c r="G66" s="569">
        <f t="shared" si="0"/>
        <v>825000</v>
      </c>
      <c r="H66" s="564" t="str">
        <f>VLOOKUP(B66,_klhd!C:C,1,0)</f>
        <v>Đóng trực tiếp cọc tiếp địa xuống đất</v>
      </c>
    </row>
    <row r="67" spans="1:8" s="570" customFormat="1" ht="15.6">
      <c r="A67" s="565">
        <v>4</v>
      </c>
      <c r="B67" s="566" t="s">
        <v>296</v>
      </c>
      <c r="C67" s="566" t="s">
        <v>428</v>
      </c>
      <c r="D67" s="565" t="s">
        <v>197</v>
      </c>
      <c r="E67" s="567">
        <v>19</v>
      </c>
      <c r="F67" s="568">
        <v>1700000</v>
      </c>
      <c r="G67" s="569">
        <f t="shared" si="0"/>
        <v>32300000</v>
      </c>
      <c r="H67" s="564" t="str">
        <f>VLOOKUP(B67,_klhd!C:C,1,0)</f>
        <v>Thay trụ ≤12m : bằng cẩu + thủ công</v>
      </c>
    </row>
    <row r="68" spans="1:8" s="570" customFormat="1" ht="15.6">
      <c r="A68" s="565">
        <v>5</v>
      </c>
      <c r="B68" s="566" t="s">
        <v>297</v>
      </c>
      <c r="C68" s="566" t="s">
        <v>428</v>
      </c>
      <c r="D68" s="565" t="s">
        <v>212</v>
      </c>
      <c r="E68" s="567">
        <v>141</v>
      </c>
      <c r="F68" s="568">
        <v>160000</v>
      </c>
      <c r="G68" s="569">
        <f t="shared" si="0"/>
        <v>22560000</v>
      </c>
      <c r="H68" s="564" t="str">
        <f>VLOOKUP(B68,_klhd!C:C,1,0)</f>
        <v>Tháo bộ dây chằng</v>
      </c>
    </row>
    <row r="69" spans="1:8" s="570" customFormat="1" ht="15.6">
      <c r="A69" s="565">
        <v>6</v>
      </c>
      <c r="B69" s="566" t="s">
        <v>298</v>
      </c>
      <c r="C69" s="566" t="s">
        <v>428</v>
      </c>
      <c r="D69" s="565" t="s">
        <v>212</v>
      </c>
      <c r="E69" s="567">
        <v>146</v>
      </c>
      <c r="F69" s="568">
        <f>F68</f>
        <v>160000</v>
      </c>
      <c r="G69" s="569">
        <f t="shared" si="0"/>
        <v>23360000</v>
      </c>
      <c r="H69" s="564" t="str">
        <f>VLOOKUP(B69,_klhd!C:C,1,0)</f>
        <v>Lắp bộ dây chằng</v>
      </c>
    </row>
    <row r="70" spans="1:8" s="570" customFormat="1" ht="15.6">
      <c r="A70" s="565">
        <v>7</v>
      </c>
      <c r="B70" s="566" t="s">
        <v>299</v>
      </c>
      <c r="C70" s="566" t="s">
        <v>428</v>
      </c>
      <c r="D70" s="565" t="s">
        <v>212</v>
      </c>
      <c r="E70" s="567">
        <v>52</v>
      </c>
      <c r="F70" s="568">
        <v>475000</v>
      </c>
      <c r="G70" s="569">
        <f t="shared" si="0"/>
        <v>24700000</v>
      </c>
      <c r="H70" s="564" t="str">
        <f>VLOOKUP(B70,_klhd!C:C,1,0)</f>
        <v>Lắp xà thép U160x64x5 - 2200mm đơn (35,9kg)</v>
      </c>
    </row>
    <row r="71" spans="1:8" s="570" customFormat="1" ht="15.6">
      <c r="A71" s="565">
        <v>8</v>
      </c>
      <c r="B71" s="566" t="s">
        <v>300</v>
      </c>
      <c r="C71" s="566" t="s">
        <v>428</v>
      </c>
      <c r="D71" s="565" t="s">
        <v>212</v>
      </c>
      <c r="E71" s="567">
        <v>243</v>
      </c>
      <c r="F71" s="568">
        <v>72000</v>
      </c>
      <c r="G71" s="569">
        <f t="shared" si="0"/>
        <v>17496000</v>
      </c>
      <c r="H71" s="564" t="str">
        <f>VLOOKUP(B71,_klhd!C:C,1,0)</f>
        <v>Tháo sứ đứng 15-22kV</v>
      </c>
    </row>
    <row r="72" spans="1:8" s="570" customFormat="1" ht="15.6">
      <c r="A72" s="565">
        <v>9</v>
      </c>
      <c r="B72" s="566" t="s">
        <v>301</v>
      </c>
      <c r="C72" s="566" t="s">
        <v>428</v>
      </c>
      <c r="D72" s="565" t="s">
        <v>212</v>
      </c>
      <c r="E72" s="567">
        <v>276</v>
      </c>
      <c r="F72" s="568">
        <f>F71</f>
        <v>72000</v>
      </c>
      <c r="G72" s="569">
        <f t="shared" si="0"/>
        <v>19872000</v>
      </c>
      <c r="H72" s="564" t="str">
        <f>VLOOKUP(B72,_klhd!C:C,1,0)</f>
        <v>Lắp sứ đứng 15-22kV</v>
      </c>
    </row>
    <row r="73" spans="1:8" s="570" customFormat="1" ht="15.6">
      <c r="A73" s="565">
        <v>10</v>
      </c>
      <c r="B73" s="566" t="s">
        <v>302</v>
      </c>
      <c r="C73" s="566" t="s">
        <v>428</v>
      </c>
      <c r="D73" s="565" t="s">
        <v>212</v>
      </c>
      <c r="E73" s="567">
        <v>67</v>
      </c>
      <c r="F73" s="568">
        <v>65000</v>
      </c>
      <c r="G73" s="569">
        <f t="shared" si="0"/>
        <v>4355000</v>
      </c>
      <c r="H73" s="564" t="str">
        <f>VLOOKUP(B73,_klhd!C:C,1,0)</f>
        <v>Tháo sứ treo polymer néo đơn</v>
      </c>
    </row>
    <row r="74" spans="1:8" s="570" customFormat="1" ht="15.6">
      <c r="A74" s="565">
        <v>11</v>
      </c>
      <c r="B74" s="566" t="s">
        <v>303</v>
      </c>
      <c r="C74" s="566" t="s">
        <v>428</v>
      </c>
      <c r="D74" s="565" t="s">
        <v>212</v>
      </c>
      <c r="E74" s="567">
        <v>74</v>
      </c>
      <c r="F74" s="568">
        <f>F73</f>
        <v>65000</v>
      </c>
      <c r="G74" s="569">
        <f t="shared" ref="G74:G81" si="1">F74*E74</f>
        <v>4810000</v>
      </c>
      <c r="H74" s="564" t="str">
        <f>VLOOKUP(B74,_klhd!C:C,1,0)</f>
        <v>Lắp sứ treo polymer néo đơn</v>
      </c>
    </row>
    <row r="75" spans="1:8" s="570" customFormat="1" ht="15.6">
      <c r="A75" s="565">
        <v>12</v>
      </c>
      <c r="B75" s="566" t="s">
        <v>304</v>
      </c>
      <c r="C75" s="566" t="s">
        <v>428</v>
      </c>
      <c r="D75" s="565" t="s">
        <v>212</v>
      </c>
      <c r="E75" s="567">
        <v>48</v>
      </c>
      <c r="F75" s="568">
        <v>35000</v>
      </c>
      <c r="G75" s="569">
        <f t="shared" si="1"/>
        <v>1680000</v>
      </c>
      <c r="H75" s="564" t="str">
        <f>VLOOKUP(B75,_klhd!C:C,1,0)</f>
        <v>Tháo kẹp quai</v>
      </c>
    </row>
    <row r="76" spans="1:8" s="570" customFormat="1" ht="15.6">
      <c r="A76" s="565">
        <v>13</v>
      </c>
      <c r="B76" s="566" t="s">
        <v>305</v>
      </c>
      <c r="C76" s="566" t="s">
        <v>428</v>
      </c>
      <c r="D76" s="565" t="s">
        <v>212</v>
      </c>
      <c r="E76" s="567">
        <v>35</v>
      </c>
      <c r="F76" s="568">
        <f>F75</f>
        <v>35000</v>
      </c>
      <c r="G76" s="569">
        <f t="shared" si="1"/>
        <v>1225000</v>
      </c>
      <c r="H76" s="564" t="str">
        <f>VLOOKUP(B76,_klhd!C:C,1,0)</f>
        <v>Lắp kẹp quai</v>
      </c>
    </row>
    <row r="77" spans="1:8" s="570" customFormat="1" ht="15.6">
      <c r="A77" s="565">
        <v>14</v>
      </c>
      <c r="B77" s="566" t="s">
        <v>306</v>
      </c>
      <c r="C77" s="566" t="s">
        <v>428</v>
      </c>
      <c r="D77" s="565" t="s">
        <v>212</v>
      </c>
      <c r="E77" s="567">
        <v>52</v>
      </c>
      <c r="F77" s="568">
        <v>25000</v>
      </c>
      <c r="G77" s="569">
        <f t="shared" si="1"/>
        <v>1300000</v>
      </c>
      <c r="H77" s="564" t="str">
        <f>VLOOKUP(B77,_klhd!C:C,1,0)</f>
        <v xml:space="preserve">Tháo kẹp dừng dây </v>
      </c>
    </row>
    <row r="78" spans="1:8" s="570" customFormat="1" ht="15.6">
      <c r="A78" s="565">
        <v>15</v>
      </c>
      <c r="B78" s="566" t="s">
        <v>307</v>
      </c>
      <c r="C78" s="566" t="s">
        <v>428</v>
      </c>
      <c r="D78" s="565" t="s">
        <v>212</v>
      </c>
      <c r="E78" s="567">
        <v>74</v>
      </c>
      <c r="F78" s="568">
        <f>F77</f>
        <v>25000</v>
      </c>
      <c r="G78" s="569">
        <f t="shared" si="1"/>
        <v>1850000</v>
      </c>
      <c r="H78" s="564" t="str">
        <f>VLOOKUP(B78,_klhd!C:C,1,0)</f>
        <v>Lắp kẹp dừng dây</v>
      </c>
    </row>
    <row r="79" spans="1:8" s="570" customFormat="1" ht="15.6">
      <c r="A79" s="565">
        <v>16</v>
      </c>
      <c r="B79" s="566" t="s">
        <v>308</v>
      </c>
      <c r="C79" s="566"/>
      <c r="D79" s="565" t="s">
        <v>309</v>
      </c>
      <c r="E79" s="577">
        <v>11.923999999999999</v>
      </c>
      <c r="F79" s="568">
        <v>3700000</v>
      </c>
      <c r="G79" s="569">
        <f t="shared" si="1"/>
        <v>44118800</v>
      </c>
      <c r="H79" s="564" t="str">
        <f>VLOOKUP(B79,_klhd!C:C,1,0)</f>
        <v>Kéo cáp nhôm lõi thép ACX50 thủ công + cơ giới  (&lt;10m)</v>
      </c>
    </row>
    <row r="80" spans="1:8" s="570" customFormat="1" ht="15.6">
      <c r="A80" s="565">
        <v>17</v>
      </c>
      <c r="B80" s="566" t="s">
        <v>310</v>
      </c>
      <c r="C80" s="566" t="s">
        <v>428</v>
      </c>
      <c r="D80" s="565" t="s">
        <v>309</v>
      </c>
      <c r="E80" s="577">
        <v>1.796</v>
      </c>
      <c r="F80" s="568">
        <f>F79</f>
        <v>3700000</v>
      </c>
      <c r="G80" s="569">
        <f t="shared" si="1"/>
        <v>6645200</v>
      </c>
      <c r="H80" s="564" t="str">
        <f>VLOOKUP(B80,_klhd!C:C,1,0)</f>
        <v>Kéo cáp nhôm lõi thép AC50 thủ công + cơ giới ( &lt;10m)</v>
      </c>
    </row>
    <row r="81" spans="1:9" s="570" customFormat="1" ht="15.6">
      <c r="A81" s="565">
        <v>18</v>
      </c>
      <c r="B81" s="566" t="s">
        <v>311</v>
      </c>
      <c r="C81" s="566" t="s">
        <v>428</v>
      </c>
      <c r="D81" s="565" t="s">
        <v>309</v>
      </c>
      <c r="E81" s="577">
        <v>11.923999999999999</v>
      </c>
      <c r="F81" s="568">
        <v>2850000</v>
      </c>
      <c r="G81" s="569">
        <f t="shared" si="1"/>
        <v>33983400</v>
      </c>
      <c r="H81" s="564" t="str">
        <f>VLOOKUP(B81,_klhd!C:C,1,0)</f>
        <v>Tháo cáp nhôm lõi thép AC50 thủ công + cơ giới</v>
      </c>
    </row>
    <row r="82" spans="1:9" s="570" customFormat="1" ht="13.8">
      <c r="A82" s="578"/>
      <c r="B82" s="579"/>
      <c r="C82" s="580"/>
      <c r="D82" s="581"/>
      <c r="E82" s="582"/>
      <c r="F82" s="568"/>
      <c r="G82" s="569"/>
    </row>
    <row r="83" spans="1:9" s="570" customFormat="1" ht="15.6">
      <c r="A83" s="583"/>
      <c r="B83" s="584"/>
      <c r="C83" s="583"/>
      <c r="D83" s="583"/>
      <c r="E83" s="585"/>
      <c r="F83" s="586"/>
      <c r="G83" s="587"/>
    </row>
    <row r="84" spans="1:9" s="593" customFormat="1" ht="15.6">
      <c r="A84" s="588"/>
      <c r="B84" s="589" t="s">
        <v>429</v>
      </c>
      <c r="C84" s="590"/>
      <c r="D84" s="590"/>
      <c r="E84" s="588"/>
      <c r="F84" s="591"/>
      <c r="G84" s="592">
        <f>SUM(G8:G83)</f>
        <v>419329500</v>
      </c>
      <c r="I84" s="594"/>
    </row>
    <row r="86" spans="1:9" s="596" customFormat="1" ht="15.6">
      <c r="A86" s="595" t="s">
        <v>430</v>
      </c>
      <c r="C86" s="597"/>
      <c r="E86" s="597"/>
      <c r="F86" s="598"/>
      <c r="G86" s="599"/>
    </row>
    <row r="87" spans="1:9" s="596" customFormat="1" ht="15.6">
      <c r="A87" s="600"/>
      <c r="C87" s="597"/>
      <c r="E87" s="597"/>
      <c r="F87" s="598"/>
      <c r="G87" s="599"/>
    </row>
    <row r="88" spans="1:9" s="596" customFormat="1" ht="15.6">
      <c r="A88" s="600"/>
      <c r="D88" s="640" t="s">
        <v>431</v>
      </c>
      <c r="E88" s="640"/>
      <c r="F88" s="640"/>
      <c r="G88" s="640"/>
    </row>
    <row r="89" spans="1:9" s="596" customFormat="1" ht="15.6">
      <c r="A89" s="600"/>
      <c r="B89" s="601"/>
      <c r="D89" s="635" t="s">
        <v>432</v>
      </c>
      <c r="E89" s="635"/>
      <c r="F89" s="635"/>
      <c r="G89" s="635"/>
    </row>
    <row r="90" spans="1:9" s="596" customFormat="1" ht="15.6">
      <c r="A90" s="600"/>
      <c r="B90" s="601"/>
      <c r="D90" s="635" t="s">
        <v>51</v>
      </c>
      <c r="E90" s="635"/>
      <c r="F90" s="635"/>
      <c r="G90" s="635"/>
    </row>
    <row r="91" spans="1:9" s="596" customFormat="1" ht="15.6">
      <c r="A91" s="600"/>
      <c r="B91" s="601"/>
      <c r="D91" s="635" t="s">
        <v>52</v>
      </c>
      <c r="E91" s="635"/>
      <c r="F91" s="635"/>
      <c r="G91" s="635"/>
    </row>
    <row r="92" spans="1:9" s="596" customFormat="1" ht="15.6">
      <c r="A92" s="600"/>
      <c r="C92" s="597"/>
      <c r="F92" s="598"/>
      <c r="G92" s="59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C63E-4029-44E8-AA8B-73A59C8444E9}">
  <sheetPr>
    <tabColor rgb="FF7030A0"/>
    <pageSetUpPr fitToPage="1"/>
  </sheetPr>
  <dimension ref="A1:L104"/>
  <sheetViews>
    <sheetView showZeros="0" topLeftCell="B18" zoomScale="70" zoomScaleNormal="70" zoomScaleSheetLayoutView="85" workbookViewId="0">
      <selection activeCell="H91" sqref="H91"/>
    </sheetView>
  </sheetViews>
  <sheetFormatPr defaultColWidth="9.109375" defaultRowHeight="14.4"/>
  <cols>
    <col min="1" max="1" width="3.6640625" style="657" hidden="1" customWidth="1"/>
    <col min="2" max="2" width="7.5546875" style="669" customWidth="1"/>
    <col min="3" max="3" width="82.109375" style="669" customWidth="1"/>
    <col min="4" max="4" width="9.33203125" style="669" bestFit="1" customWidth="1"/>
    <col min="5" max="5" width="12.88671875" style="670" customWidth="1"/>
    <col min="6" max="6" width="12.44140625" style="670" customWidth="1"/>
    <col min="7" max="7" width="11.44140625" style="670" customWidth="1"/>
    <col min="8" max="8" width="11.88671875" style="670" customWidth="1"/>
    <col min="9" max="9" width="36.5546875" style="670" customWidth="1"/>
    <col min="10" max="10" width="12.77734375" style="657" customWidth="1"/>
    <col min="11" max="11" width="19.44140625" style="657" customWidth="1"/>
    <col min="12" max="12" width="80.109375" style="657" customWidth="1"/>
    <col min="13" max="16384" width="9.109375" style="657"/>
  </cols>
  <sheetData>
    <row r="1" spans="1:12" ht="20.100000000000001" customHeight="1">
      <c r="B1" s="330"/>
      <c r="C1" s="435" t="s">
        <v>51</v>
      </c>
      <c r="D1" s="436" t="s">
        <v>59</v>
      </c>
      <c r="E1" s="436"/>
      <c r="F1" s="436"/>
      <c r="G1" s="436"/>
      <c r="H1" s="436"/>
      <c r="I1" s="436"/>
    </row>
    <row r="2" spans="1:12" ht="20.100000000000001" customHeight="1">
      <c r="B2" s="330"/>
      <c r="C2" s="436" t="s">
        <v>165</v>
      </c>
      <c r="D2" s="436" t="s">
        <v>166</v>
      </c>
      <c r="E2" s="436"/>
      <c r="F2" s="436"/>
      <c r="G2" s="436"/>
      <c r="H2" s="436"/>
      <c r="I2" s="436"/>
    </row>
    <row r="3" spans="1:12" ht="20.100000000000001" customHeight="1">
      <c r="B3" s="330"/>
      <c r="C3" s="330"/>
      <c r="D3" s="330" t="s">
        <v>167</v>
      </c>
      <c r="E3" s="330"/>
      <c r="F3" s="330"/>
      <c r="G3" s="330"/>
      <c r="H3" s="330"/>
      <c r="I3" s="330"/>
    </row>
    <row r="4" spans="1:12" ht="20.100000000000001" customHeight="1">
      <c r="B4" s="330"/>
      <c r="C4" s="330"/>
      <c r="D4" s="651"/>
      <c r="E4" s="651"/>
      <c r="F4" s="651"/>
      <c r="G4" s="651"/>
      <c r="H4" s="651"/>
      <c r="I4" s="651"/>
    </row>
    <row r="5" spans="1:12" ht="16.8" customHeight="1">
      <c r="B5" s="435" t="s">
        <v>322</v>
      </c>
      <c r="C5" s="435"/>
      <c r="D5" s="435"/>
      <c r="E5" s="435"/>
      <c r="F5" s="435"/>
      <c r="G5" s="435"/>
      <c r="H5" s="435"/>
      <c r="I5" s="435"/>
    </row>
    <row r="6" spans="1:12" ht="20.100000000000001" customHeight="1">
      <c r="B6" s="436" t="s">
        <v>169</v>
      </c>
      <c r="C6" s="436"/>
      <c r="D6" s="436"/>
      <c r="E6" s="436"/>
      <c r="F6" s="436"/>
      <c r="G6" s="436"/>
      <c r="H6" s="436"/>
      <c r="I6" s="436"/>
    </row>
    <row r="7" spans="1:12" ht="20.100000000000001" customHeight="1">
      <c r="B7" s="436" t="s">
        <v>170</v>
      </c>
      <c r="C7" s="436"/>
      <c r="D7" s="436"/>
      <c r="E7" s="436"/>
      <c r="F7" s="436"/>
      <c r="G7" s="436"/>
      <c r="H7" s="436"/>
      <c r="I7" s="436"/>
    </row>
    <row r="8" spans="1:12" ht="20.100000000000001" customHeight="1">
      <c r="B8" s="436" t="s">
        <v>171</v>
      </c>
      <c r="C8" s="436"/>
      <c r="D8" s="436"/>
      <c r="E8" s="436"/>
      <c r="F8" s="436"/>
      <c r="G8" s="436"/>
      <c r="H8" s="436"/>
      <c r="I8" s="436"/>
    </row>
    <row r="9" spans="1:12" s="341" customFormat="1" ht="24" customHeight="1">
      <c r="A9" s="338"/>
      <c r="B9" s="641" t="s">
        <v>67</v>
      </c>
      <c r="C9" s="641" t="s">
        <v>323</v>
      </c>
      <c r="D9" s="641" t="s">
        <v>69</v>
      </c>
      <c r="E9" s="658" t="s">
        <v>83</v>
      </c>
      <c r="F9" s="658"/>
      <c r="G9" s="658" t="s">
        <v>174</v>
      </c>
      <c r="H9" s="658"/>
      <c r="I9" s="659" t="s">
        <v>85</v>
      </c>
      <c r="J9" s="338"/>
      <c r="K9" s="338"/>
    </row>
    <row r="10" spans="1:12" s="341" customFormat="1" ht="24" customHeight="1">
      <c r="A10" s="338"/>
      <c r="B10" s="642"/>
      <c r="C10" s="642"/>
      <c r="D10" s="642"/>
      <c r="E10" s="660" t="s">
        <v>175</v>
      </c>
      <c r="F10" s="660" t="s">
        <v>176</v>
      </c>
      <c r="G10" s="660" t="s">
        <v>177</v>
      </c>
      <c r="H10" s="660" t="s">
        <v>178</v>
      </c>
      <c r="I10" s="661"/>
      <c r="J10" s="338"/>
      <c r="K10" s="338" t="s">
        <v>7</v>
      </c>
    </row>
    <row r="11" spans="1:12" s="663" customFormat="1" ht="24" customHeight="1">
      <c r="A11" s="662"/>
      <c r="B11" s="345" t="s">
        <v>90</v>
      </c>
      <c r="C11" s="346" t="s">
        <v>324</v>
      </c>
      <c r="D11" s="347"/>
      <c r="E11" s="348"/>
      <c r="F11" s="348"/>
      <c r="G11" s="348"/>
      <c r="H11" s="348"/>
      <c r="I11" s="348"/>
      <c r="J11" s="662"/>
      <c r="K11" s="662"/>
    </row>
    <row r="12" spans="1:12" s="663" customFormat="1" ht="24" customHeight="1">
      <c r="A12" s="662"/>
      <c r="B12" s="356" t="s">
        <v>325</v>
      </c>
      <c r="C12" s="361" t="s">
        <v>239</v>
      </c>
      <c r="D12" s="443" t="s">
        <v>219</v>
      </c>
      <c r="E12" s="367">
        <v>12162</v>
      </c>
      <c r="F12" s="367">
        <v>12144</v>
      </c>
      <c r="G12" s="367" t="s">
        <v>433</v>
      </c>
      <c r="H12" s="367">
        <v>18</v>
      </c>
      <c r="I12" s="444" t="s">
        <v>326</v>
      </c>
      <c r="J12" s="662" t="s">
        <v>90</v>
      </c>
      <c r="K12" s="662">
        <f>VLOOKUP(C12,'Thu loc'!B:F,5,0)</f>
        <v>0</v>
      </c>
      <c r="L12" s="663" t="str">
        <f>VLOOKUP(C12,'KL theo HĐ'!C:C,1,)</f>
        <v>Cáp ACX 50/8mm2 (24)KV: (1,02xCd)</v>
      </c>
    </row>
    <row r="13" spans="1:12" s="663" customFormat="1" ht="16.8">
      <c r="A13" s="662" t="s">
        <v>181</v>
      </c>
      <c r="B13" s="356" t="s">
        <v>327</v>
      </c>
      <c r="C13" s="361" t="s">
        <v>218</v>
      </c>
      <c r="D13" s="356" t="s">
        <v>219</v>
      </c>
      <c r="E13" s="367">
        <v>2141</v>
      </c>
      <c r="F13" s="367">
        <v>2111</v>
      </c>
      <c r="G13" s="367" t="s">
        <v>433</v>
      </c>
      <c r="H13" s="367">
        <v>30</v>
      </c>
      <c r="I13" s="664" t="s">
        <v>217</v>
      </c>
      <c r="J13" s="662" t="s">
        <v>90</v>
      </c>
      <c r="K13" s="662">
        <f>VLOOKUP(C13,'Thu loc'!B:F,5,0)</f>
        <v>0</v>
      </c>
      <c r="L13" s="663" t="str">
        <f>VLOOKUP(C13,'KL theo HĐ'!C:C,1,)</f>
        <v>Cáp chằng D5/8" mạ kẽm nhúng</v>
      </c>
    </row>
    <row r="14" spans="1:12" s="662" customFormat="1" ht="24" customHeight="1">
      <c r="B14" s="356" t="s">
        <v>328</v>
      </c>
      <c r="C14" s="361" t="s">
        <v>266</v>
      </c>
      <c r="D14" s="356" t="s">
        <v>219</v>
      </c>
      <c r="E14" s="356">
        <v>6</v>
      </c>
      <c r="F14" s="446">
        <v>27.5</v>
      </c>
      <c r="G14" s="408">
        <v>21.5</v>
      </c>
      <c r="H14" s="356" t="s">
        <v>433</v>
      </c>
      <c r="I14" s="649" t="s">
        <v>329</v>
      </c>
      <c r="J14" s="662" t="s">
        <v>90</v>
      </c>
      <c r="K14" s="662">
        <f>VLOOKUP(C14,'Thu loc'!B:F,5,0)</f>
        <v>0</v>
      </c>
      <c r="L14" s="663" t="str">
        <f>VLOOKUP(C14,'KL theo HĐ'!C:C,1,)</f>
        <v>Cáp CXV 25mm2</v>
      </c>
    </row>
    <row r="15" spans="1:12" s="662" customFormat="1" ht="24" customHeight="1">
      <c r="B15" s="356" t="s">
        <v>330</v>
      </c>
      <c r="C15" s="361" t="s">
        <v>268</v>
      </c>
      <c r="D15" s="356" t="s">
        <v>219</v>
      </c>
      <c r="E15" s="356">
        <v>21.5</v>
      </c>
      <c r="F15" s="356">
        <v>0</v>
      </c>
      <c r="G15" s="367" t="s">
        <v>433</v>
      </c>
      <c r="H15" s="356">
        <v>21.5</v>
      </c>
      <c r="I15" s="650"/>
      <c r="J15" s="662" t="s">
        <v>90</v>
      </c>
      <c r="K15" s="662">
        <f>VLOOKUP(C15,'Thu loc'!B:F,5,0)</f>
        <v>0</v>
      </c>
      <c r="L15" s="663" t="str">
        <f>VLOOKUP(C15,'KL theo HĐ'!C:C,1,)</f>
        <v>Cáp CXV 50mm2</v>
      </c>
    </row>
    <row r="16" spans="1:12" s="662" customFormat="1" ht="24" customHeight="1">
      <c r="B16" s="356" t="s">
        <v>331</v>
      </c>
      <c r="C16" s="361" t="s">
        <v>186</v>
      </c>
      <c r="D16" s="356" t="s">
        <v>30</v>
      </c>
      <c r="E16" s="356">
        <v>67</v>
      </c>
      <c r="F16" s="356">
        <v>67</v>
      </c>
      <c r="G16" s="367" t="s">
        <v>433</v>
      </c>
      <c r="H16" s="356" t="s">
        <v>433</v>
      </c>
      <c r="I16" s="449"/>
      <c r="J16" s="662" t="s">
        <v>90</v>
      </c>
      <c r="K16" s="662">
        <f>VLOOKUP(C16,'Thu loc'!B:F,5,0)</f>
        <v>0</v>
      </c>
      <c r="L16" s="663" t="str">
        <f>VLOOKUP(C16,'KL theo HĐ'!C:C,1,)</f>
        <v>Cáp đồng trần M25mm2 (0,224kg/m)</v>
      </c>
    </row>
    <row r="17" spans="1:12" s="662" customFormat="1" ht="16.8">
      <c r="B17" s="356" t="s">
        <v>332</v>
      </c>
      <c r="C17" s="361" t="s">
        <v>252</v>
      </c>
      <c r="D17" s="356" t="s">
        <v>190</v>
      </c>
      <c r="E17" s="356">
        <v>172</v>
      </c>
      <c r="F17" s="356">
        <v>170</v>
      </c>
      <c r="G17" s="367" t="s">
        <v>433</v>
      </c>
      <c r="H17" s="356">
        <v>2</v>
      </c>
      <c r="I17" s="664" t="s">
        <v>251</v>
      </c>
      <c r="J17" s="662" t="s">
        <v>90</v>
      </c>
      <c r="K17" s="662">
        <f>VLOOKUP(C17,'Thu loc'!B:F,5,0)</f>
        <v>0</v>
      </c>
      <c r="L17" s="663" t="str">
        <f>VLOOKUP(C17,'KL theo HĐ'!C:C,1,)</f>
        <v>Chân sứ đỉnh cong dài 870 - 4 ly  sứ 24kV (không bọc chì)</v>
      </c>
    </row>
    <row r="18" spans="1:12" s="662" customFormat="1" ht="24" customHeight="1">
      <c r="B18" s="356" t="s">
        <v>333</v>
      </c>
      <c r="C18" s="361" t="s">
        <v>201</v>
      </c>
      <c r="D18" s="356" t="s">
        <v>190</v>
      </c>
      <c r="E18" s="356">
        <v>102</v>
      </c>
      <c r="F18" s="356">
        <v>95</v>
      </c>
      <c r="G18" s="367" t="s">
        <v>433</v>
      </c>
      <c r="H18" s="356">
        <v>7</v>
      </c>
      <c r="I18" s="449"/>
      <c r="J18" s="662" t="s">
        <v>90</v>
      </c>
      <c r="K18" s="662">
        <f>VLOOKUP(C18,'Thu loc'!B:F,5,0)</f>
        <v>0</v>
      </c>
      <c r="L18" s="663" t="str">
        <f>VLOOKUP(C18,'KL theo HĐ'!C:C,1,)</f>
        <v>Chân sứ đỉnh thẳng dài 870 - 4 ly sứ 24kV (không bọc chì)</v>
      </c>
    </row>
    <row r="19" spans="1:12" s="662" customFormat="1" ht="24" customHeight="1">
      <c r="B19" s="643" t="s">
        <v>334</v>
      </c>
      <c r="C19" s="361" t="s">
        <v>207</v>
      </c>
      <c r="D19" s="643" t="s">
        <v>190</v>
      </c>
      <c r="E19" s="643">
        <v>10</v>
      </c>
      <c r="F19" s="451">
        <v>6</v>
      </c>
      <c r="G19" s="645" t="s">
        <v>433</v>
      </c>
      <c r="H19" s="643">
        <v>2</v>
      </c>
      <c r="I19" s="647" t="s">
        <v>335</v>
      </c>
      <c r="J19" s="662" t="s">
        <v>90</v>
      </c>
      <c r="K19" s="662">
        <f>VLOOKUP(C19,'Thu loc'!B:F,5,0)</f>
        <v>0</v>
      </c>
      <c r="L19" s="663" t="str">
        <f>VLOOKUP(C19,'KL theo HĐ'!C:C,1,)</f>
        <v>Đà hộp composite 110x80x5-800</v>
      </c>
    </row>
    <row r="20" spans="1:12" s="662" customFormat="1" ht="24" customHeight="1">
      <c r="B20" s="644"/>
      <c r="C20" s="358" t="s">
        <v>208</v>
      </c>
      <c r="D20" s="644"/>
      <c r="E20" s="644"/>
      <c r="F20" s="451">
        <v>2</v>
      </c>
      <c r="G20" s="646"/>
      <c r="H20" s="644"/>
      <c r="I20" s="648"/>
      <c r="J20" s="662" t="s">
        <v>90</v>
      </c>
      <c r="L20" s="663" t="str">
        <f>VLOOKUP(C20,'KL theo HĐ'!C:C,1,)</f>
        <v>Đà hộp composite 110x80x5-800 SDL</v>
      </c>
    </row>
    <row r="21" spans="1:12" s="663" customFormat="1" ht="24" customHeight="1">
      <c r="A21" s="360" t="s">
        <v>193</v>
      </c>
      <c r="B21" s="356" t="s">
        <v>336</v>
      </c>
      <c r="C21" s="361" t="s">
        <v>200</v>
      </c>
      <c r="D21" s="356" t="s">
        <v>190</v>
      </c>
      <c r="E21" s="356">
        <v>52</v>
      </c>
      <c r="F21" s="356">
        <v>52</v>
      </c>
      <c r="G21" s="367" t="s">
        <v>433</v>
      </c>
      <c r="H21" s="356" t="s">
        <v>433</v>
      </c>
      <c r="I21" s="449"/>
      <c r="J21" s="662" t="s">
        <v>90</v>
      </c>
      <c r="K21" s="662">
        <f>VLOOKUP(C21,'Thu loc'!B:F,5,0)</f>
        <v>0</v>
      </c>
      <c r="L21" s="663" t="str">
        <f>VLOOKUP(C21,'KL theo HĐ'!C:C,1,)</f>
        <v>Đà tháp U160x64x5 - 2200mm (1 cái/ bộ)</v>
      </c>
    </row>
    <row r="22" spans="1:12" s="662" customFormat="1" ht="24" customHeight="1">
      <c r="B22" s="356" t="s">
        <v>337</v>
      </c>
      <c r="C22" s="361" t="s">
        <v>287</v>
      </c>
      <c r="D22" s="356" t="s">
        <v>30</v>
      </c>
      <c r="E22" s="407">
        <v>1</v>
      </c>
      <c r="F22" s="407">
        <v>1</v>
      </c>
      <c r="G22" s="367" t="s">
        <v>433</v>
      </c>
      <c r="H22" s="356" t="s">
        <v>433</v>
      </c>
      <c r="I22" s="449"/>
      <c r="J22" s="662" t="s">
        <v>90</v>
      </c>
      <c r="K22" s="662">
        <f>VLOOKUP(C22,'Thu loc'!B:F,5,0)</f>
        <v>0</v>
      </c>
      <c r="L22" s="663" t="str">
        <f>VLOOKUP(C22,'KL theo HĐ'!C:C,1,)</f>
        <v>Dây nhôm A70 (buộc sứ ống chỉ vào AC 70; 1,2m/tao/sứ)</v>
      </c>
    </row>
    <row r="23" spans="1:12" s="663" customFormat="1" ht="16.8">
      <c r="A23" s="662"/>
      <c r="B23" s="356" t="s">
        <v>338</v>
      </c>
      <c r="C23" s="361" t="s">
        <v>220</v>
      </c>
      <c r="D23" s="356" t="s">
        <v>190</v>
      </c>
      <c r="E23" s="356">
        <v>146</v>
      </c>
      <c r="F23" s="356">
        <v>144</v>
      </c>
      <c r="G23" s="367" t="s">
        <v>433</v>
      </c>
      <c r="H23" s="356">
        <v>2</v>
      </c>
      <c r="I23" s="664" t="s">
        <v>339</v>
      </c>
      <c r="J23" s="662" t="s">
        <v>90</v>
      </c>
      <c r="K23" s="662">
        <f>VLOOKUP(C23,'Thu loc'!B:F,5,0)</f>
        <v>0</v>
      </c>
      <c r="L23" s="663" t="str">
        <f>VLOOKUP(C23,'KL theo HĐ'!C:C,1,)</f>
        <v>Sứ chằng lớn (90N): 01 cái/ bộ</v>
      </c>
    </row>
    <row r="24" spans="1:12" s="663" customFormat="1" ht="16.8">
      <c r="A24" s="662"/>
      <c r="B24" s="356" t="s">
        <v>340</v>
      </c>
      <c r="C24" s="361" t="s">
        <v>249</v>
      </c>
      <c r="D24" s="356" t="s">
        <v>190</v>
      </c>
      <c r="E24" s="356">
        <v>41</v>
      </c>
      <c r="F24" s="356">
        <v>32</v>
      </c>
      <c r="G24" s="367" t="s">
        <v>433</v>
      </c>
      <c r="H24" s="356">
        <v>9</v>
      </c>
      <c r="I24" s="664" t="s">
        <v>339</v>
      </c>
      <c r="J24" s="662" t="s">
        <v>90</v>
      </c>
      <c r="K24" s="662">
        <f>VLOOKUP(C24,'Thu loc'!B:F,5,0)</f>
        <v>0</v>
      </c>
      <c r="L24" s="663" t="str">
        <f>VLOOKUP(C24,'KL theo HĐ'!C:C,1,)</f>
        <v>Sứ đứng 24KV ĐR540mm (không bọc chì)</v>
      </c>
    </row>
    <row r="25" spans="1:12" s="663" customFormat="1" ht="24" customHeight="1">
      <c r="A25" s="662"/>
      <c r="B25" s="356" t="s">
        <v>341</v>
      </c>
      <c r="C25" s="361" t="s">
        <v>242</v>
      </c>
      <c r="D25" s="356" t="s">
        <v>190</v>
      </c>
      <c r="E25" s="356">
        <v>31</v>
      </c>
      <c r="F25" s="356">
        <v>31</v>
      </c>
      <c r="G25" s="367" t="s">
        <v>433</v>
      </c>
      <c r="H25" s="356" t="s">
        <v>433</v>
      </c>
      <c r="I25" s="364"/>
      <c r="J25" s="662" t="s">
        <v>90</v>
      </c>
      <c r="K25" s="662">
        <f>VLOOKUP(C25,'Thu loc'!B:F,5,0)</f>
        <v>0</v>
      </c>
      <c r="L25" s="663" t="str">
        <f>VLOOKUP(C25,'KL theo HĐ'!C:C,1,)</f>
        <v>Sứ ống chỉ</v>
      </c>
    </row>
    <row r="26" spans="1:12" s="663" customFormat="1" ht="16.8">
      <c r="A26" s="662"/>
      <c r="B26" s="356" t="s">
        <v>342</v>
      </c>
      <c r="C26" s="361" t="s">
        <v>258</v>
      </c>
      <c r="D26" s="356" t="s">
        <v>259</v>
      </c>
      <c r="E26" s="356">
        <v>74</v>
      </c>
      <c r="F26" s="451">
        <v>54</v>
      </c>
      <c r="G26" s="367" t="s">
        <v>433</v>
      </c>
      <c r="H26" s="356">
        <v>20</v>
      </c>
      <c r="I26" s="457" t="s">
        <v>335</v>
      </c>
      <c r="J26" s="662" t="s">
        <v>90</v>
      </c>
      <c r="K26" s="662">
        <f>VLOOKUP(C26,'Thu loc'!B:F,5,0)</f>
        <v>0</v>
      </c>
      <c r="L26" s="663" t="str">
        <f>VLOOKUP(C26,'KL theo HĐ'!C:C,1,)</f>
        <v>Sứ treo polymer 24kV</v>
      </c>
    </row>
    <row r="27" spans="1:12" s="663" customFormat="1" ht="24" customHeight="1">
      <c r="A27" s="662"/>
      <c r="B27" s="643" t="s">
        <v>343</v>
      </c>
      <c r="C27" s="361" t="s">
        <v>209</v>
      </c>
      <c r="D27" s="643" t="s">
        <v>190</v>
      </c>
      <c r="E27" s="643">
        <v>10</v>
      </c>
      <c r="F27" s="451">
        <v>7</v>
      </c>
      <c r="G27" s="645" t="s">
        <v>433</v>
      </c>
      <c r="H27" s="643">
        <v>2</v>
      </c>
      <c r="I27" s="647" t="s">
        <v>335</v>
      </c>
      <c r="J27" s="662" t="s">
        <v>90</v>
      </c>
      <c r="K27" s="662">
        <f>VLOOKUP(C27,'Thu loc'!B:F,5,0)</f>
        <v>0</v>
      </c>
      <c r="L27" s="663" t="str">
        <f>VLOOKUP(C27,'KL theo HĐ'!C:C,1,)</f>
        <v>Thanh chống composite 10x40x720</v>
      </c>
    </row>
    <row r="28" spans="1:12" s="663" customFormat="1" ht="24" customHeight="1">
      <c r="A28" s="662"/>
      <c r="B28" s="644"/>
      <c r="C28" s="361" t="s">
        <v>210</v>
      </c>
      <c r="D28" s="644"/>
      <c r="E28" s="644"/>
      <c r="F28" s="451">
        <v>1</v>
      </c>
      <c r="G28" s="646"/>
      <c r="H28" s="644"/>
      <c r="I28" s="648"/>
      <c r="J28" s="662" t="s">
        <v>90</v>
      </c>
      <c r="K28" s="662" t="e">
        <f>VLOOKUP(C28,'Thu loc'!B:F,5,0)</f>
        <v>#N/A</v>
      </c>
      <c r="L28" s="663" t="str">
        <f>VLOOKUP(C28,'KL theo HĐ'!C:C,1,)</f>
        <v>Thanh chống composite 10x40x710</v>
      </c>
    </row>
    <row r="29" spans="1:12" s="663" customFormat="1" ht="24" customHeight="1">
      <c r="A29" s="662"/>
      <c r="B29" s="356" t="s">
        <v>344</v>
      </c>
      <c r="C29" s="361" t="s">
        <v>196</v>
      </c>
      <c r="D29" s="356" t="s">
        <v>197</v>
      </c>
      <c r="E29" s="356">
        <v>19</v>
      </c>
      <c r="F29" s="356">
        <v>19</v>
      </c>
      <c r="G29" s="367" t="s">
        <v>433</v>
      </c>
      <c r="H29" s="356" t="s">
        <v>433</v>
      </c>
      <c r="I29" s="364"/>
      <c r="J29" s="662" t="s">
        <v>90</v>
      </c>
      <c r="K29" s="662">
        <f>VLOOKUP(C29,'Thu loc'!B:F,5,0)</f>
        <v>0</v>
      </c>
      <c r="L29" s="663" t="str">
        <f>VLOOKUP(C29,'KL theo HĐ'!C:C,1,)</f>
        <v>Trụ BTLT 12m F540 dự ứng lực</v>
      </c>
    </row>
    <row r="30" spans="1:12" s="663" customFormat="1" ht="24" customHeight="1">
      <c r="A30" s="662"/>
      <c r="B30" s="356" t="s">
        <v>345</v>
      </c>
      <c r="C30" s="361" t="s">
        <v>241</v>
      </c>
      <c r="D30" s="356" t="s">
        <v>212</v>
      </c>
      <c r="E30" s="356">
        <v>31</v>
      </c>
      <c r="F30" s="356">
        <v>31</v>
      </c>
      <c r="G30" s="367" t="s">
        <v>433</v>
      </c>
      <c r="H30" s="356" t="s">
        <v>433</v>
      </c>
      <c r="I30" s="458"/>
      <c r="J30" s="662" t="s">
        <v>90</v>
      </c>
      <c r="K30" s="662">
        <f>VLOOKUP(C30,'Thu loc'!B:F,5,0)</f>
        <v>0</v>
      </c>
      <c r="L30" s="663" t="str">
        <f>VLOOKUP(C30,'KL theo HĐ'!C:C,1,)</f>
        <v>Uclevis - 3mm</v>
      </c>
    </row>
    <row r="31" spans="1:12" s="668" customFormat="1" ht="24" customHeight="1">
      <c r="A31" s="667"/>
      <c r="B31" s="351" t="s">
        <v>92</v>
      </c>
      <c r="C31" s="459" t="s">
        <v>346</v>
      </c>
      <c r="D31" s="351"/>
      <c r="E31" s="356"/>
      <c r="F31" s="356"/>
      <c r="G31" s="367" t="s">
        <v>433</v>
      </c>
      <c r="H31" s="356" t="s">
        <v>433</v>
      </c>
      <c r="I31" s="460"/>
      <c r="J31" s="667"/>
      <c r="K31" s="662">
        <f>VLOOKUP(C31,'Thu loc'!B:F,5,0)</f>
        <v>0</v>
      </c>
      <c r="L31" s="663" t="str">
        <f>VLOOKUP(C31,'KL theo HĐ'!C:C,1,)</f>
        <v>Phần vật tư nhà thầu cấp</v>
      </c>
    </row>
    <row r="32" spans="1:12" s="663" customFormat="1" ht="24" customHeight="1">
      <c r="A32" s="662"/>
      <c r="B32" s="356" t="s">
        <v>325</v>
      </c>
      <c r="C32" s="361" t="s">
        <v>278</v>
      </c>
      <c r="D32" s="356" t="s">
        <v>212</v>
      </c>
      <c r="E32" s="356">
        <v>6</v>
      </c>
      <c r="F32" s="356">
        <v>6</v>
      </c>
      <c r="G32" s="367" t="s">
        <v>433</v>
      </c>
      <c r="H32" s="356" t="s">
        <v>433</v>
      </c>
      <c r="I32" s="458"/>
      <c r="J32" s="662" t="s">
        <v>92</v>
      </c>
      <c r="K32" s="662">
        <f>VLOOKUP(C32,'Thu loc'!B:F,5,0)</f>
        <v>52000</v>
      </c>
      <c r="L32" s="663" t="str">
        <f>VLOOKUP(C32,'KL theo HĐ'!C:C,1,)</f>
        <v>Bass LI bắt FCO</v>
      </c>
    </row>
    <row r="33" spans="1:12" s="663" customFormat="1" ht="24" customHeight="1">
      <c r="A33" s="662"/>
      <c r="B33" s="356" t="s">
        <v>327</v>
      </c>
      <c r="C33" s="361" t="s">
        <v>279</v>
      </c>
      <c r="D33" s="356" t="s">
        <v>212</v>
      </c>
      <c r="E33" s="356">
        <v>4</v>
      </c>
      <c r="F33" s="356">
        <v>4</v>
      </c>
      <c r="G33" s="367" t="s">
        <v>433</v>
      </c>
      <c r="H33" s="356" t="s">
        <v>433</v>
      </c>
      <c r="I33" s="458"/>
      <c r="J33" s="662" t="s">
        <v>92</v>
      </c>
      <c r="K33" s="662">
        <f>VLOOKUP(C33,'Thu loc'!B:F,5,0)</f>
        <v>52000</v>
      </c>
      <c r="L33" s="663" t="str">
        <f>VLOOKUP(C33,'KL theo HĐ'!C:C,1,)</f>
        <v>Bass LL bắt FCO &amp; LA</v>
      </c>
    </row>
    <row r="34" spans="1:12" s="663" customFormat="1" ht="24" customHeight="1">
      <c r="A34" s="662"/>
      <c r="B34" s="356" t="s">
        <v>328</v>
      </c>
      <c r="C34" s="361" t="s">
        <v>227</v>
      </c>
      <c r="D34" s="356" t="s">
        <v>212</v>
      </c>
      <c r="E34" s="356">
        <v>32</v>
      </c>
      <c r="F34" s="356">
        <v>32</v>
      </c>
      <c r="G34" s="367" t="s">
        <v>433</v>
      </c>
      <c r="H34" s="356" t="s">
        <v>433</v>
      </c>
      <c r="I34" s="458"/>
      <c r="J34" s="662" t="s">
        <v>92</v>
      </c>
      <c r="K34" s="662">
        <f>VLOOKUP(C34,'Thu loc'!B:F,5,0)</f>
        <v>320000</v>
      </c>
      <c r="L34" s="663" t="str">
        <f>VLOOKUP(C34,'KL theo HĐ'!C:C,1,)</f>
        <v>Bộ chống chằng hẹp Φ60/50x1500+2BL12x40+BL16x250/80</v>
      </c>
    </row>
    <row r="35" spans="1:12" s="663" customFormat="1" ht="24" customHeight="1">
      <c r="A35" s="662"/>
      <c r="B35" s="356" t="s">
        <v>330</v>
      </c>
      <c r="C35" s="361" t="s">
        <v>214</v>
      </c>
      <c r="D35" s="356" t="s">
        <v>212</v>
      </c>
      <c r="E35" s="356">
        <v>10</v>
      </c>
      <c r="F35" s="356">
        <v>5</v>
      </c>
      <c r="G35" s="367" t="s">
        <v>433</v>
      </c>
      <c r="H35" s="356">
        <v>5</v>
      </c>
      <c r="I35" s="444" t="s">
        <v>281</v>
      </c>
      <c r="J35" s="662" t="s">
        <v>92</v>
      </c>
      <c r="K35" s="662">
        <f>VLOOKUP(C35,'Thu loc'!B:F,5,0)</f>
        <v>15200</v>
      </c>
      <c r="L35" s="663" t="str">
        <f>VLOOKUP(C35,'KL theo HĐ'!C:C,1,)</f>
        <v>Boulon 14x120+ 2 long đền vuông D16-50x50x3/Zn</v>
      </c>
    </row>
    <row r="36" spans="1:12" s="662" customFormat="1" ht="24" customHeight="1">
      <c r="A36" s="662" t="s">
        <v>215</v>
      </c>
      <c r="B36" s="356" t="s">
        <v>331</v>
      </c>
      <c r="C36" s="361" t="s">
        <v>213</v>
      </c>
      <c r="D36" s="356" t="s">
        <v>212</v>
      </c>
      <c r="E36" s="356">
        <v>141</v>
      </c>
      <c r="F36" s="356">
        <v>120</v>
      </c>
      <c r="G36" s="367" t="s">
        <v>433</v>
      </c>
      <c r="H36" s="356">
        <v>21</v>
      </c>
      <c r="I36" s="444" t="s">
        <v>281</v>
      </c>
      <c r="J36" s="662" t="s">
        <v>92</v>
      </c>
      <c r="K36" s="662">
        <f>VLOOKUP(C36,'Thu loc'!B:F,5,0)</f>
        <v>20900</v>
      </c>
      <c r="L36" s="663" t="str">
        <f>VLOOKUP(C36,'KL theo HĐ'!C:C,1,)</f>
        <v>Boulon 16x250 + 02 long đền vuông D18-50x50x3/Zn</v>
      </c>
    </row>
    <row r="37" spans="1:12" s="374" customFormat="1" ht="24" customHeight="1">
      <c r="A37" s="369"/>
      <c r="B37" s="370" t="s">
        <v>332</v>
      </c>
      <c r="C37" s="361" t="s">
        <v>253</v>
      </c>
      <c r="D37" s="356" t="s">
        <v>212</v>
      </c>
      <c r="E37" s="356">
        <v>172</v>
      </c>
      <c r="F37" s="356">
        <v>170</v>
      </c>
      <c r="G37" s="367" t="s">
        <v>433</v>
      </c>
      <c r="H37" s="356">
        <v>2</v>
      </c>
      <c r="I37" s="444" t="s">
        <v>281</v>
      </c>
      <c r="J37" s="662" t="s">
        <v>92</v>
      </c>
      <c r="K37" s="662">
        <f>VLOOKUP(C37,'Thu loc'!B:F,5,0)</f>
        <v>23750</v>
      </c>
      <c r="L37" s="663" t="str">
        <f>VLOOKUP(C37,'KL theo HĐ'!C:C,1,)</f>
        <v>Boulon 16x300 + 02 long đền vuông D18-50x50x3/Zn</v>
      </c>
    </row>
    <row r="38" spans="1:12" s="662" customFormat="1" ht="24" customHeight="1">
      <c r="B38" s="356" t="s">
        <v>333</v>
      </c>
      <c r="C38" s="361" t="s">
        <v>211</v>
      </c>
      <c r="D38" s="356" t="s">
        <v>212</v>
      </c>
      <c r="E38" s="356">
        <v>10</v>
      </c>
      <c r="F38" s="356">
        <v>8</v>
      </c>
      <c r="G38" s="367" t="s">
        <v>433</v>
      </c>
      <c r="H38" s="356">
        <v>2</v>
      </c>
      <c r="I38" s="444" t="s">
        <v>281</v>
      </c>
      <c r="J38" s="662" t="s">
        <v>92</v>
      </c>
      <c r="K38" s="662">
        <f>VLOOKUP(C38,'Thu loc'!B:F,5,0)</f>
        <v>26600</v>
      </c>
      <c r="L38" s="663" t="str">
        <f>VLOOKUP(C38,'KL theo HĐ'!C:C,1,)</f>
        <v>Boulon 16x350+ 2 long đền vuông D18-50x50x3/Zn</v>
      </c>
    </row>
    <row r="39" spans="1:12" s="662" customFormat="1" ht="24" customHeight="1">
      <c r="B39" s="356" t="s">
        <v>334</v>
      </c>
      <c r="C39" s="361" t="s">
        <v>204</v>
      </c>
      <c r="D39" s="356" t="s">
        <v>190</v>
      </c>
      <c r="E39" s="356">
        <v>104</v>
      </c>
      <c r="F39" s="356">
        <v>104</v>
      </c>
      <c r="G39" s="367" t="s">
        <v>433</v>
      </c>
      <c r="H39" s="356" t="s">
        <v>433</v>
      </c>
      <c r="I39" s="462"/>
      <c r="J39" s="662" t="s">
        <v>92</v>
      </c>
      <c r="K39" s="662">
        <f>VLOOKUP(C39,'Thu loc'!B:F,5,0)</f>
        <v>25600</v>
      </c>
      <c r="L39" s="663" t="str">
        <f>VLOOKUP(C39,'KL theo HĐ'!C:C,1,)</f>
        <v>Boulon D16x300VRS + 02 long đền vuông D18-50x50x3/Zn: (02 cái/ bộ)</v>
      </c>
    </row>
    <row r="40" spans="1:12" s="662" customFormat="1" ht="24" customHeight="1">
      <c r="B40" s="356" t="s">
        <v>336</v>
      </c>
      <c r="C40" s="361" t="s">
        <v>203</v>
      </c>
      <c r="D40" s="356" t="s">
        <v>190</v>
      </c>
      <c r="E40" s="356">
        <v>104</v>
      </c>
      <c r="F40" s="356">
        <v>104</v>
      </c>
      <c r="G40" s="367" t="s">
        <v>433</v>
      </c>
      <c r="H40" s="356" t="s">
        <v>433</v>
      </c>
      <c r="I40" s="462"/>
      <c r="J40" s="662" t="s">
        <v>92</v>
      </c>
      <c r="K40" s="662">
        <f>VLOOKUP(C40,'Thu loc'!B:F,5,0)</f>
        <v>17100</v>
      </c>
      <c r="L40" s="663" t="str">
        <f>VLOOKUP(C40,'KL theo HĐ'!C:C,1,)</f>
        <v>Boulon D16x50 + 02 long đền vuông D18-50x50x3/Zn: (02 cái/ bộ)</v>
      </c>
    </row>
    <row r="41" spans="1:12" s="665" customFormat="1" ht="24" customHeight="1">
      <c r="A41" s="662"/>
      <c r="B41" s="356" t="s">
        <v>337</v>
      </c>
      <c r="C41" s="361" t="s">
        <v>222</v>
      </c>
      <c r="D41" s="356" t="s">
        <v>212</v>
      </c>
      <c r="E41" s="356">
        <v>219</v>
      </c>
      <c r="F41" s="356">
        <v>217</v>
      </c>
      <c r="G41" s="367" t="s">
        <v>433</v>
      </c>
      <c r="H41" s="356">
        <v>2</v>
      </c>
      <c r="I41" s="444" t="s">
        <v>281</v>
      </c>
      <c r="J41" s="662" t="s">
        <v>92</v>
      </c>
      <c r="K41" s="662">
        <f>VLOOKUP(C41,'Thu loc'!B:F,5,0)</f>
        <v>28500</v>
      </c>
      <c r="L41" s="663" t="str">
        <f>VLOOKUP(C41,'KL theo HĐ'!C:C,1,)</f>
        <v>Boulon mắt 16x250 + 01 long đền vuông D18-50x50x3/Zn</v>
      </c>
    </row>
    <row r="42" spans="1:12" s="662" customFormat="1" ht="24" customHeight="1">
      <c r="B42" s="356" t="s">
        <v>338</v>
      </c>
      <c r="C42" s="361" t="s">
        <v>246</v>
      </c>
      <c r="D42" s="356" t="s">
        <v>212</v>
      </c>
      <c r="E42" s="356">
        <v>74</v>
      </c>
      <c r="F42" s="356">
        <v>72</v>
      </c>
      <c r="G42" s="367" t="s">
        <v>433</v>
      </c>
      <c r="H42" s="356">
        <v>2</v>
      </c>
      <c r="I42" s="444" t="s">
        <v>281</v>
      </c>
      <c r="J42" s="662" t="s">
        <v>92</v>
      </c>
      <c r="K42" s="662">
        <f>VLOOKUP(C42,'Thu loc'!B:F,5,0)</f>
        <v>33200</v>
      </c>
      <c r="L42" s="663" t="str">
        <f>VLOOKUP(C42,'KL theo HĐ'!C:C,1,)</f>
        <v>Boulon mắt 16x300 + 1 long đền vuông D18-50x50x3/Zn</v>
      </c>
    </row>
    <row r="43" spans="1:12" s="662" customFormat="1" ht="24" customHeight="1">
      <c r="A43" s="662" t="s">
        <v>225</v>
      </c>
      <c r="B43" s="356" t="s">
        <v>340</v>
      </c>
      <c r="C43" s="361" t="s">
        <v>275</v>
      </c>
      <c r="D43" s="356" t="s">
        <v>190</v>
      </c>
      <c r="E43" s="356">
        <v>10</v>
      </c>
      <c r="F43" s="356">
        <v>10</v>
      </c>
      <c r="G43" s="367" t="s">
        <v>433</v>
      </c>
      <c r="H43" s="356" t="s">
        <v>433</v>
      </c>
      <c r="I43" s="462"/>
      <c r="J43" s="662" t="s">
        <v>92</v>
      </c>
      <c r="K43" s="662">
        <f>VLOOKUP(C43,'Thu loc'!B:F,5,0)</f>
        <v>237500</v>
      </c>
      <c r="L43" s="663" t="str">
        <f>VLOOKUP(C43,'KL theo HĐ'!C:C,1,)</f>
        <v>Chụp FCO (Trên + Dưới)</v>
      </c>
    </row>
    <row r="44" spans="1:12" s="377" customFormat="1" ht="24" customHeight="1">
      <c r="A44" s="369"/>
      <c r="B44" s="370" t="s">
        <v>341</v>
      </c>
      <c r="C44" s="361" t="s">
        <v>273</v>
      </c>
      <c r="D44" s="356" t="s">
        <v>190</v>
      </c>
      <c r="E44" s="356">
        <v>33</v>
      </c>
      <c r="F44" s="356">
        <v>31</v>
      </c>
      <c r="G44" s="367" t="s">
        <v>433</v>
      </c>
      <c r="H44" s="356">
        <v>2</v>
      </c>
      <c r="I44" s="444" t="s">
        <v>281</v>
      </c>
      <c r="J44" s="662" t="s">
        <v>92</v>
      </c>
      <c r="K44" s="662">
        <f>VLOOKUP(C44,'Thu loc'!B:F,5,0)</f>
        <v>95000</v>
      </c>
      <c r="L44" s="663" t="str">
        <f>VLOOKUP(C44,'KL theo HĐ'!C:C,1,)</f>
        <v>Chụp kẹp quai hotline</v>
      </c>
    </row>
    <row r="45" spans="1:12" s="662" customFormat="1" ht="24" customHeight="1">
      <c r="B45" s="356" t="s">
        <v>342</v>
      </c>
      <c r="C45" s="361" t="s">
        <v>276</v>
      </c>
      <c r="D45" s="356" t="s">
        <v>190</v>
      </c>
      <c r="E45" s="356">
        <v>5</v>
      </c>
      <c r="F45" s="356">
        <v>4</v>
      </c>
      <c r="G45" s="367" t="s">
        <v>433</v>
      </c>
      <c r="H45" s="356">
        <v>1</v>
      </c>
      <c r="I45" s="444" t="s">
        <v>281</v>
      </c>
      <c r="J45" s="662" t="s">
        <v>92</v>
      </c>
      <c r="K45" s="662">
        <f>VLOOKUP(C45,'Thu loc'!B:F,5,0)</f>
        <v>76000</v>
      </c>
      <c r="L45" s="663" t="str">
        <f>VLOOKUP(C45,'KL theo HĐ'!C:C,1,)</f>
        <v>Chụp LA</v>
      </c>
    </row>
    <row r="46" spans="1:12" s="662" customFormat="1" ht="24" customHeight="1">
      <c r="B46" s="356" t="s">
        <v>343</v>
      </c>
      <c r="C46" s="361" t="s">
        <v>187</v>
      </c>
      <c r="D46" s="356" t="s">
        <v>188</v>
      </c>
      <c r="E46" s="356">
        <v>33</v>
      </c>
      <c r="F46" s="356">
        <v>33</v>
      </c>
      <c r="G46" s="367" t="s">
        <v>433</v>
      </c>
      <c r="H46" s="356" t="s">
        <v>433</v>
      </c>
      <c r="I46" s="462"/>
      <c r="J46" s="662" t="s">
        <v>92</v>
      </c>
      <c r="K46" s="662">
        <f>VLOOKUP(C46,'Thu loc'!B:F,5,0)</f>
        <v>123500</v>
      </c>
      <c r="L46" s="663" t="str">
        <f>VLOOKUP(C46,'KL theo HĐ'!C:C,1,)</f>
        <v>Cọc tiếp địa mạ đồng 16x2400</v>
      </c>
    </row>
    <row r="47" spans="1:12" s="662" customFormat="1" ht="24" customHeight="1">
      <c r="B47" s="356" t="s">
        <v>344</v>
      </c>
      <c r="C47" s="361" t="s">
        <v>282</v>
      </c>
      <c r="D47" s="356" t="s">
        <v>190</v>
      </c>
      <c r="E47" s="356">
        <v>172</v>
      </c>
      <c r="F47" s="356">
        <v>170</v>
      </c>
      <c r="G47" s="367" t="s">
        <v>433</v>
      </c>
      <c r="H47" s="356">
        <v>2</v>
      </c>
      <c r="I47" s="444" t="s">
        <v>281</v>
      </c>
      <c r="J47" s="662" t="s">
        <v>92</v>
      </c>
      <c r="K47" s="662">
        <f>VLOOKUP(C47,'Thu loc'!B:F,5,0)</f>
        <v>120000</v>
      </c>
      <c r="L47" s="663" t="str">
        <f>VLOOKUP(C47,'KL theo HĐ'!C:C,1,)</f>
        <v>Dây buộc cổ sứ đỡ góc vào dây ACX50mm2</v>
      </c>
    </row>
    <row r="48" spans="1:12" s="662" customFormat="1" ht="24" customHeight="1">
      <c r="B48" s="356" t="s">
        <v>345</v>
      </c>
      <c r="C48" s="361" t="s">
        <v>280</v>
      </c>
      <c r="D48" s="356" t="s">
        <v>190</v>
      </c>
      <c r="E48" s="356">
        <v>106</v>
      </c>
      <c r="F48" s="356">
        <v>99</v>
      </c>
      <c r="G48" s="367" t="s">
        <v>433</v>
      </c>
      <c r="H48" s="356">
        <v>7</v>
      </c>
      <c r="I48" s="444" t="s">
        <v>281</v>
      </c>
      <c r="J48" s="662" t="s">
        <v>92</v>
      </c>
      <c r="K48" s="662">
        <f>VLOOKUP(C48,'Thu loc'!B:F,5,0)</f>
        <v>240000</v>
      </c>
      <c r="L48" s="663" t="str">
        <f>VLOOKUP(C48,'KL theo HĐ'!C:C,1,)</f>
        <v>Dây buộc cổ sứ đỡ thẳng vào dây ACX50mm2</v>
      </c>
    </row>
    <row r="49" spans="1:12" s="662" customFormat="1" ht="24" customHeight="1">
      <c r="B49" s="356" t="s">
        <v>348</v>
      </c>
      <c r="C49" s="361" t="s">
        <v>263</v>
      </c>
      <c r="D49" s="356" t="s">
        <v>212</v>
      </c>
      <c r="E49" s="356">
        <v>74</v>
      </c>
      <c r="F49" s="356">
        <v>74</v>
      </c>
      <c r="G49" s="367" t="s">
        <v>433</v>
      </c>
      <c r="H49" s="356" t="s">
        <v>433</v>
      </c>
      <c r="I49" s="462"/>
      <c r="J49" s="662" t="s">
        <v>92</v>
      </c>
      <c r="K49" s="662">
        <f>VLOOKUP(C49,'Thu loc'!B:F,5,0)</f>
        <v>210000</v>
      </c>
      <c r="L49" s="663" t="str">
        <f>VLOOKUP(C49,'KL theo HĐ'!C:C,1,)</f>
        <v>Giáp níu dừng dây bọc trung thế ACX50mm2 + Yếm móng U giáp níu</v>
      </c>
    </row>
    <row r="50" spans="1:12" s="662" customFormat="1" ht="24" customHeight="1">
      <c r="B50" s="356" t="s">
        <v>349</v>
      </c>
      <c r="C50" s="361" t="s">
        <v>271</v>
      </c>
      <c r="D50" s="356" t="s">
        <v>190</v>
      </c>
      <c r="E50" s="356">
        <v>16</v>
      </c>
      <c r="F50" s="356">
        <v>16</v>
      </c>
      <c r="G50" s="367" t="s">
        <v>433</v>
      </c>
      <c r="H50" s="356" t="s">
        <v>433</v>
      </c>
      <c r="I50" s="462"/>
      <c r="J50" s="662" t="s">
        <v>92</v>
      </c>
      <c r="K50" s="662">
        <f>VLOOKUP(C50,'Thu loc'!B:F,5,0)</f>
        <v>57000</v>
      </c>
      <c r="L50" s="663" t="str">
        <f>VLOOKUP(C50,'KL theo HĐ'!C:C,1,)</f>
        <v>Hotline clamp mạ Sn 2/0</v>
      </c>
    </row>
    <row r="51" spans="1:12" s="666" customFormat="1" ht="24" customHeight="1">
      <c r="A51" s="662"/>
      <c r="B51" s="367" t="s">
        <v>350</v>
      </c>
      <c r="C51" s="361" t="s">
        <v>272</v>
      </c>
      <c r="D51" s="356" t="s">
        <v>190</v>
      </c>
      <c r="E51" s="356">
        <v>8</v>
      </c>
      <c r="F51" s="356">
        <v>8</v>
      </c>
      <c r="G51" s="367" t="s">
        <v>433</v>
      </c>
      <c r="H51" s="356" t="s">
        <v>433</v>
      </c>
      <c r="I51" s="462"/>
      <c r="J51" s="662" t="s">
        <v>92</v>
      </c>
      <c r="K51" s="662">
        <f>VLOOKUP(C51,'Thu loc'!B:F,5,0)</f>
        <v>80000</v>
      </c>
      <c r="L51" s="663" t="str">
        <f>VLOOKUP(C51,'KL theo HĐ'!C:C,1,)</f>
        <v>Hotline clamp mạ Sn 4/0</v>
      </c>
    </row>
    <row r="52" spans="1:12" s="666" customFormat="1" ht="24" customHeight="1">
      <c r="A52" s="662"/>
      <c r="B52" s="367" t="s">
        <v>351</v>
      </c>
      <c r="C52" s="361" t="s">
        <v>221</v>
      </c>
      <c r="D52" s="356" t="s">
        <v>190</v>
      </c>
      <c r="E52" s="356">
        <v>1168</v>
      </c>
      <c r="F52" s="356">
        <v>1152</v>
      </c>
      <c r="G52" s="367" t="s">
        <v>433</v>
      </c>
      <c r="H52" s="356">
        <v>16</v>
      </c>
      <c r="I52" s="444" t="s">
        <v>281</v>
      </c>
      <c r="J52" s="662" t="s">
        <v>92</v>
      </c>
      <c r="K52" s="662">
        <f>VLOOKUP(C52,'Thu loc'!B:F,5,0)</f>
        <v>32000</v>
      </c>
      <c r="L52" s="663" t="str">
        <f>VLOOKUP(C52,'KL theo HĐ'!C:C,1,)</f>
        <v>Kẹp chằng 3 boulon 5/8"/Zn (B46x130): 08 cái/ bộ</v>
      </c>
    </row>
    <row r="53" spans="1:12" s="666" customFormat="1" ht="24" customHeight="1">
      <c r="A53" s="662"/>
      <c r="B53" s="367" t="s">
        <v>352</v>
      </c>
      <c r="C53" s="361" t="s">
        <v>192</v>
      </c>
      <c r="D53" s="356" t="s">
        <v>190</v>
      </c>
      <c r="E53" s="356">
        <v>33</v>
      </c>
      <c r="F53" s="356">
        <v>33</v>
      </c>
      <c r="G53" s="367" t="s">
        <v>433</v>
      </c>
      <c r="H53" s="356" t="s">
        <v>433</v>
      </c>
      <c r="I53" s="462"/>
      <c r="J53" s="662" t="s">
        <v>92</v>
      </c>
      <c r="K53" s="662">
        <f>VLOOKUP(C53,'Thu loc'!B:F,5,0)</f>
        <v>14200</v>
      </c>
      <c r="L53" s="663" t="str">
        <f>VLOOKUP(C53,'KL theo HĐ'!C:C,1,)</f>
        <v>Kẹp cọc tiếp địa Cu</v>
      </c>
    </row>
    <row r="54" spans="1:12" s="666" customFormat="1" ht="24" customHeight="1">
      <c r="A54" s="662"/>
      <c r="B54" s="367" t="s">
        <v>353</v>
      </c>
      <c r="C54" s="361" t="s">
        <v>245</v>
      </c>
      <c r="D54" s="356" t="s">
        <v>190</v>
      </c>
      <c r="E54" s="356">
        <v>74</v>
      </c>
      <c r="F54" s="356">
        <v>72</v>
      </c>
      <c r="G54" s="367" t="s">
        <v>433</v>
      </c>
      <c r="H54" s="356">
        <v>2</v>
      </c>
      <c r="I54" s="444" t="s">
        <v>281</v>
      </c>
      <c r="J54" s="662" t="s">
        <v>92</v>
      </c>
      <c r="K54" s="662">
        <f>VLOOKUP(C54,'Thu loc'!B:F,5,0)</f>
        <v>76000</v>
      </c>
      <c r="L54" s="663" t="str">
        <f>VLOOKUP(C54,'KL theo HĐ'!C:C,1,)</f>
        <v>Kẹp dừng dây 3U-4mm (50-70mm2)</v>
      </c>
    </row>
    <row r="55" spans="1:12" s="666" customFormat="1" ht="24" customHeight="1">
      <c r="A55" s="662"/>
      <c r="B55" s="367" t="s">
        <v>354</v>
      </c>
      <c r="C55" s="361" t="s">
        <v>189</v>
      </c>
      <c r="D55" s="356" t="s">
        <v>190</v>
      </c>
      <c r="E55" s="356">
        <v>70</v>
      </c>
      <c r="F55" s="356">
        <v>70</v>
      </c>
      <c r="G55" s="367" t="s">
        <v>433</v>
      </c>
      <c r="H55" s="356" t="s">
        <v>433</v>
      </c>
      <c r="I55" s="462"/>
      <c r="J55" s="662" t="s">
        <v>92</v>
      </c>
      <c r="K55" s="662">
        <f>VLOOKUP(C55,'Thu loc'!B:F,5,0)</f>
        <v>28500</v>
      </c>
      <c r="L55" s="663" t="str">
        <f>VLOOKUP(C55,'KL theo HĐ'!C:C,1,)</f>
        <v>Kẹp ép WR 279</v>
      </c>
    </row>
    <row r="56" spans="1:12" s="666" customFormat="1" ht="24" customHeight="1">
      <c r="A56" s="662"/>
      <c r="B56" s="367" t="s">
        <v>355</v>
      </c>
      <c r="C56" s="361" t="s">
        <v>265</v>
      </c>
      <c r="D56" s="356" t="s">
        <v>190</v>
      </c>
      <c r="E56" s="356">
        <v>4</v>
      </c>
      <c r="F56" s="356">
        <v>4</v>
      </c>
      <c r="G56" s="367" t="s">
        <v>433</v>
      </c>
      <c r="H56" s="356" t="s">
        <v>433</v>
      </c>
      <c r="I56" s="462"/>
      <c r="J56" s="662" t="s">
        <v>92</v>
      </c>
      <c r="K56" s="662">
        <f>VLOOKUP(C56,'Thu loc'!B:F,5,0)</f>
        <v>33200</v>
      </c>
      <c r="L56" s="663" t="str">
        <f>VLOOKUP(C56,'KL theo HĐ'!C:C,1,)</f>
        <v>Kẹp ép WR 419 (120/120)</v>
      </c>
    </row>
    <row r="57" spans="1:12" s="662" customFormat="1" ht="24" customHeight="1">
      <c r="A57" s="360" t="s">
        <v>229</v>
      </c>
      <c r="B57" s="356" t="s">
        <v>356</v>
      </c>
      <c r="C57" s="361" t="s">
        <v>269</v>
      </c>
      <c r="D57" s="356" t="s">
        <v>212</v>
      </c>
      <c r="E57" s="356">
        <v>35</v>
      </c>
      <c r="F57" s="356">
        <v>34</v>
      </c>
      <c r="G57" s="367" t="s">
        <v>433</v>
      </c>
      <c r="H57" s="356">
        <v>1</v>
      </c>
      <c r="I57" s="444" t="s">
        <v>281</v>
      </c>
      <c r="J57" s="662" t="s">
        <v>92</v>
      </c>
      <c r="K57" s="662">
        <f>VLOOKUP(C57,'Thu loc'!B:F,5,0)</f>
        <v>142500</v>
      </c>
      <c r="L57" s="663" t="str">
        <f>VLOOKUP(C57,'KL theo HĐ'!C:C,1,)</f>
        <v>Kẹp quai Al-Cu 8 ly (4/0)</v>
      </c>
    </row>
    <row r="58" spans="1:12" s="662" customFormat="1" ht="24" customHeight="1">
      <c r="B58" s="356" t="s">
        <v>357</v>
      </c>
      <c r="C58" s="361" t="s">
        <v>224</v>
      </c>
      <c r="D58" s="356" t="s">
        <v>190</v>
      </c>
      <c r="E58" s="356">
        <v>143</v>
      </c>
      <c r="F58" s="356">
        <v>141</v>
      </c>
      <c r="G58" s="367" t="s">
        <v>433</v>
      </c>
      <c r="H58" s="356">
        <v>2</v>
      </c>
      <c r="I58" s="444" t="s">
        <v>281</v>
      </c>
      <c r="J58" s="662" t="s">
        <v>92</v>
      </c>
      <c r="K58" s="662">
        <f>VLOOKUP(C58,'Thu loc'!B:F,5,0)</f>
        <v>45000</v>
      </c>
      <c r="L58" s="663" t="str">
        <f>VLOOKUP(C58,'KL theo HĐ'!C:C,1,)</f>
        <v>Máng che dây chằng 0,8x2000: 01 cái/ bộ</v>
      </c>
    </row>
    <row r="59" spans="1:12" s="662" customFormat="1" ht="24" customHeight="1">
      <c r="B59" s="356" t="s">
        <v>358</v>
      </c>
      <c r="C59" s="361" t="s">
        <v>261</v>
      </c>
      <c r="D59" s="356" t="s">
        <v>190</v>
      </c>
      <c r="E59" s="356">
        <v>74</v>
      </c>
      <c r="F59" s="356">
        <v>74</v>
      </c>
      <c r="G59" s="367" t="s">
        <v>433</v>
      </c>
      <c r="H59" s="356" t="s">
        <v>433</v>
      </c>
      <c r="I59" s="444" t="s">
        <v>281</v>
      </c>
      <c r="J59" s="662" t="s">
        <v>92</v>
      </c>
      <c r="K59" s="662">
        <f>VLOOKUP(C59,'Thu loc'!B:F,5,0)</f>
        <v>23700</v>
      </c>
      <c r="L59" s="663" t="str">
        <f>VLOOKUP(C59,'KL theo HĐ'!C:C,1,)</f>
        <v>Móc treo chữ U Ø16: dài 100</v>
      </c>
    </row>
    <row r="60" spans="1:12" s="663" customFormat="1" ht="24" customHeight="1">
      <c r="A60" s="662"/>
      <c r="B60" s="356" t="s">
        <v>359</v>
      </c>
      <c r="C60" s="361" t="s">
        <v>233</v>
      </c>
      <c r="D60" s="356" t="s">
        <v>190</v>
      </c>
      <c r="E60" s="356">
        <v>5</v>
      </c>
      <c r="F60" s="356">
        <v>3</v>
      </c>
      <c r="G60" s="367" t="s">
        <v>433</v>
      </c>
      <c r="H60" s="356">
        <v>2</v>
      </c>
      <c r="I60" s="444" t="s">
        <v>281</v>
      </c>
      <c r="J60" s="662" t="s">
        <v>92</v>
      </c>
      <c r="K60" s="662">
        <f>VLOOKUP(C60,'Thu loc'!B:F,5,0)</f>
        <v>76000</v>
      </c>
      <c r="L60" s="663" t="str">
        <f>VLOOKUP(C60,'KL theo HĐ'!C:C,1,)</f>
        <v>Neo xòe 8H-135inch2 + đĩa sen (sơn đen)</v>
      </c>
    </row>
    <row r="61" spans="1:12" s="662" customFormat="1" ht="24" customHeight="1">
      <c r="B61" s="380" t="s">
        <v>360</v>
      </c>
      <c r="C61" s="361" t="s">
        <v>191</v>
      </c>
      <c r="D61" s="356" t="s">
        <v>190</v>
      </c>
      <c r="E61" s="356">
        <v>66</v>
      </c>
      <c r="F61" s="356">
        <v>66</v>
      </c>
      <c r="G61" s="367" t="s">
        <v>433</v>
      </c>
      <c r="H61" s="356" t="s">
        <v>433</v>
      </c>
      <c r="I61" s="444"/>
      <c r="J61" s="662" t="s">
        <v>92</v>
      </c>
      <c r="K61" s="662">
        <f>VLOOKUP(C61,'Thu loc'!B:F,5,0)</f>
        <v>23700</v>
      </c>
      <c r="L61" s="663" t="str">
        <f>VLOOKUP(C61,'KL theo HĐ'!C:C,1,)</f>
        <v>Ốc siết cáp 38mm2</v>
      </c>
    </row>
    <row r="62" spans="1:12" s="404" customFormat="1" ht="16.8">
      <c r="B62" s="464" t="s">
        <v>361</v>
      </c>
      <c r="C62" s="361" t="s">
        <v>286</v>
      </c>
      <c r="D62" s="356" t="s">
        <v>219</v>
      </c>
      <c r="E62" s="356">
        <v>41</v>
      </c>
      <c r="F62" s="356">
        <v>20.5</v>
      </c>
      <c r="G62" s="367" t="s">
        <v>433</v>
      </c>
      <c r="H62" s="356">
        <v>20.5</v>
      </c>
      <c r="I62" s="444" t="s">
        <v>281</v>
      </c>
      <c r="J62" s="662" t="s">
        <v>92</v>
      </c>
      <c r="K62" s="662">
        <f>VLOOKUP(C62,'Thu loc'!B:F,5,0)</f>
        <v>120000</v>
      </c>
      <c r="L62" s="663" t="str">
        <f>VLOOKUP(C62,'KL theo HĐ'!C:C,1,)</f>
        <v>Ống co nhiệt cách điện loại Ф 50/25 độ dày &gt;1mm</v>
      </c>
    </row>
    <row r="63" spans="1:12" s="667" customFormat="1" ht="24" customHeight="1">
      <c r="B63" s="356" t="s">
        <v>362</v>
      </c>
      <c r="C63" s="361" t="s">
        <v>363</v>
      </c>
      <c r="D63" s="356" t="s">
        <v>284</v>
      </c>
      <c r="E63" s="356">
        <v>41</v>
      </c>
      <c r="F63" s="356">
        <v>20</v>
      </c>
      <c r="G63" s="367" t="s">
        <v>433</v>
      </c>
      <c r="H63" s="356">
        <v>21</v>
      </c>
      <c r="I63" s="444" t="s">
        <v>281</v>
      </c>
      <c r="J63" s="662" t="s">
        <v>92</v>
      </c>
      <c r="K63" s="662">
        <f>VLOOKUP(C63,'Thu loc'!B:F,5,0)</f>
        <v>28500</v>
      </c>
      <c r="L63" s="663" t="str">
        <f>VLOOKUP(C63,'KL theo HĐ'!C:C,1,)</f>
        <v>Ống nối dây AC50mm2 (không có lõi thép)</v>
      </c>
    </row>
    <row r="64" spans="1:12" s="662" customFormat="1" ht="24" customHeight="1">
      <c r="B64" s="356" t="s">
        <v>364</v>
      </c>
      <c r="C64" s="361" t="s">
        <v>365</v>
      </c>
      <c r="D64" s="356" t="s">
        <v>284</v>
      </c>
      <c r="E64" s="356">
        <v>1</v>
      </c>
      <c r="F64" s="356">
        <v>1</v>
      </c>
      <c r="G64" s="367" t="s">
        <v>433</v>
      </c>
      <c r="H64" s="356" t="s">
        <v>433</v>
      </c>
      <c r="I64" s="462"/>
      <c r="J64" s="662" t="s">
        <v>92</v>
      </c>
      <c r="K64" s="662">
        <f>VLOOKUP(C64,'Thu loc'!B:F,5,0)</f>
        <v>33200</v>
      </c>
      <c r="L64" s="663" t="str">
        <f>VLOOKUP(C64,'KL theo HĐ'!C:C,1,)</f>
        <v>Ống nối dây AC95mm2 (không có lõi thép)</v>
      </c>
    </row>
    <row r="65" spans="1:12" s="662" customFormat="1" ht="24" customHeight="1">
      <c r="B65" s="356" t="s">
        <v>366</v>
      </c>
      <c r="C65" s="361" t="s">
        <v>289</v>
      </c>
      <c r="D65" s="356" t="s">
        <v>290</v>
      </c>
      <c r="E65" s="356">
        <v>1</v>
      </c>
      <c r="F65" s="356">
        <v>1</v>
      </c>
      <c r="G65" s="367" t="s">
        <v>433</v>
      </c>
      <c r="H65" s="356" t="s">
        <v>433</v>
      </c>
      <c r="I65" s="462"/>
      <c r="J65" s="662" t="s">
        <v>92</v>
      </c>
      <c r="K65" s="662">
        <f>VLOOKUP(C65,'Thu loc'!B:F,5,0)</f>
        <v>130000</v>
      </c>
      <c r="L65" s="663" t="str">
        <f>VLOOKUP(C65,'KL theo HĐ'!C:C,1,)</f>
        <v>Sơn đen (sơn chữ): 400ml (1bình/15 trụ)</v>
      </c>
    </row>
    <row r="66" spans="1:12" s="662" customFormat="1" ht="24" customHeight="1">
      <c r="B66" s="356" t="s">
        <v>367</v>
      </c>
      <c r="C66" s="361" t="s">
        <v>288</v>
      </c>
      <c r="D66" s="356" t="s">
        <v>30</v>
      </c>
      <c r="E66" s="356">
        <v>1</v>
      </c>
      <c r="F66" s="356">
        <v>1</v>
      </c>
      <c r="G66" s="367" t="s">
        <v>433</v>
      </c>
      <c r="H66" s="356" t="s">
        <v>433</v>
      </c>
      <c r="I66" s="462"/>
      <c r="J66" s="662" t="s">
        <v>92</v>
      </c>
      <c r="K66" s="662">
        <f>VLOOKUP(C66,'Thu loc'!B:F,5,0)</f>
        <v>130000</v>
      </c>
      <c r="L66" s="663" t="str">
        <f>VLOOKUP(C66,'KL theo HĐ'!C:C,1,)</f>
        <v>Sơn trắng (sơn nền):1kg/20 trụ</v>
      </c>
    </row>
    <row r="67" spans="1:12" s="667" customFormat="1" ht="24" customHeight="1">
      <c r="A67" s="662"/>
      <c r="B67" s="356" t="s">
        <v>368</v>
      </c>
      <c r="C67" s="361" t="s">
        <v>232</v>
      </c>
      <c r="D67" s="356" t="s">
        <v>190</v>
      </c>
      <c r="E67" s="356">
        <v>5</v>
      </c>
      <c r="F67" s="356">
        <v>3</v>
      </c>
      <c r="G67" s="367" t="s">
        <v>433</v>
      </c>
      <c r="H67" s="356">
        <v>2</v>
      </c>
      <c r="I67" s="444" t="s">
        <v>281</v>
      </c>
      <c r="J67" s="662" t="s">
        <v>92</v>
      </c>
      <c r="K67" s="662">
        <f>VLOOKUP(C67,'Thu loc'!B:F,5,0)</f>
        <v>260000</v>
      </c>
      <c r="L67" s="663" t="str">
        <f>VLOOKUP(C67,'KL theo HĐ'!C:C,1,)</f>
        <v>Ty neo Ø22x2400</v>
      </c>
    </row>
    <row r="68" spans="1:12" s="662" customFormat="1" ht="24" customHeight="1">
      <c r="B68" s="356" t="s">
        <v>369</v>
      </c>
      <c r="C68" s="361" t="s">
        <v>223</v>
      </c>
      <c r="D68" s="356" t="s">
        <v>190</v>
      </c>
      <c r="E68" s="356">
        <v>292</v>
      </c>
      <c r="F68" s="407">
        <v>288</v>
      </c>
      <c r="G68" s="367" t="s">
        <v>433</v>
      </c>
      <c r="H68" s="356">
        <v>4</v>
      </c>
      <c r="I68" s="444" t="s">
        <v>281</v>
      </c>
      <c r="J68" s="662" t="s">
        <v>92</v>
      </c>
      <c r="K68" s="662">
        <f>VLOOKUP(C68,'Thu loc'!B:F,5,0)</f>
        <v>9500</v>
      </c>
      <c r="L68" s="663" t="str">
        <f>VLOOKUP(C68,'KL theo HĐ'!C:C,1,)</f>
        <v>Yếm đỡ dây chằng Ø1/2" mạ kẽm - dày 2mm đỡ dây chằng 5/8: 02 cái / bộ</v>
      </c>
    </row>
    <row r="69" spans="1:12" s="466" customFormat="1" ht="24" customHeight="1">
      <c r="A69" s="374"/>
      <c r="B69" s="351" t="s">
        <v>370</v>
      </c>
      <c r="C69" s="459" t="s">
        <v>371</v>
      </c>
      <c r="D69" s="351"/>
      <c r="E69" s="351"/>
      <c r="F69" s="351">
        <v>0</v>
      </c>
      <c r="G69" s="367" t="s">
        <v>433</v>
      </c>
      <c r="H69" s="351"/>
      <c r="I69" s="465"/>
      <c r="J69" s="662" t="s">
        <v>92</v>
      </c>
      <c r="K69" s="662">
        <f>VLOOKUP(C69,'Thu loc'!B:F,5,0)</f>
        <v>0</v>
      </c>
      <c r="L69" s="663" t="str">
        <f>VLOOKUP(C69,'KL theo HĐ'!C:C,1,)</f>
        <v>Phần nhân công, máy thi công</v>
      </c>
    </row>
    <row r="70" spans="1:12" s="667" customFormat="1" ht="24" customHeight="1">
      <c r="B70" s="356" t="s">
        <v>325</v>
      </c>
      <c r="C70" s="361" t="s">
        <v>292</v>
      </c>
      <c r="D70" s="356" t="s">
        <v>293</v>
      </c>
      <c r="E70" s="356">
        <v>5.5</v>
      </c>
      <c r="F70" s="356">
        <v>5.5</v>
      </c>
      <c r="G70" s="367" t="s">
        <v>433</v>
      </c>
      <c r="H70" s="356" t="s">
        <v>433</v>
      </c>
      <c r="I70" s="462"/>
      <c r="J70" s="662" t="s">
        <v>92</v>
      </c>
      <c r="K70" s="662">
        <f>VLOOKUP(C70,'Thu loc'!B:F,5,0)</f>
        <v>300000</v>
      </c>
      <c r="L70" s="663" t="str">
        <f>VLOOKUP(C70,'KL theo HĐ'!C:C,1,)</f>
        <v>Đào đất cấp III : 0,226m3/móng M12; 0,25m3/móng neo xuống; 0,25m3/móng neo lệch.</v>
      </c>
    </row>
    <row r="71" spans="1:12" s="662" customFormat="1" ht="24" customHeight="1">
      <c r="B71" s="356" t="s">
        <v>327</v>
      </c>
      <c r="C71" s="361" t="s">
        <v>294</v>
      </c>
      <c r="D71" s="356" t="s">
        <v>293</v>
      </c>
      <c r="E71" s="356">
        <v>4.7</v>
      </c>
      <c r="F71" s="356">
        <v>4.7</v>
      </c>
      <c r="G71" s="367" t="s">
        <v>433</v>
      </c>
      <c r="H71" s="356" t="s">
        <v>433</v>
      </c>
      <c r="I71" s="462"/>
      <c r="J71" s="662" t="s">
        <v>92</v>
      </c>
      <c r="K71" s="662">
        <f>VLOOKUP(C71,'Thu loc'!B:F,5,0)</f>
        <v>200000</v>
      </c>
      <c r="L71" s="663" t="str">
        <f>VLOOKUP(C71,'KL theo HĐ'!C:C,1,)</f>
        <v>Đắp đất k=0,9 : 0,18m3/móng M12; 0,25m3/móng neo xuống; 0,25m3/móng neo lệch.</v>
      </c>
    </row>
    <row r="72" spans="1:12" s="662" customFormat="1" ht="24" customHeight="1">
      <c r="B72" s="356" t="s">
        <v>328</v>
      </c>
      <c r="C72" s="361" t="s">
        <v>295</v>
      </c>
      <c r="D72" s="356" t="s">
        <v>188</v>
      </c>
      <c r="E72" s="356">
        <v>33</v>
      </c>
      <c r="F72" s="356">
        <v>33</v>
      </c>
      <c r="G72" s="367" t="s">
        <v>433</v>
      </c>
      <c r="H72" s="356" t="s">
        <v>433</v>
      </c>
      <c r="I72" s="462"/>
      <c r="J72" s="662" t="s">
        <v>92</v>
      </c>
      <c r="K72" s="662">
        <f>VLOOKUP(C72,'Thu loc'!B:F,5,0)</f>
        <v>25000</v>
      </c>
      <c r="L72" s="663" t="str">
        <f>VLOOKUP(C72,'KL theo HĐ'!C:C,1,)</f>
        <v>Đóng trực tiếp cọc tiếp địa xuống đất</v>
      </c>
    </row>
    <row r="73" spans="1:12" s="662" customFormat="1" ht="24" customHeight="1">
      <c r="B73" s="356" t="s">
        <v>330</v>
      </c>
      <c r="C73" s="361" t="s">
        <v>296</v>
      </c>
      <c r="D73" s="356" t="s">
        <v>197</v>
      </c>
      <c r="E73" s="356">
        <v>19</v>
      </c>
      <c r="F73" s="356">
        <v>19</v>
      </c>
      <c r="G73" s="367" t="s">
        <v>433</v>
      </c>
      <c r="H73" s="356" t="s">
        <v>433</v>
      </c>
      <c r="I73" s="462"/>
      <c r="J73" s="662" t="s">
        <v>92</v>
      </c>
      <c r="K73" s="662">
        <f>VLOOKUP(C73,'Thu loc'!B:F,5,0)</f>
        <v>1700000</v>
      </c>
      <c r="L73" s="663" t="str">
        <f>VLOOKUP(C73,'KL theo HĐ'!C:C,1,)</f>
        <v>Thay trụ ≤12m : bằng cẩu + thủ công</v>
      </c>
    </row>
    <row r="74" spans="1:12" s="662" customFormat="1" ht="24" customHeight="1">
      <c r="B74" s="356" t="s">
        <v>331</v>
      </c>
      <c r="C74" s="361" t="s">
        <v>297</v>
      </c>
      <c r="D74" s="356" t="s">
        <v>212</v>
      </c>
      <c r="E74" s="356">
        <v>141</v>
      </c>
      <c r="F74" s="356">
        <v>141</v>
      </c>
      <c r="G74" s="367" t="s">
        <v>433</v>
      </c>
      <c r="H74" s="356" t="s">
        <v>433</v>
      </c>
      <c r="I74" s="462"/>
      <c r="J74" s="662" t="s">
        <v>92</v>
      </c>
      <c r="K74" s="662">
        <f>VLOOKUP(C74,'Thu loc'!B:F,5,0)</f>
        <v>160000</v>
      </c>
      <c r="L74" s="663" t="str">
        <f>VLOOKUP(C74,'KL theo HĐ'!C:C,1,)</f>
        <v>Tháo bộ dây chằng</v>
      </c>
    </row>
    <row r="75" spans="1:12" s="662" customFormat="1" ht="24" customHeight="1">
      <c r="B75" s="356" t="s">
        <v>332</v>
      </c>
      <c r="C75" s="361" t="s">
        <v>298</v>
      </c>
      <c r="D75" s="356" t="s">
        <v>212</v>
      </c>
      <c r="E75" s="356">
        <v>146</v>
      </c>
      <c r="F75" s="356">
        <v>144</v>
      </c>
      <c r="G75" s="367" t="s">
        <v>433</v>
      </c>
      <c r="H75" s="356">
        <v>2</v>
      </c>
      <c r="I75" s="444" t="s">
        <v>281</v>
      </c>
      <c r="J75" s="662" t="s">
        <v>92</v>
      </c>
      <c r="K75" s="662">
        <f>VLOOKUP(C75,'Thu loc'!B:F,5,0)</f>
        <v>160000</v>
      </c>
      <c r="L75" s="663" t="str">
        <f>VLOOKUP(C75,'KL theo HĐ'!C:C,1,)</f>
        <v>Lắp bộ dây chằng</v>
      </c>
    </row>
    <row r="76" spans="1:12" s="662" customFormat="1" ht="24" customHeight="1">
      <c r="B76" s="356" t="s">
        <v>333</v>
      </c>
      <c r="C76" s="361" t="s">
        <v>299</v>
      </c>
      <c r="D76" s="356" t="s">
        <v>212</v>
      </c>
      <c r="E76" s="356">
        <v>52</v>
      </c>
      <c r="F76" s="356">
        <v>52</v>
      </c>
      <c r="G76" s="367" t="s">
        <v>433</v>
      </c>
      <c r="H76" s="356" t="s">
        <v>433</v>
      </c>
      <c r="I76" s="462"/>
      <c r="J76" s="662" t="s">
        <v>92</v>
      </c>
      <c r="K76" s="662">
        <f>VLOOKUP(C76,'Thu loc'!B:F,5,0)</f>
        <v>475000</v>
      </c>
      <c r="L76" s="663" t="str">
        <f>VLOOKUP(C76,'KL theo HĐ'!C:C,1,)</f>
        <v>Lắp xà thép U160x64x5 - 2200mm đơn (35,9kg)</v>
      </c>
    </row>
    <row r="77" spans="1:12" s="662" customFormat="1" ht="24" customHeight="1">
      <c r="B77" s="356" t="s">
        <v>334</v>
      </c>
      <c r="C77" s="361" t="s">
        <v>300</v>
      </c>
      <c r="D77" s="356" t="s">
        <v>212</v>
      </c>
      <c r="E77" s="356">
        <v>243</v>
      </c>
      <c r="F77" s="356">
        <v>243</v>
      </c>
      <c r="G77" s="367" t="s">
        <v>433</v>
      </c>
      <c r="H77" s="356" t="s">
        <v>433</v>
      </c>
      <c r="I77" s="462"/>
      <c r="J77" s="662" t="s">
        <v>92</v>
      </c>
      <c r="K77" s="662">
        <f>VLOOKUP(C77,'Thu loc'!B:F,5,0)</f>
        <v>72000</v>
      </c>
      <c r="L77" s="663" t="str">
        <f>VLOOKUP(C77,'KL theo HĐ'!C:C,1,)</f>
        <v>Tháo sứ đứng 15-22kV</v>
      </c>
    </row>
    <row r="78" spans="1:12" s="662" customFormat="1" ht="24" customHeight="1">
      <c r="B78" s="356" t="s">
        <v>336</v>
      </c>
      <c r="C78" s="361" t="s">
        <v>301</v>
      </c>
      <c r="D78" s="356" t="s">
        <v>212</v>
      </c>
      <c r="E78" s="356">
        <v>276</v>
      </c>
      <c r="F78" s="356">
        <v>267</v>
      </c>
      <c r="G78" s="367" t="s">
        <v>433</v>
      </c>
      <c r="H78" s="356">
        <v>9</v>
      </c>
      <c r="I78" s="444" t="s">
        <v>281</v>
      </c>
      <c r="J78" s="662" t="s">
        <v>92</v>
      </c>
      <c r="K78" s="662">
        <f>VLOOKUP(C78,'Thu loc'!B:F,5,0)</f>
        <v>72000</v>
      </c>
      <c r="L78" s="663" t="str">
        <f>VLOOKUP(C78,'KL theo HĐ'!C:C,1,)</f>
        <v>Lắp sứ đứng 15-22kV</v>
      </c>
    </row>
    <row r="79" spans="1:12" s="662" customFormat="1" ht="24" customHeight="1">
      <c r="B79" s="356" t="s">
        <v>337</v>
      </c>
      <c r="C79" s="361" t="s">
        <v>302</v>
      </c>
      <c r="D79" s="356" t="s">
        <v>212</v>
      </c>
      <c r="E79" s="356">
        <v>67</v>
      </c>
      <c r="F79" s="356">
        <v>51</v>
      </c>
      <c r="G79" s="367" t="s">
        <v>433</v>
      </c>
      <c r="H79" s="356">
        <v>16</v>
      </c>
      <c r="I79" s="444" t="s">
        <v>281</v>
      </c>
      <c r="J79" s="662" t="s">
        <v>92</v>
      </c>
      <c r="K79" s="662">
        <f>VLOOKUP(C79,'Thu loc'!B:F,5,0)</f>
        <v>65000</v>
      </c>
      <c r="L79" s="663" t="str">
        <f>VLOOKUP(C79,'KL theo HĐ'!C:C,1,)</f>
        <v>Tháo sứ treo polymer néo đơn</v>
      </c>
    </row>
    <row r="80" spans="1:12" s="662" customFormat="1" ht="24" customHeight="1">
      <c r="B80" s="356" t="s">
        <v>338</v>
      </c>
      <c r="C80" s="361" t="s">
        <v>303</v>
      </c>
      <c r="D80" s="356" t="s">
        <v>212</v>
      </c>
      <c r="E80" s="356">
        <v>74</v>
      </c>
      <c r="F80" s="356">
        <v>54</v>
      </c>
      <c r="G80" s="367" t="s">
        <v>433</v>
      </c>
      <c r="H80" s="356">
        <v>20</v>
      </c>
      <c r="I80" s="444" t="s">
        <v>281</v>
      </c>
      <c r="J80" s="662" t="s">
        <v>92</v>
      </c>
      <c r="K80" s="662">
        <f>VLOOKUP(C80,'Thu loc'!B:F,5,0)</f>
        <v>65000</v>
      </c>
      <c r="L80" s="663" t="str">
        <f>VLOOKUP(C80,'KL theo HĐ'!C:C,1,)</f>
        <v>Lắp sứ treo polymer néo đơn</v>
      </c>
    </row>
    <row r="81" spans="1:12" s="667" customFormat="1" ht="24" customHeight="1">
      <c r="B81" s="356" t="s">
        <v>340</v>
      </c>
      <c r="C81" s="361" t="s">
        <v>304</v>
      </c>
      <c r="D81" s="356" t="s">
        <v>212</v>
      </c>
      <c r="E81" s="356">
        <v>48</v>
      </c>
      <c r="F81" s="356">
        <v>48</v>
      </c>
      <c r="G81" s="367" t="s">
        <v>433</v>
      </c>
      <c r="H81" s="356" t="s">
        <v>433</v>
      </c>
      <c r="I81" s="468"/>
      <c r="J81" s="662" t="s">
        <v>92</v>
      </c>
      <c r="K81" s="662">
        <f>VLOOKUP(C81,'Thu loc'!B:F,5,0)</f>
        <v>35000</v>
      </c>
      <c r="L81" s="663" t="str">
        <f>VLOOKUP(C81,'KL theo HĐ'!C:C,1,)</f>
        <v>Tháo kẹp quai</v>
      </c>
    </row>
    <row r="82" spans="1:12" s="662" customFormat="1" ht="24" customHeight="1">
      <c r="B82" s="356" t="s">
        <v>341</v>
      </c>
      <c r="C82" s="361" t="s">
        <v>305</v>
      </c>
      <c r="D82" s="356" t="s">
        <v>212</v>
      </c>
      <c r="E82" s="356">
        <v>35</v>
      </c>
      <c r="F82" s="356">
        <v>34</v>
      </c>
      <c r="G82" s="367" t="s">
        <v>433</v>
      </c>
      <c r="H82" s="356">
        <v>1</v>
      </c>
      <c r="I82" s="444" t="s">
        <v>281</v>
      </c>
      <c r="J82" s="662" t="s">
        <v>92</v>
      </c>
      <c r="K82" s="662">
        <f>VLOOKUP(C82,'Thu loc'!B:F,5,0)</f>
        <v>35000</v>
      </c>
      <c r="L82" s="663" t="str">
        <f>VLOOKUP(C82,'KL theo HĐ'!C:C,1,)</f>
        <v>Lắp kẹp quai</v>
      </c>
    </row>
    <row r="83" spans="1:12" s="662" customFormat="1" ht="24" customHeight="1">
      <c r="B83" s="356" t="s">
        <v>342</v>
      </c>
      <c r="C83" s="418" t="s">
        <v>306</v>
      </c>
      <c r="D83" s="356" t="s">
        <v>212</v>
      </c>
      <c r="E83" s="356">
        <v>52</v>
      </c>
      <c r="F83" s="356">
        <v>52</v>
      </c>
      <c r="G83" s="367" t="s">
        <v>433</v>
      </c>
      <c r="H83" s="356" t="s">
        <v>433</v>
      </c>
      <c r="I83" s="462"/>
      <c r="J83" s="662" t="s">
        <v>92</v>
      </c>
      <c r="K83" s="662">
        <f>VLOOKUP(C83,'Thu loc'!B:F,5,0)</f>
        <v>25000</v>
      </c>
      <c r="L83" s="663" t="str">
        <f>VLOOKUP(C83,'KL theo HĐ'!C:C,1,)</f>
        <v xml:space="preserve">Tháo kẹp dừng dây </v>
      </c>
    </row>
    <row r="84" spans="1:12" s="668" customFormat="1" ht="24" customHeight="1">
      <c r="A84" s="662"/>
      <c r="B84" s="356" t="s">
        <v>343</v>
      </c>
      <c r="C84" s="361" t="s">
        <v>307</v>
      </c>
      <c r="D84" s="356" t="s">
        <v>212</v>
      </c>
      <c r="E84" s="356">
        <v>74</v>
      </c>
      <c r="F84" s="356">
        <v>72</v>
      </c>
      <c r="G84" s="367" t="s">
        <v>433</v>
      </c>
      <c r="H84" s="356">
        <v>2</v>
      </c>
      <c r="I84" s="444" t="s">
        <v>281</v>
      </c>
      <c r="J84" s="662" t="s">
        <v>92</v>
      </c>
      <c r="K84" s="662">
        <f>VLOOKUP(C84,'Thu loc'!B:F,5,0)</f>
        <v>25000</v>
      </c>
      <c r="L84" s="663" t="str">
        <f>VLOOKUP(C84,'KL theo HĐ'!C:C,1,)</f>
        <v>Lắp kẹp dừng dây</v>
      </c>
    </row>
    <row r="85" spans="1:12" s="662" customFormat="1" ht="24" customHeight="1">
      <c r="B85" s="367" t="s">
        <v>344</v>
      </c>
      <c r="C85" s="361" t="s">
        <v>308</v>
      </c>
      <c r="D85" s="356" t="s">
        <v>309</v>
      </c>
      <c r="E85" s="356">
        <v>11.923999999999999</v>
      </c>
      <c r="F85" s="356">
        <v>11.906000000000001</v>
      </c>
      <c r="G85" s="367" t="s">
        <v>433</v>
      </c>
      <c r="H85" s="356">
        <v>1.7999999999998906E-2</v>
      </c>
      <c r="I85" s="444" t="s">
        <v>281</v>
      </c>
      <c r="J85" s="662" t="s">
        <v>92</v>
      </c>
      <c r="K85" s="662">
        <f>VLOOKUP(C85,'Thu loc'!B:F,5,0)</f>
        <v>3700000</v>
      </c>
      <c r="L85" s="663" t="str">
        <f>VLOOKUP(C85,'KL theo HĐ'!C:C,1,)</f>
        <v>Kéo cáp nhôm lõi thép ACX50 thủ công + cơ giới  (&lt;10m)</v>
      </c>
    </row>
    <row r="86" spans="1:12" s="662" customFormat="1" ht="24" customHeight="1">
      <c r="B86" s="367" t="s">
        <v>345</v>
      </c>
      <c r="C86" s="361" t="s">
        <v>310</v>
      </c>
      <c r="D86" s="356" t="s">
        <v>309</v>
      </c>
      <c r="E86" s="356">
        <v>1.796</v>
      </c>
      <c r="F86" s="356">
        <v>1.792</v>
      </c>
      <c r="G86" s="367" t="s">
        <v>433</v>
      </c>
      <c r="H86" s="356">
        <v>4.0000000000000036E-3</v>
      </c>
      <c r="I86" s="444" t="s">
        <v>281</v>
      </c>
      <c r="J86" s="662" t="s">
        <v>92</v>
      </c>
      <c r="K86" s="662">
        <f>VLOOKUP(C86,'Thu loc'!B:F,5,0)</f>
        <v>3700000</v>
      </c>
      <c r="L86" s="663" t="str">
        <f>VLOOKUP(C86,'KL theo HĐ'!C:C,1,)</f>
        <v>Kéo cáp nhôm lõi thép AC50 thủ công + cơ giới ( &lt;10m)</v>
      </c>
    </row>
    <row r="87" spans="1:12" s="662" customFormat="1" ht="24" customHeight="1">
      <c r="B87" s="356" t="s">
        <v>348</v>
      </c>
      <c r="C87" s="418" t="s">
        <v>311</v>
      </c>
      <c r="D87" s="356" t="s">
        <v>309</v>
      </c>
      <c r="E87" s="356">
        <v>11.923999999999999</v>
      </c>
      <c r="F87" s="356">
        <v>11.912000000000001</v>
      </c>
      <c r="G87" s="367" t="s">
        <v>433</v>
      </c>
      <c r="H87" s="356">
        <v>1.1999999999998678E-2</v>
      </c>
      <c r="I87" s="444" t="s">
        <v>281</v>
      </c>
      <c r="J87" s="662" t="s">
        <v>92</v>
      </c>
      <c r="K87" s="662">
        <f>VLOOKUP(C87,'Thu loc'!B:F,5,0)</f>
        <v>2850000</v>
      </c>
      <c r="L87" s="663" t="str">
        <f>VLOOKUP(C87,'KL theo HĐ'!C:C,1,)</f>
        <v>Tháo cáp nhôm lõi thép AC50 thủ công + cơ giới</v>
      </c>
    </row>
    <row r="88" spans="1:12" ht="16.8">
      <c r="B88" s="421"/>
      <c r="C88" s="421"/>
      <c r="D88" s="422"/>
      <c r="E88" s="421"/>
      <c r="F88" s="423"/>
      <c r="G88" s="424"/>
      <c r="H88" s="425"/>
      <c r="I88" s="426"/>
    </row>
    <row r="89" spans="1:12" ht="16.8">
      <c r="B89" s="427"/>
      <c r="C89" s="428" t="s">
        <v>312</v>
      </c>
      <c r="D89" s="610"/>
      <c r="E89" s="610" t="s">
        <v>45</v>
      </c>
      <c r="F89" s="610"/>
      <c r="G89" s="610"/>
      <c r="H89" s="610"/>
      <c r="I89" s="426"/>
    </row>
    <row r="90" spans="1:12" ht="16.8">
      <c r="B90" s="427"/>
      <c r="C90" s="428" t="s">
        <v>313</v>
      </c>
      <c r="D90" s="610"/>
      <c r="E90" s="427"/>
      <c r="F90" s="427"/>
      <c r="G90" s="427"/>
      <c r="H90" s="427"/>
      <c r="I90" s="426"/>
    </row>
    <row r="91" spans="1:12" ht="16.8">
      <c r="B91" s="427"/>
      <c r="C91" s="428" t="s">
        <v>314</v>
      </c>
      <c r="D91" s="610"/>
      <c r="E91" s="427"/>
      <c r="F91" s="427"/>
      <c r="G91" s="427"/>
      <c r="H91" s="427"/>
      <c r="I91" s="426"/>
    </row>
    <row r="92" spans="1:12" ht="16.8">
      <c r="B92" s="427"/>
      <c r="C92" s="428" t="s">
        <v>315</v>
      </c>
      <c r="D92" s="610"/>
      <c r="E92" s="610"/>
      <c r="F92" s="427"/>
      <c r="G92" s="427"/>
      <c r="H92" s="427"/>
      <c r="I92" s="426"/>
    </row>
    <row r="93" spans="1:12" ht="16.8">
      <c r="B93" s="427"/>
      <c r="C93" s="428" t="s">
        <v>316</v>
      </c>
      <c r="D93" s="610"/>
      <c r="E93" s="610"/>
      <c r="F93" s="427"/>
      <c r="G93" s="427"/>
      <c r="H93" s="427"/>
      <c r="I93" s="426"/>
    </row>
    <row r="94" spans="1:12" ht="16.8">
      <c r="B94" s="427"/>
      <c r="C94" s="428" t="s">
        <v>317</v>
      </c>
      <c r="D94" s="610"/>
      <c r="E94" s="610" t="s">
        <v>46</v>
      </c>
      <c r="F94" s="610"/>
      <c r="G94" s="610"/>
      <c r="H94" s="610"/>
      <c r="I94" s="426"/>
    </row>
    <row r="95" spans="1:12" ht="16.8">
      <c r="B95" s="427"/>
      <c r="C95" s="428"/>
      <c r="D95" s="610"/>
      <c r="E95" s="427"/>
      <c r="F95" s="427"/>
      <c r="G95" s="427"/>
      <c r="H95" s="427"/>
      <c r="I95" s="426"/>
    </row>
    <row r="96" spans="1:12" ht="16.8">
      <c r="B96" s="427"/>
      <c r="C96" s="428"/>
      <c r="D96" s="427"/>
      <c r="E96" s="610"/>
      <c r="F96" s="427"/>
      <c r="G96" s="427"/>
      <c r="H96" s="427"/>
      <c r="I96" s="426"/>
    </row>
    <row r="97" spans="2:9" ht="16.8">
      <c r="B97" s="427"/>
      <c r="C97" s="427" t="s">
        <v>318</v>
      </c>
      <c r="D97" s="610"/>
      <c r="E97" s="610" t="s">
        <v>319</v>
      </c>
      <c r="F97" s="610"/>
      <c r="G97" s="610"/>
      <c r="H97" s="610"/>
      <c r="I97" s="426"/>
    </row>
    <row r="98" spans="2:9" ht="16.8">
      <c r="B98" s="427"/>
      <c r="C98" s="427" t="s">
        <v>320</v>
      </c>
      <c r="D98" s="610"/>
      <c r="E98" s="610" t="s">
        <v>51</v>
      </c>
      <c r="F98" s="610"/>
      <c r="G98" s="610"/>
      <c r="H98" s="610"/>
      <c r="I98" s="426"/>
    </row>
    <row r="99" spans="2:9" ht="16.8">
      <c r="B99" s="427"/>
      <c r="C99" s="427" t="s">
        <v>52</v>
      </c>
      <c r="D99" s="610"/>
      <c r="E99" s="610" t="s">
        <v>52</v>
      </c>
      <c r="F99" s="610"/>
      <c r="G99" s="610"/>
      <c r="H99" s="610"/>
      <c r="I99" s="426"/>
    </row>
    <row r="100" spans="2:9" ht="16.8">
      <c r="B100" s="427"/>
      <c r="C100" s="427"/>
      <c r="D100" s="427"/>
      <c r="E100" s="610"/>
      <c r="F100" s="427"/>
      <c r="G100" s="427"/>
      <c r="H100" s="427"/>
      <c r="I100" s="426"/>
    </row>
    <row r="101" spans="2:9" ht="16.8">
      <c r="B101" s="427"/>
      <c r="C101" s="427"/>
      <c r="D101" s="427"/>
      <c r="E101" s="610"/>
      <c r="F101" s="427"/>
      <c r="G101" s="427"/>
      <c r="H101" s="427"/>
      <c r="I101" s="426"/>
    </row>
    <row r="102" spans="2:9" ht="16.8">
      <c r="B102" s="427"/>
      <c r="C102" s="427"/>
      <c r="D102" s="427"/>
      <c r="E102" s="610"/>
      <c r="F102" s="427"/>
      <c r="G102" s="427"/>
      <c r="H102" s="427"/>
      <c r="I102" s="426"/>
    </row>
    <row r="103" spans="2:9" ht="16.8">
      <c r="B103" s="427"/>
      <c r="C103" s="427"/>
      <c r="D103" s="427"/>
      <c r="E103" s="610"/>
      <c r="F103" s="427"/>
      <c r="G103" s="427"/>
      <c r="H103" s="427"/>
      <c r="I103" s="426"/>
    </row>
    <row r="104" spans="2:9" ht="16.8">
      <c r="B104" s="427"/>
      <c r="C104" s="427" t="s">
        <v>321</v>
      </c>
      <c r="D104" s="610"/>
      <c r="E104" s="610" t="s">
        <v>54</v>
      </c>
      <c r="F104" s="610"/>
      <c r="G104" s="610"/>
      <c r="H104" s="610"/>
      <c r="I104" s="426"/>
    </row>
  </sheetData>
  <autoFilter ref="B10:I87" xr:uid="{060B978C-713D-465D-A09F-DF89B6F87EF2}"/>
  <conditionalFormatting sqref="C1:C1048576">
    <cfRule type="duplicateValues" dxfId="0" priority="1"/>
  </conditionalFormatting>
  <printOptions horizontalCentered="1"/>
  <pageMargins left="0.17" right="0.17" top="0.43307086614173201" bottom="0.38" header="0.196850393700787" footer="0.17"/>
  <pageSetup paperSize="9" scale="78" fitToHeight="0" orientation="landscape" blackAndWhite="1" useFirstPageNumber="1" r:id="rId1"/>
  <headerFoot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2D19-556B-4C1C-8CE1-397DEEE12209}">
  <sheetPr filterMode="1">
    <tabColor rgb="FF7030A0"/>
  </sheetPr>
  <dimension ref="A1:N49"/>
  <sheetViews>
    <sheetView showZeros="0" view="pageBreakPreview" topLeftCell="A7" zoomScale="85" zoomScaleNormal="100" zoomScaleSheetLayoutView="85" workbookViewId="0">
      <selection activeCell="D41" sqref="D41"/>
    </sheetView>
  </sheetViews>
  <sheetFormatPr defaultColWidth="9.109375" defaultRowHeight="18"/>
  <cols>
    <col min="1" max="1" width="5.44140625" style="474" customWidth="1"/>
    <col min="2" max="2" width="24.88671875" style="474" customWidth="1"/>
    <col min="3" max="3" width="48.33203125" style="545" customWidth="1"/>
    <col min="4" max="4" width="6.88671875" style="474" customWidth="1"/>
    <col min="5" max="5" width="17.109375" style="474" hidden="1" customWidth="1"/>
    <col min="6" max="6" width="11.6640625" style="474" hidden="1" customWidth="1"/>
    <col min="7" max="7" width="9.88671875" style="474" customWidth="1"/>
    <col min="8" max="8" width="8.88671875" style="474" customWidth="1"/>
    <col min="9" max="9" width="10.33203125" style="540" customWidth="1"/>
    <col min="10" max="10" width="8.33203125" style="541" customWidth="1"/>
    <col min="11" max="11" width="17.6640625" style="474" hidden="1" customWidth="1"/>
    <col min="12" max="12" width="13.6640625" style="474" hidden="1" customWidth="1"/>
    <col min="13" max="13" width="8.6640625" style="474" customWidth="1"/>
    <col min="14" max="16384" width="9.109375" style="474"/>
  </cols>
  <sheetData>
    <row r="1" spans="1:14" hidden="1">
      <c r="A1" s="606"/>
      <c r="B1" s="634" t="s">
        <v>51</v>
      </c>
      <c r="C1" s="634"/>
      <c r="D1" s="421"/>
      <c r="E1" s="472"/>
      <c r="F1" s="473"/>
      <c r="G1" s="425"/>
      <c r="H1" s="634" t="s">
        <v>59</v>
      </c>
      <c r="I1" s="634"/>
      <c r="J1" s="634"/>
      <c r="K1" s="634"/>
      <c r="L1" s="634"/>
      <c r="M1" s="473"/>
    </row>
    <row r="2" spans="1:14" hidden="1">
      <c r="B2" s="532" t="s">
        <v>165</v>
      </c>
      <c r="C2" s="532"/>
      <c r="D2" s="421"/>
      <c r="E2" s="472"/>
      <c r="F2" s="473"/>
      <c r="G2" s="425"/>
      <c r="H2" s="634" t="s">
        <v>372</v>
      </c>
      <c r="I2" s="634"/>
      <c r="J2" s="634"/>
      <c r="K2" s="634"/>
      <c r="L2" s="634"/>
      <c r="M2" s="473"/>
    </row>
    <row r="3" spans="1:14" ht="13.5" hidden="1" customHeight="1">
      <c r="A3" s="607"/>
      <c r="B3" s="607"/>
      <c r="C3" s="472"/>
      <c r="D3" s="472"/>
      <c r="E3" s="472"/>
      <c r="F3" s="473"/>
      <c r="G3" s="478"/>
      <c r="H3" s="472" t="s">
        <v>373</v>
      </c>
      <c r="I3" s="472"/>
      <c r="J3" s="472"/>
      <c r="K3" s="472"/>
      <c r="L3" s="472"/>
      <c r="M3" s="473"/>
    </row>
    <row r="4" spans="1:14" ht="20.399999999999999" hidden="1">
      <c r="A4" s="629" t="s">
        <v>374</v>
      </c>
      <c r="B4" s="629"/>
      <c r="C4" s="629"/>
      <c r="D4" s="629"/>
      <c r="E4" s="629"/>
      <c r="F4" s="629"/>
      <c r="G4" s="629"/>
      <c r="H4" s="629"/>
      <c r="I4" s="629"/>
      <c r="J4" s="629"/>
      <c r="K4" s="629"/>
      <c r="L4" s="629"/>
      <c r="M4" s="629"/>
    </row>
    <row r="5" spans="1:14" ht="18" hidden="1" customHeight="1">
      <c r="A5" s="630" t="s">
        <v>170</v>
      </c>
      <c r="B5" s="63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</row>
    <row r="6" spans="1:14" ht="18" hidden="1" customHeight="1">
      <c r="A6" s="630" t="s">
        <v>171</v>
      </c>
      <c r="B6" s="630"/>
      <c r="C6" s="630"/>
      <c r="D6" s="630"/>
      <c r="E6" s="630"/>
      <c r="F6" s="630"/>
      <c r="G6" s="630"/>
      <c r="H6" s="630"/>
      <c r="I6" s="630"/>
      <c r="J6" s="630"/>
      <c r="K6" s="630"/>
      <c r="L6" s="630"/>
      <c r="M6" s="630"/>
    </row>
    <row r="7" spans="1:14" ht="3.75" customHeight="1">
      <c r="A7" s="481"/>
      <c r="B7" s="481"/>
      <c r="C7" s="482"/>
      <c r="D7" s="483"/>
      <c r="E7" s="483"/>
      <c r="F7" s="483"/>
      <c r="G7" s="484"/>
      <c r="H7" s="484"/>
      <c r="I7" s="485"/>
      <c r="J7" s="486"/>
      <c r="K7" s="484"/>
      <c r="L7" s="484"/>
      <c r="M7" s="484"/>
    </row>
    <row r="8" spans="1:14" ht="18" customHeight="1">
      <c r="A8" s="627" t="s">
        <v>67</v>
      </c>
      <c r="B8" s="628" t="s">
        <v>375</v>
      </c>
      <c r="C8" s="627" t="s">
        <v>376</v>
      </c>
      <c r="D8" s="627" t="s">
        <v>377</v>
      </c>
      <c r="E8" s="632" t="s">
        <v>378</v>
      </c>
      <c r="F8" s="633"/>
      <c r="G8" s="627" t="s">
        <v>379</v>
      </c>
      <c r="H8" s="627"/>
      <c r="I8" s="627"/>
      <c r="J8" s="627"/>
      <c r="K8" s="627" t="s">
        <v>380</v>
      </c>
      <c r="L8" s="627"/>
      <c r="M8" s="627" t="s">
        <v>381</v>
      </c>
    </row>
    <row r="9" spans="1:14" ht="31.2">
      <c r="A9" s="628"/>
      <c r="B9" s="631"/>
      <c r="C9" s="628"/>
      <c r="D9" s="628"/>
      <c r="E9" s="494" t="s">
        <v>382</v>
      </c>
      <c r="F9" s="494" t="s">
        <v>383</v>
      </c>
      <c r="G9" s="494" t="s">
        <v>384</v>
      </c>
      <c r="H9" s="495" t="s">
        <v>385</v>
      </c>
      <c r="I9" s="495" t="s">
        <v>386</v>
      </c>
      <c r="J9" s="496" t="s">
        <v>387</v>
      </c>
      <c r="K9" s="494" t="s">
        <v>382</v>
      </c>
      <c r="L9" s="494" t="s">
        <v>383</v>
      </c>
      <c r="M9" s="628"/>
    </row>
    <row r="10" spans="1:14" ht="15.9" customHeight="1">
      <c r="A10" s="497">
        <v>1</v>
      </c>
      <c r="B10" s="498" t="s">
        <v>388</v>
      </c>
      <c r="C10" s="499" t="s">
        <v>239</v>
      </c>
      <c r="D10" s="500" t="s">
        <v>219</v>
      </c>
      <c r="E10" s="501" t="s">
        <v>389</v>
      </c>
      <c r="F10" s="502" t="s">
        <v>390</v>
      </c>
      <c r="G10" s="503">
        <v>12162</v>
      </c>
      <c r="H10" s="504">
        <v>12162</v>
      </c>
      <c r="I10" s="504">
        <f>'KL theo HĐ'!F12</f>
        <v>12144</v>
      </c>
      <c r="J10" s="505">
        <f>IF(H10&gt;I10,H10-I10,"")</f>
        <v>18</v>
      </c>
      <c r="K10" s="506" t="s">
        <v>391</v>
      </c>
      <c r="L10" s="507">
        <v>44034</v>
      </c>
      <c r="M10" s="508"/>
      <c r="N10" s="474">
        <v>12144.221999999998</v>
      </c>
    </row>
    <row r="11" spans="1:14" ht="15.9" customHeight="1">
      <c r="A11" s="616">
        <v>2</v>
      </c>
      <c r="B11" s="618" t="s">
        <v>392</v>
      </c>
      <c r="C11" s="535" t="s">
        <v>218</v>
      </c>
      <c r="D11" s="535" t="s">
        <v>219</v>
      </c>
      <c r="E11" s="621" t="s">
        <v>389</v>
      </c>
      <c r="F11" s="623" t="s">
        <v>390</v>
      </c>
      <c r="G11" s="612">
        <v>2141</v>
      </c>
      <c r="H11" s="612">
        <v>2141</v>
      </c>
      <c r="I11" s="614">
        <f>'KL theo HĐ'!F13</f>
        <v>2111</v>
      </c>
      <c r="J11" s="608">
        <f t="shared" ref="J11:J20" si="0">IF(H11&gt;I11,H11-I11,"")</f>
        <v>30</v>
      </c>
      <c r="K11" s="506" t="s">
        <v>391</v>
      </c>
      <c r="L11" s="507">
        <v>44034</v>
      </c>
      <c r="M11" s="518"/>
      <c r="N11" s="519">
        <f>H10-N10</f>
        <v>17.778000000002066</v>
      </c>
    </row>
    <row r="12" spans="1:14" ht="15.9" hidden="1" customHeight="1">
      <c r="A12" s="617"/>
      <c r="B12" s="619"/>
      <c r="C12" s="620"/>
      <c r="D12" s="620"/>
      <c r="E12" s="622"/>
      <c r="F12" s="624"/>
      <c r="G12" s="613"/>
      <c r="H12" s="613"/>
      <c r="I12" s="615"/>
      <c r="J12" s="609"/>
      <c r="K12" s="506" t="s">
        <v>393</v>
      </c>
      <c r="L12" s="507">
        <v>44054</v>
      </c>
      <c r="M12" s="518"/>
      <c r="N12" s="519"/>
    </row>
    <row r="13" spans="1:14" ht="15.9" hidden="1" customHeight="1">
      <c r="A13" s="497">
        <v>3</v>
      </c>
      <c r="B13" s="498" t="s">
        <v>394</v>
      </c>
      <c r="C13" s="499" t="s">
        <v>266</v>
      </c>
      <c r="D13" s="529" t="s">
        <v>219</v>
      </c>
      <c r="E13" s="501" t="s">
        <v>389</v>
      </c>
      <c r="F13" s="502" t="s">
        <v>390</v>
      </c>
      <c r="G13" s="501">
        <v>6</v>
      </c>
      <c r="H13" s="508">
        <v>6</v>
      </c>
      <c r="I13" s="530">
        <f>'KL theo HĐ'!F14-21.5</f>
        <v>6</v>
      </c>
      <c r="J13" s="531" t="str">
        <f t="shared" si="0"/>
        <v/>
      </c>
      <c r="K13" s="501"/>
      <c r="L13" s="501"/>
      <c r="M13" s="508"/>
    </row>
    <row r="14" spans="1:14" s="532" customFormat="1" ht="15.9" hidden="1" customHeight="1">
      <c r="A14" s="616">
        <v>4</v>
      </c>
      <c r="B14" s="498"/>
      <c r="C14" s="499" t="s">
        <v>268</v>
      </c>
      <c r="D14" s="529" t="s">
        <v>219</v>
      </c>
      <c r="E14" s="501"/>
      <c r="F14" s="501"/>
      <c r="G14" s="501">
        <v>21.5</v>
      </c>
      <c r="H14" s="508">
        <v>0</v>
      </c>
      <c r="I14" s="504">
        <v>0</v>
      </c>
      <c r="J14" s="505" t="str">
        <f t="shared" si="0"/>
        <v/>
      </c>
      <c r="K14" s="501"/>
      <c r="L14" s="501"/>
      <c r="M14" s="508"/>
      <c r="N14" s="532">
        <v>15</v>
      </c>
    </row>
    <row r="15" spans="1:14" s="532" customFormat="1" ht="15.9" hidden="1" customHeight="1">
      <c r="A15" s="617"/>
      <c r="B15" s="498" t="s">
        <v>394</v>
      </c>
      <c r="C15" s="499" t="s">
        <v>266</v>
      </c>
      <c r="D15" s="529" t="s">
        <v>219</v>
      </c>
      <c r="E15" s="501" t="s">
        <v>389</v>
      </c>
      <c r="F15" s="502" t="s">
        <v>390</v>
      </c>
      <c r="G15" s="501"/>
      <c r="H15" s="508">
        <f>27.5-H13</f>
        <v>21.5</v>
      </c>
      <c r="I15" s="530">
        <f>'KL theo HĐ'!F14-6</f>
        <v>21.5</v>
      </c>
      <c r="J15" s="531" t="str">
        <f t="shared" si="0"/>
        <v/>
      </c>
      <c r="K15" s="501"/>
      <c r="L15" s="501"/>
      <c r="M15" s="508"/>
    </row>
    <row r="16" spans="1:14" s="534" customFormat="1" ht="15.9" hidden="1" customHeight="1">
      <c r="A16" s="497">
        <v>5</v>
      </c>
      <c r="B16" s="533" t="s">
        <v>395</v>
      </c>
      <c r="C16" s="499" t="s">
        <v>186</v>
      </c>
      <c r="D16" s="529" t="s">
        <v>30</v>
      </c>
      <c r="E16" s="501" t="s">
        <v>389</v>
      </c>
      <c r="F16" s="502" t="s">
        <v>390</v>
      </c>
      <c r="G16" s="506">
        <v>67</v>
      </c>
      <c r="H16" s="506">
        <v>67</v>
      </c>
      <c r="I16" s="504">
        <f>'KL theo HĐ'!F16</f>
        <v>67</v>
      </c>
      <c r="J16" s="505" t="str">
        <f t="shared" si="0"/>
        <v/>
      </c>
      <c r="K16" s="506"/>
      <c r="L16" s="506"/>
      <c r="M16" s="518"/>
    </row>
    <row r="17" spans="1:14" s="534" customFormat="1" ht="15.9" hidden="1" customHeight="1">
      <c r="A17" s="497">
        <v>6</v>
      </c>
      <c r="B17" s="533" t="s">
        <v>396</v>
      </c>
      <c r="C17" s="535" t="s">
        <v>397</v>
      </c>
      <c r="D17" s="529" t="s">
        <v>190</v>
      </c>
      <c r="E17" s="501" t="s">
        <v>389</v>
      </c>
      <c r="F17" s="502" t="s">
        <v>390</v>
      </c>
      <c r="G17" s="612">
        <v>172</v>
      </c>
      <c r="H17" s="506">
        <v>167</v>
      </c>
      <c r="I17" s="504">
        <f>H17</f>
        <v>167</v>
      </c>
      <c r="J17" s="505" t="str">
        <f t="shared" si="0"/>
        <v/>
      </c>
      <c r="K17" s="506"/>
      <c r="L17" s="506"/>
      <c r="M17" s="518"/>
    </row>
    <row r="18" spans="1:14" s="534" customFormat="1" ht="15.9" customHeight="1">
      <c r="A18" s="497"/>
      <c r="B18" s="533" t="s">
        <v>398</v>
      </c>
      <c r="C18" s="535" t="s">
        <v>397</v>
      </c>
      <c r="D18" s="529" t="s">
        <v>190</v>
      </c>
      <c r="E18" s="501" t="s">
        <v>389</v>
      </c>
      <c r="F18" s="502" t="s">
        <v>390</v>
      </c>
      <c r="G18" s="613"/>
      <c r="H18" s="506">
        <v>5</v>
      </c>
      <c r="I18" s="504">
        <f>'KL theo HĐ'!F17-I17</f>
        <v>3</v>
      </c>
      <c r="J18" s="505">
        <f t="shared" si="0"/>
        <v>2</v>
      </c>
      <c r="K18" s="506" t="s">
        <v>391</v>
      </c>
      <c r="L18" s="507">
        <v>44034</v>
      </c>
      <c r="M18" s="518"/>
    </row>
    <row r="19" spans="1:14" s="534" customFormat="1" ht="15.9" customHeight="1">
      <c r="A19" s="497">
        <v>7</v>
      </c>
      <c r="B19" s="533" t="s">
        <v>399</v>
      </c>
      <c r="C19" s="499" t="s">
        <v>400</v>
      </c>
      <c r="D19" s="529" t="s">
        <v>190</v>
      </c>
      <c r="E19" s="501" t="s">
        <v>389</v>
      </c>
      <c r="F19" s="502" t="s">
        <v>390</v>
      </c>
      <c r="G19" s="506">
        <v>102</v>
      </c>
      <c r="H19" s="506">
        <v>102</v>
      </c>
      <c r="I19" s="504">
        <f>'KL theo HĐ'!F18</f>
        <v>95</v>
      </c>
      <c r="J19" s="505">
        <f t="shared" si="0"/>
        <v>7</v>
      </c>
      <c r="K19" s="506" t="s">
        <v>391</v>
      </c>
      <c r="L19" s="507">
        <v>44034</v>
      </c>
      <c r="M19" s="518"/>
    </row>
    <row r="20" spans="1:14" s="534" customFormat="1" ht="15.9" hidden="1" customHeight="1">
      <c r="A20" s="616">
        <v>8</v>
      </c>
      <c r="B20" s="533" t="s">
        <v>401</v>
      </c>
      <c r="C20" s="535" t="s">
        <v>207</v>
      </c>
      <c r="D20" s="535" t="s">
        <v>190</v>
      </c>
      <c r="E20" s="501" t="s">
        <v>389</v>
      </c>
      <c r="F20" s="502" t="s">
        <v>390</v>
      </c>
      <c r="G20" s="506">
        <v>10</v>
      </c>
      <c r="H20" s="506">
        <v>6</v>
      </c>
      <c r="I20" s="536">
        <v>6</v>
      </c>
      <c r="J20" s="505" t="str">
        <f t="shared" si="0"/>
        <v/>
      </c>
      <c r="K20" s="506"/>
      <c r="L20" s="506"/>
      <c r="M20" s="518"/>
    </row>
    <row r="21" spans="1:14" s="534" customFormat="1" ht="15.9" hidden="1" customHeight="1">
      <c r="A21" s="625"/>
      <c r="B21" s="533" t="s">
        <v>402</v>
      </c>
      <c r="C21" s="535" t="s">
        <v>208</v>
      </c>
      <c r="D21" s="626"/>
      <c r="E21" s="501" t="s">
        <v>403</v>
      </c>
      <c r="F21" s="502" t="s">
        <v>390</v>
      </c>
      <c r="G21" s="506"/>
      <c r="H21" s="506">
        <v>2</v>
      </c>
      <c r="I21" s="536">
        <v>2</v>
      </c>
      <c r="J21" s="505"/>
      <c r="K21" s="506"/>
      <c r="L21" s="506"/>
      <c r="M21" s="518"/>
    </row>
    <row r="22" spans="1:14" s="534" customFormat="1" ht="15.9" hidden="1" customHeight="1">
      <c r="A22" s="497">
        <v>9</v>
      </c>
      <c r="B22" s="533" t="s">
        <v>404</v>
      </c>
      <c r="C22" s="499" t="s">
        <v>200</v>
      </c>
      <c r="D22" s="529" t="s">
        <v>190</v>
      </c>
      <c r="E22" s="501" t="s">
        <v>389</v>
      </c>
      <c r="F22" s="502" t="s">
        <v>390</v>
      </c>
      <c r="G22" s="506">
        <v>52</v>
      </c>
      <c r="H22" s="506">
        <v>52</v>
      </c>
      <c r="I22" s="504">
        <f>'KL theo HĐ'!F21</f>
        <v>52</v>
      </c>
      <c r="J22" s="505" t="str">
        <f>IF(H22&gt;I22,H22-I22,"")</f>
        <v/>
      </c>
      <c r="K22" s="506"/>
      <c r="L22" s="506"/>
      <c r="M22" s="518"/>
    </row>
    <row r="23" spans="1:14" s="534" customFormat="1" ht="15.9" hidden="1" customHeight="1">
      <c r="A23" s="497">
        <v>10</v>
      </c>
      <c r="B23" s="533" t="s">
        <v>405</v>
      </c>
      <c r="C23" s="499" t="s">
        <v>406</v>
      </c>
      <c r="D23" s="529" t="s">
        <v>30</v>
      </c>
      <c r="E23" s="501" t="s">
        <v>407</v>
      </c>
      <c r="F23" s="502" t="s">
        <v>390</v>
      </c>
      <c r="G23" s="506">
        <v>1</v>
      </c>
      <c r="H23" s="506">
        <v>1</v>
      </c>
      <c r="I23" s="504">
        <f>'KL theo HĐ'!F22</f>
        <v>1</v>
      </c>
      <c r="J23" s="505" t="str">
        <f t="shared" ref="J23:J32" si="1">IF(H23&gt;I23,H23-I23,"")</f>
        <v/>
      </c>
      <c r="K23" s="506"/>
      <c r="L23" s="506"/>
      <c r="M23" s="518"/>
    </row>
    <row r="24" spans="1:14" s="534" customFormat="1" ht="15.9" customHeight="1">
      <c r="A24" s="616">
        <v>11</v>
      </c>
      <c r="B24" s="618" t="s">
        <v>408</v>
      </c>
      <c r="C24" s="535" t="s">
        <v>220</v>
      </c>
      <c r="D24" s="535" t="s">
        <v>190</v>
      </c>
      <c r="E24" s="621" t="s">
        <v>407</v>
      </c>
      <c r="F24" s="623" t="s">
        <v>390</v>
      </c>
      <c r="G24" s="612">
        <v>146</v>
      </c>
      <c r="H24" s="612">
        <v>146</v>
      </c>
      <c r="I24" s="614">
        <f>'KL theo HĐ'!F23</f>
        <v>144</v>
      </c>
      <c r="J24" s="608">
        <f t="shared" si="1"/>
        <v>2</v>
      </c>
      <c r="K24" s="506" t="s">
        <v>391</v>
      </c>
      <c r="L24" s="507">
        <v>44034</v>
      </c>
      <c r="M24" s="518"/>
      <c r="N24" s="534">
        <v>1</v>
      </c>
    </row>
    <row r="25" spans="1:14" s="534" customFormat="1" ht="15.9" hidden="1" customHeight="1">
      <c r="A25" s="617"/>
      <c r="B25" s="619"/>
      <c r="C25" s="620"/>
      <c r="D25" s="620"/>
      <c r="E25" s="622"/>
      <c r="F25" s="624"/>
      <c r="G25" s="613"/>
      <c r="H25" s="613"/>
      <c r="I25" s="615"/>
      <c r="J25" s="609"/>
      <c r="K25" s="506" t="s">
        <v>393</v>
      </c>
      <c r="L25" s="507">
        <v>44054</v>
      </c>
      <c r="M25" s="518"/>
    </row>
    <row r="26" spans="1:14" s="534" customFormat="1" ht="15.9" customHeight="1">
      <c r="A26" s="497">
        <v>12</v>
      </c>
      <c r="B26" s="533" t="s">
        <v>409</v>
      </c>
      <c r="C26" s="499" t="s">
        <v>410</v>
      </c>
      <c r="D26" s="529" t="s">
        <v>190</v>
      </c>
      <c r="E26" s="501" t="s">
        <v>403</v>
      </c>
      <c r="F26" s="502" t="s">
        <v>390</v>
      </c>
      <c r="G26" s="506">
        <v>41</v>
      </c>
      <c r="H26" s="518">
        <v>41</v>
      </c>
      <c r="I26" s="504">
        <f>'KL theo HĐ'!F24</f>
        <v>32</v>
      </c>
      <c r="J26" s="505">
        <f t="shared" si="1"/>
        <v>9</v>
      </c>
      <c r="K26" s="506" t="s">
        <v>411</v>
      </c>
      <c r="L26" s="507">
        <v>44034</v>
      </c>
      <c r="M26" s="518"/>
    </row>
    <row r="27" spans="1:14" s="534" customFormat="1" ht="15.9" hidden="1" customHeight="1">
      <c r="A27" s="497">
        <v>13</v>
      </c>
      <c r="B27" s="533" t="s">
        <v>412</v>
      </c>
      <c r="C27" s="499" t="s">
        <v>242</v>
      </c>
      <c r="D27" s="529" t="s">
        <v>190</v>
      </c>
      <c r="E27" s="501" t="s">
        <v>407</v>
      </c>
      <c r="F27" s="502" t="s">
        <v>390</v>
      </c>
      <c r="G27" s="506">
        <v>31</v>
      </c>
      <c r="H27" s="506">
        <v>31</v>
      </c>
      <c r="I27" s="504">
        <f>'KL theo HĐ'!F25</f>
        <v>31</v>
      </c>
      <c r="J27" s="505" t="str">
        <f t="shared" si="1"/>
        <v/>
      </c>
      <c r="K27" s="506"/>
      <c r="L27" s="506"/>
      <c r="M27" s="518"/>
    </row>
    <row r="28" spans="1:14" s="534" customFormat="1" ht="15.9" hidden="1" customHeight="1">
      <c r="A28" s="497">
        <v>14</v>
      </c>
      <c r="B28" s="533" t="s">
        <v>413</v>
      </c>
      <c r="C28" s="499" t="s">
        <v>258</v>
      </c>
      <c r="D28" s="529" t="s">
        <v>259</v>
      </c>
      <c r="E28" s="501" t="s">
        <v>407</v>
      </c>
      <c r="F28" s="502" t="s">
        <v>390</v>
      </c>
      <c r="G28" s="506">
        <v>74</v>
      </c>
      <c r="H28" s="506">
        <v>54</v>
      </c>
      <c r="I28" s="536">
        <f>'KL theo HĐ'!F26</f>
        <v>54</v>
      </c>
      <c r="J28" s="505" t="str">
        <f t="shared" si="1"/>
        <v/>
      </c>
      <c r="K28" s="506"/>
      <c r="L28" s="506"/>
      <c r="M28" s="518"/>
    </row>
    <row r="29" spans="1:14" s="534" customFormat="1" ht="15.9" hidden="1" customHeight="1">
      <c r="A29" s="497">
        <v>15</v>
      </c>
      <c r="B29" s="533" t="s">
        <v>414</v>
      </c>
      <c r="C29" s="535" t="s">
        <v>209</v>
      </c>
      <c r="D29" s="539" t="s">
        <v>190</v>
      </c>
      <c r="E29" s="501" t="s">
        <v>403</v>
      </c>
      <c r="F29" s="502" t="s">
        <v>390</v>
      </c>
      <c r="G29" s="506">
        <v>10</v>
      </c>
      <c r="H29" s="506">
        <v>7</v>
      </c>
      <c r="I29" s="536">
        <v>7</v>
      </c>
      <c r="J29" s="505" t="str">
        <f t="shared" si="1"/>
        <v/>
      </c>
      <c r="K29" s="506"/>
      <c r="L29" s="506"/>
      <c r="M29" s="518"/>
    </row>
    <row r="30" spans="1:14" s="534" customFormat="1" ht="15.9" hidden="1" customHeight="1">
      <c r="A30" s="497"/>
      <c r="B30" s="533" t="s">
        <v>415</v>
      </c>
      <c r="C30" s="535" t="s">
        <v>210</v>
      </c>
      <c r="D30" s="539" t="s">
        <v>190</v>
      </c>
      <c r="E30" s="501" t="s">
        <v>407</v>
      </c>
      <c r="F30" s="502" t="s">
        <v>390</v>
      </c>
      <c r="G30" s="506" t="s">
        <v>416</v>
      </c>
      <c r="H30" s="506">
        <v>1</v>
      </c>
      <c r="I30" s="536">
        <v>1</v>
      </c>
      <c r="J30" s="505"/>
      <c r="K30" s="506"/>
      <c r="L30" s="506"/>
      <c r="M30" s="518"/>
    </row>
    <row r="31" spans="1:14" s="534" customFormat="1" ht="15.9" hidden="1" customHeight="1">
      <c r="A31" s="497">
        <v>16</v>
      </c>
      <c r="B31" s="533" t="s">
        <v>417</v>
      </c>
      <c r="C31" s="499" t="s">
        <v>196</v>
      </c>
      <c r="D31" s="529" t="s">
        <v>197</v>
      </c>
      <c r="E31" s="501" t="s">
        <v>407</v>
      </c>
      <c r="F31" s="502" t="s">
        <v>390</v>
      </c>
      <c r="G31" s="506">
        <v>19</v>
      </c>
      <c r="H31" s="506">
        <v>19</v>
      </c>
      <c r="I31" s="504">
        <f>'KL theo HĐ'!F29</f>
        <v>19</v>
      </c>
      <c r="J31" s="505" t="str">
        <f t="shared" si="1"/>
        <v/>
      </c>
      <c r="K31" s="506"/>
      <c r="L31" s="506"/>
      <c r="M31" s="518"/>
    </row>
    <row r="32" spans="1:14" s="534" customFormat="1" ht="15.9" hidden="1" customHeight="1">
      <c r="A32" s="497">
        <v>17</v>
      </c>
      <c r="B32" s="533" t="s">
        <v>418</v>
      </c>
      <c r="C32" s="499" t="s">
        <v>241</v>
      </c>
      <c r="D32" s="529" t="s">
        <v>212</v>
      </c>
      <c r="E32" s="501" t="s">
        <v>407</v>
      </c>
      <c r="F32" s="502" t="s">
        <v>390</v>
      </c>
      <c r="G32" s="506">
        <v>31</v>
      </c>
      <c r="H32" s="506">
        <v>31</v>
      </c>
      <c r="I32" s="504">
        <f>'KL theo HĐ'!F30</f>
        <v>31</v>
      </c>
      <c r="J32" s="505" t="str">
        <f t="shared" si="1"/>
        <v/>
      </c>
      <c r="K32" s="506"/>
      <c r="L32" s="506"/>
      <c r="M32" s="518"/>
    </row>
    <row r="33" spans="1:13" ht="6.75" customHeight="1">
      <c r="A33" s="421"/>
      <c r="B33" s="421"/>
      <c r="C33" s="422"/>
      <c r="D33" s="421"/>
      <c r="E33" s="423"/>
      <c r="F33" s="424"/>
      <c r="G33" s="425"/>
      <c r="H33" s="426"/>
    </row>
    <row r="34" spans="1:13" s="540" customFormat="1">
      <c r="A34" s="427"/>
      <c r="B34" s="428"/>
      <c r="C34" s="428" t="s">
        <v>312</v>
      </c>
      <c r="H34" s="610" t="s">
        <v>45</v>
      </c>
      <c r="I34" s="610"/>
      <c r="J34" s="610"/>
      <c r="K34" s="610"/>
      <c r="L34" s="474"/>
      <c r="M34" s="474"/>
    </row>
    <row r="35" spans="1:13" s="540" customFormat="1">
      <c r="A35" s="427"/>
      <c r="B35" s="428"/>
      <c r="C35" s="428" t="s">
        <v>313</v>
      </c>
      <c r="H35" s="427"/>
      <c r="I35" s="427"/>
      <c r="J35" s="427"/>
      <c r="K35" s="427"/>
      <c r="L35" s="474"/>
      <c r="M35" s="474"/>
    </row>
    <row r="36" spans="1:13" s="540" customFormat="1">
      <c r="A36" s="427"/>
      <c r="B36" s="428"/>
      <c r="C36" s="428" t="s">
        <v>419</v>
      </c>
      <c r="H36" s="427"/>
      <c r="I36" s="427"/>
      <c r="J36" s="427"/>
      <c r="K36" s="427"/>
      <c r="L36" s="474"/>
      <c r="M36" s="474"/>
    </row>
    <row r="37" spans="1:13" s="540" customFormat="1">
      <c r="A37" s="427"/>
      <c r="B37" s="428"/>
      <c r="C37" s="428" t="s">
        <v>315</v>
      </c>
      <c r="H37" s="429"/>
      <c r="I37" s="427"/>
      <c r="J37" s="427"/>
      <c r="K37" s="427"/>
      <c r="L37" s="474"/>
      <c r="M37" s="474"/>
    </row>
    <row r="38" spans="1:13" s="540" customFormat="1">
      <c r="A38" s="427"/>
      <c r="B38" s="428"/>
      <c r="C38" s="428" t="s">
        <v>316</v>
      </c>
      <c r="H38" s="429"/>
      <c r="I38" s="427"/>
      <c r="J38" s="427"/>
      <c r="K38" s="427"/>
      <c r="L38" s="474"/>
      <c r="M38" s="474"/>
    </row>
    <row r="39" spans="1:13" s="540" customFormat="1">
      <c r="A39" s="427"/>
      <c r="B39" s="428"/>
      <c r="C39" s="428" t="s">
        <v>317</v>
      </c>
      <c r="H39" s="610" t="s">
        <v>46</v>
      </c>
      <c r="I39" s="610"/>
      <c r="J39" s="610"/>
      <c r="K39" s="610"/>
      <c r="L39" s="474"/>
      <c r="M39" s="474"/>
    </row>
    <row r="40" spans="1:13" s="540" customFormat="1" ht="4.5" customHeight="1">
      <c r="A40" s="427"/>
      <c r="B40" s="428"/>
      <c r="C40" s="428"/>
      <c r="H40" s="427"/>
      <c r="I40" s="427"/>
      <c r="J40" s="427"/>
      <c r="K40" s="427"/>
      <c r="L40" s="474"/>
      <c r="M40" s="474"/>
    </row>
    <row r="41" spans="1:13" s="540" customFormat="1">
      <c r="A41" s="427"/>
      <c r="B41" s="427"/>
      <c r="C41" s="427" t="s">
        <v>318</v>
      </c>
      <c r="H41" s="610" t="s">
        <v>319</v>
      </c>
      <c r="I41" s="610"/>
      <c r="J41" s="610"/>
      <c r="K41" s="610"/>
      <c r="L41" s="474"/>
      <c r="M41" s="474"/>
    </row>
    <row r="42" spans="1:13" s="540" customFormat="1">
      <c r="A42" s="427"/>
      <c r="B42" s="427"/>
      <c r="C42" s="427" t="s">
        <v>320</v>
      </c>
      <c r="H42" s="610" t="s">
        <v>51</v>
      </c>
      <c r="I42" s="610"/>
      <c r="J42" s="610"/>
      <c r="K42" s="610"/>
      <c r="L42" s="474"/>
      <c r="M42" s="474"/>
    </row>
    <row r="43" spans="1:13" s="540" customFormat="1">
      <c r="A43" s="427"/>
      <c r="B43" s="427"/>
      <c r="C43" s="427" t="s">
        <v>52</v>
      </c>
      <c r="H43" s="610" t="s">
        <v>52</v>
      </c>
      <c r="I43" s="610"/>
      <c r="J43" s="610"/>
      <c r="K43" s="610"/>
      <c r="L43" s="474"/>
      <c r="M43" s="474"/>
    </row>
    <row r="44" spans="1:13" s="540" customFormat="1">
      <c r="A44" s="427"/>
      <c r="B44" s="427"/>
      <c r="C44" s="427"/>
      <c r="H44" s="429"/>
      <c r="I44" s="427"/>
      <c r="J44" s="427"/>
      <c r="K44" s="427"/>
      <c r="L44" s="474"/>
      <c r="M44" s="474"/>
    </row>
    <row r="45" spans="1:13" s="540" customFormat="1" ht="2.25" customHeight="1">
      <c r="A45" s="427"/>
      <c r="B45" s="427"/>
      <c r="C45" s="427"/>
      <c r="H45" s="429"/>
      <c r="I45" s="427"/>
      <c r="J45" s="427"/>
      <c r="K45" s="427"/>
      <c r="L45" s="474"/>
      <c r="M45" s="474"/>
    </row>
    <row r="46" spans="1:13" s="540" customFormat="1" ht="12" customHeight="1">
      <c r="A46" s="427"/>
      <c r="B46" s="427"/>
      <c r="C46" s="427"/>
      <c r="H46" s="429"/>
      <c r="I46" s="427"/>
      <c r="J46" s="427"/>
      <c r="K46" s="427"/>
      <c r="L46" s="474"/>
      <c r="M46" s="474"/>
    </row>
    <row r="47" spans="1:13" s="540" customFormat="1" ht="20.25" customHeight="1">
      <c r="A47" s="427"/>
      <c r="B47" s="427"/>
      <c r="C47" s="427"/>
      <c r="H47" s="429"/>
      <c r="I47" s="427"/>
      <c r="J47" s="427"/>
      <c r="K47" s="427"/>
      <c r="L47" s="474"/>
      <c r="M47" s="474"/>
    </row>
    <row r="48" spans="1:13" s="540" customFormat="1">
      <c r="A48" s="427"/>
      <c r="B48" s="427"/>
      <c r="C48" s="427" t="s">
        <v>321</v>
      </c>
      <c r="H48" s="610" t="s">
        <v>54</v>
      </c>
      <c r="I48" s="610"/>
      <c r="J48" s="610"/>
      <c r="K48" s="610"/>
      <c r="L48" s="474"/>
      <c r="M48" s="474"/>
    </row>
    <row r="49" spans="1:13" s="540" customFormat="1">
      <c r="A49" s="542"/>
      <c r="B49" s="611"/>
      <c r="C49" s="611"/>
      <c r="D49" s="542"/>
      <c r="E49" s="544"/>
      <c r="F49" s="542"/>
      <c r="G49" s="542"/>
      <c r="H49" s="542"/>
      <c r="J49" s="541"/>
      <c r="K49" s="474"/>
      <c r="L49" s="474"/>
      <c r="M49" s="474"/>
    </row>
  </sheetData>
  <autoFilter ref="A9:N32" xr:uid="{EEE1083B-1E86-4FE6-9AE5-6767042258A3}">
    <filterColumn colId="9">
      <customFilters>
        <customFilter operator="notEqual" val=" "/>
      </customFilters>
    </filterColumn>
  </autoFilter>
  <printOptions horizontalCentered="1"/>
  <pageMargins left="0.11811023622047245" right="0.11811023622047245" top="0.19685039370078741" bottom="0.19685039370078741" header="0.31496062992125984" footer="0.15748031496062992"/>
  <pageSetup paperSize="9" scale="75" orientation="landscape" blackAndWhite="1" r:id="rId1"/>
  <headerFooter>
    <oddFooter>&amp;RTrang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9BB5-75F1-4E08-9FF6-ED3381BD7EF9}">
  <dimension ref="A1:K146"/>
  <sheetViews>
    <sheetView showGridLines="0" showZeros="0" tabSelected="1" view="pageBreakPreview" topLeftCell="B10" zoomScale="70" zoomScaleNormal="70" zoomScaleSheetLayoutView="70" workbookViewId="0">
      <selection activeCell="E28" sqref="E28:E29"/>
    </sheetView>
  </sheetViews>
  <sheetFormatPr defaultColWidth="9.109375" defaultRowHeight="14.4"/>
  <cols>
    <col min="1" max="1" width="3.6640625" style="329" hidden="1" customWidth="1"/>
    <col min="2" max="2" width="9.109375" style="431" customWidth="1"/>
    <col min="3" max="3" width="74.88671875" style="432" customWidth="1"/>
    <col min="4" max="4" width="9.33203125" style="431" bestFit="1" customWidth="1"/>
    <col min="5" max="5" width="12.109375" style="433" bestFit="1" customWidth="1"/>
    <col min="6" max="6" width="10.109375" style="433" bestFit="1" customWidth="1"/>
    <col min="7" max="8" width="9.5546875" style="433" bestFit="1" customWidth="1"/>
    <col min="9" max="9" width="39.88671875" style="434" customWidth="1"/>
    <col min="10" max="10" width="9.109375" style="329"/>
    <col min="11" max="11" width="13.5546875" style="329" customWidth="1"/>
    <col min="12" max="16384" width="9.109375" style="329"/>
  </cols>
  <sheetData>
    <row r="1" spans="1:11" ht="20.100000000000001" customHeight="1">
      <c r="B1" s="330"/>
      <c r="C1" s="331" t="s">
        <v>51</v>
      </c>
      <c r="D1" s="332" t="s">
        <v>59</v>
      </c>
      <c r="E1" s="332"/>
      <c r="F1" s="332"/>
      <c r="G1" s="332"/>
      <c r="H1" s="332"/>
      <c r="I1" s="332"/>
    </row>
    <row r="2" spans="1:11" ht="20.100000000000001" customHeight="1">
      <c r="B2" s="330"/>
      <c r="C2" s="333" t="s">
        <v>165</v>
      </c>
      <c r="D2" s="332" t="s">
        <v>166</v>
      </c>
      <c r="E2" s="332"/>
      <c r="F2" s="332"/>
      <c r="G2" s="332"/>
      <c r="H2" s="332"/>
      <c r="I2" s="332"/>
    </row>
    <row r="3" spans="1:11" ht="19.5" customHeight="1">
      <c r="B3" s="330"/>
      <c r="C3" s="334"/>
      <c r="D3" s="335" t="s">
        <v>167</v>
      </c>
      <c r="E3" s="335"/>
      <c r="F3" s="335"/>
      <c r="G3" s="335"/>
      <c r="H3" s="335"/>
      <c r="I3" s="335"/>
    </row>
    <row r="4" spans="1:11" ht="16.8">
      <c r="B4" s="337" t="s">
        <v>168</v>
      </c>
      <c r="C4" s="337"/>
      <c r="D4" s="337"/>
      <c r="E4" s="337"/>
      <c r="F4" s="337"/>
      <c r="G4" s="337"/>
      <c r="H4" s="337"/>
      <c r="I4" s="337"/>
    </row>
    <row r="5" spans="1:11" ht="20.100000000000001" customHeight="1">
      <c r="B5" s="332" t="s">
        <v>169</v>
      </c>
      <c r="C5" s="332"/>
      <c r="D5" s="332"/>
      <c r="E5" s="332"/>
      <c r="F5" s="332"/>
      <c r="G5" s="332"/>
      <c r="H5" s="332"/>
      <c r="I5" s="332"/>
    </row>
    <row r="6" spans="1:11" ht="20.100000000000001" customHeight="1">
      <c r="B6" s="332" t="s">
        <v>595</v>
      </c>
      <c r="C6" s="332"/>
      <c r="D6" s="332"/>
      <c r="E6" s="332"/>
      <c r="F6" s="332"/>
      <c r="G6" s="332"/>
      <c r="H6" s="332"/>
      <c r="I6" s="332"/>
    </row>
    <row r="7" spans="1:11" ht="20.100000000000001" customHeight="1">
      <c r="B7" s="332" t="s">
        <v>171</v>
      </c>
      <c r="C7" s="332"/>
      <c r="D7" s="332"/>
      <c r="E7" s="332"/>
      <c r="F7" s="332"/>
      <c r="G7" s="332"/>
      <c r="H7" s="332"/>
      <c r="I7" s="332"/>
    </row>
    <row r="8" spans="1:11" s="341" customFormat="1" ht="21.9" customHeight="1">
      <c r="A8" s="338"/>
      <c r="B8" s="339" t="s">
        <v>172</v>
      </c>
      <c r="C8" s="339" t="s">
        <v>173</v>
      </c>
      <c r="D8" s="339" t="s">
        <v>69</v>
      </c>
      <c r="E8" s="340" t="s">
        <v>83</v>
      </c>
      <c r="F8" s="340"/>
      <c r="G8" s="340" t="s">
        <v>174</v>
      </c>
      <c r="H8" s="340"/>
      <c r="I8" s="340" t="s">
        <v>85</v>
      </c>
      <c r="J8" s="338"/>
      <c r="K8" s="338"/>
    </row>
    <row r="9" spans="1:11" s="341" customFormat="1" ht="21.9" customHeight="1">
      <c r="A9" s="338"/>
      <c r="B9" s="339"/>
      <c r="C9" s="339"/>
      <c r="D9" s="339"/>
      <c r="E9" s="342" t="s">
        <v>175</v>
      </c>
      <c r="F9" s="343" t="s">
        <v>176</v>
      </c>
      <c r="G9" s="343" t="s">
        <v>177</v>
      </c>
      <c r="H9" s="343" t="s">
        <v>178</v>
      </c>
      <c r="I9" s="340"/>
      <c r="J9" s="338"/>
      <c r="K9" s="338"/>
    </row>
    <row r="10" spans="1:11" s="350" customFormat="1" ht="21.9" customHeight="1">
      <c r="A10" s="344"/>
      <c r="B10" s="345" t="s">
        <v>90</v>
      </c>
      <c r="C10" s="346" t="s">
        <v>179</v>
      </c>
      <c r="D10" s="347"/>
      <c r="E10" s="348"/>
      <c r="F10" s="348"/>
      <c r="G10" s="348" t="str">
        <f>IF(F10&gt;E10,F10-E10,"")</f>
        <v/>
      </c>
      <c r="H10" s="348" t="str">
        <f>IF(E10&gt;F10,E10-F10,"")</f>
        <v/>
      </c>
      <c r="I10" s="349"/>
      <c r="J10" s="344"/>
      <c r="K10" s="344"/>
    </row>
    <row r="11" spans="1:11" s="350" customFormat="1" ht="21.9" customHeight="1">
      <c r="A11" s="344"/>
      <c r="B11" s="351" t="s">
        <v>94</v>
      </c>
      <c r="C11" s="352" t="s">
        <v>180</v>
      </c>
      <c r="D11" s="353"/>
      <c r="E11" s="354"/>
      <c r="F11" s="354"/>
      <c r="G11" s="348" t="str">
        <f t="shared" ref="G11:G76" si="0">IF(F11&gt;E11,F11-E11,"")</f>
        <v/>
      </c>
      <c r="H11" s="348" t="str">
        <f t="shared" ref="H11:H74" si="1">IF(E11&gt;F11,E11-F11,"")</f>
        <v/>
      </c>
      <c r="I11" s="355"/>
      <c r="J11" s="344"/>
      <c r="K11" s="344"/>
    </row>
    <row r="12" spans="1:11" s="350" customFormat="1" ht="21.9" customHeight="1">
      <c r="A12" s="344" t="s">
        <v>181</v>
      </c>
      <c r="B12" s="351">
        <v>1</v>
      </c>
      <c r="C12" s="352" t="s">
        <v>182</v>
      </c>
      <c r="D12" s="351" t="s">
        <v>183</v>
      </c>
      <c r="E12" s="351">
        <v>19</v>
      </c>
      <c r="F12" s="351">
        <v>19</v>
      </c>
      <c r="G12" s="356" t="str">
        <f t="shared" si="0"/>
        <v/>
      </c>
      <c r="H12" s="356" t="str">
        <f t="shared" si="1"/>
        <v/>
      </c>
      <c r="I12" s="357"/>
      <c r="J12" s="344"/>
      <c r="K12" s="344"/>
    </row>
    <row r="13" spans="1:11" s="344" customFormat="1" ht="21.9" customHeight="1">
      <c r="B13" s="351">
        <v>2</v>
      </c>
      <c r="C13" s="352" t="s">
        <v>184</v>
      </c>
      <c r="D13" s="351" t="s">
        <v>185</v>
      </c>
      <c r="E13" s="351">
        <v>33</v>
      </c>
      <c r="F13" s="351">
        <v>33</v>
      </c>
      <c r="G13" s="356" t="str">
        <f t="shared" si="0"/>
        <v/>
      </c>
      <c r="H13" s="356" t="str">
        <f t="shared" si="1"/>
        <v/>
      </c>
      <c r="I13" s="357"/>
    </row>
    <row r="14" spans="1:11" s="344" customFormat="1" ht="21.9" customHeight="1">
      <c r="B14" s="356"/>
      <c r="C14" s="358" t="s">
        <v>186</v>
      </c>
      <c r="D14" s="356" t="s">
        <v>30</v>
      </c>
      <c r="E14" s="356">
        <v>67</v>
      </c>
      <c r="F14" s="356">
        <f>E14</f>
        <v>67</v>
      </c>
      <c r="G14" s="356" t="str">
        <f t="shared" si="0"/>
        <v/>
      </c>
      <c r="H14" s="356" t="str">
        <f t="shared" si="1"/>
        <v/>
      </c>
      <c r="I14" s="359"/>
    </row>
    <row r="15" spans="1:11" s="344" customFormat="1" ht="21.9" customHeight="1">
      <c r="B15" s="356"/>
      <c r="C15" s="358" t="s">
        <v>187</v>
      </c>
      <c r="D15" s="356" t="s">
        <v>188</v>
      </c>
      <c r="E15" s="356">
        <v>33</v>
      </c>
      <c r="F15" s="356">
        <f t="shared" ref="F15:F18" si="2">E15</f>
        <v>33</v>
      </c>
      <c r="G15" s="356" t="str">
        <f t="shared" si="0"/>
        <v/>
      </c>
      <c r="H15" s="356" t="str">
        <f t="shared" si="1"/>
        <v/>
      </c>
      <c r="I15" s="359"/>
    </row>
    <row r="16" spans="1:11" s="344" customFormat="1" ht="21.9" customHeight="1">
      <c r="B16" s="356"/>
      <c r="C16" s="358" t="s">
        <v>189</v>
      </c>
      <c r="D16" s="356" t="s">
        <v>190</v>
      </c>
      <c r="E16" s="356">
        <v>66</v>
      </c>
      <c r="F16" s="356">
        <f t="shared" si="2"/>
        <v>66</v>
      </c>
      <c r="G16" s="356" t="str">
        <f t="shared" si="0"/>
        <v/>
      </c>
      <c r="H16" s="356" t="str">
        <f t="shared" si="1"/>
        <v/>
      </c>
      <c r="I16" s="359"/>
    </row>
    <row r="17" spans="1:11" s="344" customFormat="1" ht="21.9" customHeight="1">
      <c r="B17" s="356"/>
      <c r="C17" s="358" t="s">
        <v>191</v>
      </c>
      <c r="D17" s="356" t="s">
        <v>190</v>
      </c>
      <c r="E17" s="356">
        <v>66</v>
      </c>
      <c r="F17" s="356">
        <f t="shared" si="2"/>
        <v>66</v>
      </c>
      <c r="G17" s="356" t="str">
        <f t="shared" si="0"/>
        <v/>
      </c>
      <c r="H17" s="356" t="str">
        <f t="shared" si="1"/>
        <v/>
      </c>
      <c r="I17" s="359"/>
    </row>
    <row r="18" spans="1:11" s="344" customFormat="1" ht="21.9" customHeight="1">
      <c r="B18" s="356"/>
      <c r="C18" s="358" t="s">
        <v>192</v>
      </c>
      <c r="D18" s="356" t="s">
        <v>190</v>
      </c>
      <c r="E18" s="356">
        <v>33</v>
      </c>
      <c r="F18" s="356">
        <f t="shared" si="2"/>
        <v>33</v>
      </c>
      <c r="G18" s="356" t="str">
        <f t="shared" si="0"/>
        <v/>
      </c>
      <c r="H18" s="356" t="str">
        <f t="shared" si="1"/>
        <v/>
      </c>
      <c r="I18" s="359"/>
    </row>
    <row r="19" spans="1:11" s="350" customFormat="1" ht="21.9" customHeight="1">
      <c r="A19" s="360" t="s">
        <v>193</v>
      </c>
      <c r="B19" s="351">
        <v>3</v>
      </c>
      <c r="C19" s="352" t="s">
        <v>194</v>
      </c>
      <c r="D19" s="351" t="s">
        <v>195</v>
      </c>
      <c r="E19" s="351">
        <v>19</v>
      </c>
      <c r="F19" s="351">
        <v>19</v>
      </c>
      <c r="G19" s="356" t="str">
        <f t="shared" si="0"/>
        <v/>
      </c>
      <c r="H19" s="356" t="str">
        <f t="shared" si="1"/>
        <v/>
      </c>
      <c r="I19" s="357"/>
      <c r="J19" s="344"/>
      <c r="K19" s="344"/>
    </row>
    <row r="20" spans="1:11" s="344" customFormat="1" ht="21.9" customHeight="1">
      <c r="B20" s="356"/>
      <c r="C20" s="358" t="s">
        <v>196</v>
      </c>
      <c r="D20" s="356" t="s">
        <v>197</v>
      </c>
      <c r="E20" s="356">
        <v>19</v>
      </c>
      <c r="F20" s="356">
        <f>F19</f>
        <v>19</v>
      </c>
      <c r="G20" s="356" t="str">
        <f t="shared" si="0"/>
        <v/>
      </c>
      <c r="H20" s="356" t="str">
        <f t="shared" si="1"/>
        <v/>
      </c>
      <c r="I20" s="359"/>
    </row>
    <row r="21" spans="1:11" s="350" customFormat="1" ht="21.9" customHeight="1">
      <c r="A21" s="344"/>
      <c r="B21" s="351" t="s">
        <v>95</v>
      </c>
      <c r="C21" s="352" t="s">
        <v>198</v>
      </c>
      <c r="D21" s="361"/>
      <c r="E21" s="356"/>
      <c r="F21" s="356"/>
      <c r="G21" s="356" t="str">
        <f t="shared" si="0"/>
        <v/>
      </c>
      <c r="H21" s="356" t="str">
        <f t="shared" si="1"/>
        <v/>
      </c>
      <c r="I21" s="355"/>
      <c r="J21" s="344"/>
      <c r="K21" s="344"/>
    </row>
    <row r="22" spans="1:11" s="350" customFormat="1" ht="21.9" customHeight="1">
      <c r="A22" s="344"/>
      <c r="B22" s="351">
        <v>1</v>
      </c>
      <c r="C22" s="352" t="s">
        <v>199</v>
      </c>
      <c r="D22" s="351" t="s">
        <v>185</v>
      </c>
      <c r="E22" s="351">
        <v>52</v>
      </c>
      <c r="F22" s="362">
        <v>52</v>
      </c>
      <c r="G22" s="356" t="str">
        <f t="shared" si="0"/>
        <v/>
      </c>
      <c r="H22" s="356" t="str">
        <f t="shared" si="1"/>
        <v/>
      </c>
      <c r="I22" s="357"/>
      <c r="J22" s="344"/>
      <c r="K22" s="344"/>
    </row>
    <row r="23" spans="1:11" s="350" customFormat="1" ht="21.9" customHeight="1">
      <c r="A23" s="344"/>
      <c r="B23" s="356"/>
      <c r="C23" s="358" t="s">
        <v>200</v>
      </c>
      <c r="D23" s="356" t="s">
        <v>190</v>
      </c>
      <c r="E23" s="356">
        <v>52</v>
      </c>
      <c r="F23" s="356">
        <f>F22</f>
        <v>52</v>
      </c>
      <c r="G23" s="356" t="str">
        <f t="shared" si="0"/>
        <v/>
      </c>
      <c r="H23" s="356" t="str">
        <f t="shared" si="1"/>
        <v/>
      </c>
      <c r="I23" s="363"/>
      <c r="J23" s="344"/>
      <c r="K23" s="344"/>
    </row>
    <row r="24" spans="1:11" s="350" customFormat="1" ht="21.9" customHeight="1">
      <c r="A24" s="344"/>
      <c r="B24" s="361"/>
      <c r="C24" s="358" t="s">
        <v>201</v>
      </c>
      <c r="D24" s="356" t="s">
        <v>190</v>
      </c>
      <c r="E24" s="356">
        <v>52</v>
      </c>
      <c r="F24" s="356">
        <f>F22</f>
        <v>52</v>
      </c>
      <c r="G24" s="356" t="str">
        <f t="shared" si="0"/>
        <v/>
      </c>
      <c r="H24" s="356" t="str">
        <f t="shared" si="1"/>
        <v/>
      </c>
      <c r="I24" s="364" t="s">
        <v>202</v>
      </c>
      <c r="J24" s="344"/>
      <c r="K24" s="344"/>
    </row>
    <row r="25" spans="1:11" s="350" customFormat="1" ht="21.9" customHeight="1">
      <c r="A25" s="344"/>
      <c r="B25" s="356"/>
      <c r="C25" s="358" t="s">
        <v>203</v>
      </c>
      <c r="D25" s="356" t="s">
        <v>190</v>
      </c>
      <c r="E25" s="356">
        <v>104</v>
      </c>
      <c r="F25" s="356">
        <f>F22*2</f>
        <v>104</v>
      </c>
      <c r="G25" s="356" t="str">
        <f t="shared" si="0"/>
        <v/>
      </c>
      <c r="H25" s="356" t="str">
        <f t="shared" si="1"/>
        <v/>
      </c>
      <c r="I25" s="363"/>
      <c r="J25" s="344"/>
      <c r="K25" s="344"/>
    </row>
    <row r="26" spans="1:11" s="350" customFormat="1" ht="21.9" customHeight="1">
      <c r="A26" s="344"/>
      <c r="B26" s="356"/>
      <c r="C26" s="358" t="s">
        <v>204</v>
      </c>
      <c r="D26" s="356" t="s">
        <v>190</v>
      </c>
      <c r="E26" s="356">
        <v>104</v>
      </c>
      <c r="F26" s="356">
        <f>F22*2</f>
        <v>104</v>
      </c>
      <c r="G26" s="356" t="str">
        <f t="shared" si="0"/>
        <v/>
      </c>
      <c r="H26" s="356" t="str">
        <f t="shared" si="1"/>
        <v/>
      </c>
      <c r="I26" s="363"/>
      <c r="J26" s="344"/>
      <c r="K26" s="344"/>
    </row>
    <row r="27" spans="1:11" s="350" customFormat="1" ht="21.9" customHeight="1">
      <c r="A27" s="344"/>
      <c r="B27" s="351">
        <v>2</v>
      </c>
      <c r="C27" s="352" t="s">
        <v>205</v>
      </c>
      <c r="D27" s="351" t="s">
        <v>185</v>
      </c>
      <c r="E27" s="351">
        <v>10</v>
      </c>
      <c r="F27" s="362">
        <v>8</v>
      </c>
      <c r="G27" s="356" t="str">
        <f t="shared" si="0"/>
        <v/>
      </c>
      <c r="H27" s="356">
        <f t="shared" si="1"/>
        <v>2</v>
      </c>
      <c r="I27" s="365" t="s">
        <v>206</v>
      </c>
      <c r="J27" s="344"/>
      <c r="K27" s="344"/>
    </row>
    <row r="28" spans="1:11" s="350" customFormat="1" ht="21.9" customHeight="1">
      <c r="A28" s="344"/>
      <c r="B28" s="366"/>
      <c r="C28" s="358" t="s">
        <v>207</v>
      </c>
      <c r="D28" s="366" t="s">
        <v>190</v>
      </c>
      <c r="E28" s="366">
        <v>10</v>
      </c>
      <c r="F28" s="367">
        <v>6</v>
      </c>
      <c r="G28" s="356" t="str">
        <f t="shared" si="0"/>
        <v/>
      </c>
      <c r="H28" s="366">
        <f>IF(E28&gt;F28,E28-F28-F29,"")</f>
        <v>2</v>
      </c>
      <c r="I28" s="365"/>
      <c r="J28" s="344"/>
      <c r="K28" s="344"/>
    </row>
    <row r="29" spans="1:11" s="350" customFormat="1" ht="21.9" customHeight="1">
      <c r="A29" s="344"/>
      <c r="B29" s="366"/>
      <c r="C29" s="358" t="s">
        <v>208</v>
      </c>
      <c r="D29" s="366"/>
      <c r="E29" s="366"/>
      <c r="F29" s="367">
        <v>2</v>
      </c>
      <c r="G29" s="356"/>
      <c r="H29" s="366"/>
      <c r="I29" s="365"/>
      <c r="J29" s="344"/>
      <c r="K29" s="344"/>
    </row>
    <row r="30" spans="1:11" s="350" customFormat="1" ht="21.9" customHeight="1">
      <c r="A30" s="344"/>
      <c r="B30" s="366"/>
      <c r="C30" s="358" t="s">
        <v>209</v>
      </c>
      <c r="D30" s="366" t="s">
        <v>190</v>
      </c>
      <c r="E30" s="366">
        <v>10</v>
      </c>
      <c r="F30" s="367">
        <v>7</v>
      </c>
      <c r="G30" s="356" t="str">
        <f t="shared" si="0"/>
        <v/>
      </c>
      <c r="H30" s="368">
        <f>E30-F30-F31</f>
        <v>2</v>
      </c>
      <c r="I30" s="365"/>
      <c r="J30" s="344"/>
      <c r="K30" s="344"/>
    </row>
    <row r="31" spans="1:11" s="350" customFormat="1" ht="21.9" customHeight="1">
      <c r="A31" s="344"/>
      <c r="B31" s="366"/>
      <c r="C31" s="358" t="s">
        <v>210</v>
      </c>
      <c r="D31" s="366"/>
      <c r="E31" s="366"/>
      <c r="F31" s="367">
        <v>1</v>
      </c>
      <c r="G31" s="356"/>
      <c r="H31" s="366"/>
      <c r="I31" s="365"/>
      <c r="J31" s="344"/>
      <c r="K31" s="344"/>
    </row>
    <row r="32" spans="1:11" s="350" customFormat="1" ht="21.9" customHeight="1">
      <c r="A32" s="344"/>
      <c r="B32" s="356"/>
      <c r="C32" s="358" t="s">
        <v>211</v>
      </c>
      <c r="D32" s="356" t="s">
        <v>212</v>
      </c>
      <c r="E32" s="356">
        <v>10</v>
      </c>
      <c r="F32" s="367">
        <v>8</v>
      </c>
      <c r="G32" s="356" t="str">
        <f t="shared" si="0"/>
        <v/>
      </c>
      <c r="H32" s="356">
        <f t="shared" si="1"/>
        <v>2</v>
      </c>
      <c r="I32" s="365"/>
      <c r="J32" s="344"/>
      <c r="K32" s="344"/>
    </row>
    <row r="33" spans="1:11" s="350" customFormat="1" ht="21.9" customHeight="1">
      <c r="A33" s="344"/>
      <c r="B33" s="356"/>
      <c r="C33" s="358" t="s">
        <v>213</v>
      </c>
      <c r="D33" s="356" t="s">
        <v>212</v>
      </c>
      <c r="E33" s="356">
        <v>10</v>
      </c>
      <c r="F33" s="367">
        <v>4</v>
      </c>
      <c r="G33" s="356" t="str">
        <f t="shared" si="0"/>
        <v/>
      </c>
      <c r="H33" s="356">
        <f t="shared" si="1"/>
        <v>6</v>
      </c>
      <c r="I33" s="365"/>
      <c r="J33" s="344"/>
      <c r="K33" s="344"/>
    </row>
    <row r="34" spans="1:11" s="350" customFormat="1" ht="21.9" customHeight="1">
      <c r="A34" s="344"/>
      <c r="B34" s="356"/>
      <c r="C34" s="358" t="s">
        <v>214</v>
      </c>
      <c r="D34" s="356" t="s">
        <v>212</v>
      </c>
      <c r="E34" s="356">
        <v>10</v>
      </c>
      <c r="F34" s="367">
        <v>5</v>
      </c>
      <c r="G34" s="356" t="str">
        <f t="shared" si="0"/>
        <v/>
      </c>
      <c r="H34" s="356">
        <f t="shared" si="1"/>
        <v>5</v>
      </c>
      <c r="I34" s="365"/>
      <c r="J34" s="344"/>
      <c r="K34" s="344"/>
    </row>
    <row r="35" spans="1:11" s="344" customFormat="1" ht="21.9" customHeight="1">
      <c r="A35" s="344" t="s">
        <v>215</v>
      </c>
      <c r="B35" s="351">
        <v>3</v>
      </c>
      <c r="C35" s="352" t="s">
        <v>216</v>
      </c>
      <c r="D35" s="351" t="s">
        <v>185</v>
      </c>
      <c r="E35" s="351">
        <v>111</v>
      </c>
      <c r="F35" s="351">
        <v>109</v>
      </c>
      <c r="G35" s="356" t="str">
        <f t="shared" si="0"/>
        <v/>
      </c>
      <c r="H35" s="351">
        <f t="shared" si="1"/>
        <v>2</v>
      </c>
      <c r="I35" s="365" t="s">
        <v>217</v>
      </c>
    </row>
    <row r="36" spans="1:11" s="374" customFormat="1" ht="21.9" customHeight="1">
      <c r="A36" s="369"/>
      <c r="B36" s="370"/>
      <c r="C36" s="371" t="s">
        <v>218</v>
      </c>
      <c r="D36" s="356" t="s">
        <v>219</v>
      </c>
      <c r="E36" s="367">
        <v>1665</v>
      </c>
      <c r="F36" s="367">
        <f>F35*15</f>
        <v>1635</v>
      </c>
      <c r="G36" s="356" t="str">
        <f t="shared" si="0"/>
        <v/>
      </c>
      <c r="H36" s="372">
        <f t="shared" si="1"/>
        <v>30</v>
      </c>
      <c r="I36" s="365"/>
      <c r="J36" s="373"/>
      <c r="K36" s="373"/>
    </row>
    <row r="37" spans="1:11" s="344" customFormat="1" ht="21.9" customHeight="1">
      <c r="B37" s="356"/>
      <c r="C37" s="371" t="s">
        <v>220</v>
      </c>
      <c r="D37" s="356" t="s">
        <v>190</v>
      </c>
      <c r="E37" s="367">
        <v>111</v>
      </c>
      <c r="F37" s="367">
        <f>F35</f>
        <v>109</v>
      </c>
      <c r="G37" s="356" t="str">
        <f t="shared" si="0"/>
        <v/>
      </c>
      <c r="H37" s="372">
        <f t="shared" si="1"/>
        <v>2</v>
      </c>
      <c r="I37" s="365"/>
    </row>
    <row r="38" spans="1:11" s="344" customFormat="1" ht="21.9" customHeight="1">
      <c r="B38" s="356"/>
      <c r="C38" s="371" t="s">
        <v>221</v>
      </c>
      <c r="D38" s="356" t="s">
        <v>190</v>
      </c>
      <c r="E38" s="367">
        <v>888</v>
      </c>
      <c r="F38" s="367">
        <f>F35*8</f>
        <v>872</v>
      </c>
      <c r="G38" s="356" t="str">
        <f t="shared" si="0"/>
        <v/>
      </c>
      <c r="H38" s="356">
        <f t="shared" si="1"/>
        <v>16</v>
      </c>
      <c r="I38" s="365"/>
    </row>
    <row r="39" spans="1:11" s="344" customFormat="1" ht="21.9" customHeight="1">
      <c r="B39" s="356"/>
      <c r="C39" s="358" t="s">
        <v>222</v>
      </c>
      <c r="D39" s="356" t="s">
        <v>212</v>
      </c>
      <c r="E39" s="367">
        <v>111</v>
      </c>
      <c r="F39" s="367">
        <f>F35</f>
        <v>109</v>
      </c>
      <c r="G39" s="356" t="str">
        <f t="shared" si="0"/>
        <v/>
      </c>
      <c r="H39" s="356">
        <f t="shared" si="1"/>
        <v>2</v>
      </c>
      <c r="I39" s="365"/>
    </row>
    <row r="40" spans="1:11" s="375" customFormat="1" ht="21.9" customHeight="1">
      <c r="A40" s="344"/>
      <c r="B40" s="356"/>
      <c r="C40" s="358" t="s">
        <v>223</v>
      </c>
      <c r="D40" s="356" t="s">
        <v>190</v>
      </c>
      <c r="E40" s="367">
        <v>222</v>
      </c>
      <c r="F40" s="367">
        <f>F35*2</f>
        <v>218</v>
      </c>
      <c r="G40" s="356" t="str">
        <f t="shared" si="0"/>
        <v/>
      </c>
      <c r="H40" s="356">
        <f t="shared" si="1"/>
        <v>4</v>
      </c>
      <c r="I40" s="365"/>
      <c r="J40" s="344"/>
      <c r="K40" s="344"/>
    </row>
    <row r="41" spans="1:11" s="344" customFormat="1" ht="21.9" customHeight="1">
      <c r="B41" s="356"/>
      <c r="C41" s="358" t="s">
        <v>224</v>
      </c>
      <c r="D41" s="356" t="s">
        <v>190</v>
      </c>
      <c r="E41" s="367">
        <v>111</v>
      </c>
      <c r="F41" s="367">
        <f>F35</f>
        <v>109</v>
      </c>
      <c r="G41" s="356" t="str">
        <f t="shared" si="0"/>
        <v/>
      </c>
      <c r="H41" s="356">
        <f t="shared" si="1"/>
        <v>2</v>
      </c>
      <c r="I41" s="365"/>
    </row>
    <row r="42" spans="1:11" s="344" customFormat="1" ht="21.9" customHeight="1">
      <c r="A42" s="344" t="s">
        <v>225</v>
      </c>
      <c r="B42" s="351">
        <v>4</v>
      </c>
      <c r="C42" s="352" t="s">
        <v>226</v>
      </c>
      <c r="D42" s="351" t="s">
        <v>185</v>
      </c>
      <c r="E42" s="367">
        <v>32</v>
      </c>
      <c r="F42" s="367">
        <v>32</v>
      </c>
      <c r="G42" s="356" t="str">
        <f t="shared" si="0"/>
        <v/>
      </c>
      <c r="H42" s="356" t="str">
        <f t="shared" si="1"/>
        <v/>
      </c>
      <c r="I42" s="357"/>
    </row>
    <row r="43" spans="1:11" s="377" customFormat="1" ht="21.9" customHeight="1">
      <c r="A43" s="369"/>
      <c r="B43" s="370"/>
      <c r="C43" s="371" t="s">
        <v>218</v>
      </c>
      <c r="D43" s="356" t="s">
        <v>219</v>
      </c>
      <c r="E43" s="367">
        <v>416</v>
      </c>
      <c r="F43" s="367">
        <f>F42*13</f>
        <v>416</v>
      </c>
      <c r="G43" s="356" t="str">
        <f t="shared" si="0"/>
        <v/>
      </c>
      <c r="H43" s="356" t="str">
        <f t="shared" si="1"/>
        <v/>
      </c>
      <c r="I43" s="376"/>
      <c r="J43" s="374"/>
      <c r="K43" s="374"/>
    </row>
    <row r="44" spans="1:11" s="344" customFormat="1" ht="21.9" customHeight="1">
      <c r="B44" s="356"/>
      <c r="C44" s="371" t="s">
        <v>220</v>
      </c>
      <c r="D44" s="356" t="s">
        <v>190</v>
      </c>
      <c r="E44" s="367">
        <v>32</v>
      </c>
      <c r="F44" s="367">
        <f>F42</f>
        <v>32</v>
      </c>
      <c r="G44" s="356" t="str">
        <f t="shared" si="0"/>
        <v/>
      </c>
      <c r="H44" s="356" t="str">
        <f t="shared" si="1"/>
        <v/>
      </c>
      <c r="I44" s="359"/>
    </row>
    <row r="45" spans="1:11" s="344" customFormat="1" ht="21.9" customHeight="1">
      <c r="B45" s="356"/>
      <c r="C45" s="371" t="s">
        <v>221</v>
      </c>
      <c r="D45" s="356" t="s">
        <v>190</v>
      </c>
      <c r="E45" s="367">
        <v>256</v>
      </c>
      <c r="F45" s="367">
        <f>F42*8</f>
        <v>256</v>
      </c>
      <c r="G45" s="356" t="str">
        <f t="shared" si="0"/>
        <v/>
      </c>
      <c r="H45" s="356" t="str">
        <f t="shared" si="1"/>
        <v/>
      </c>
      <c r="I45" s="359"/>
    </row>
    <row r="46" spans="1:11" s="344" customFormat="1" ht="21.9" customHeight="1">
      <c r="B46" s="356"/>
      <c r="C46" s="358" t="s">
        <v>227</v>
      </c>
      <c r="D46" s="356" t="s">
        <v>212</v>
      </c>
      <c r="E46" s="367">
        <v>32</v>
      </c>
      <c r="F46" s="367">
        <f>F42</f>
        <v>32</v>
      </c>
      <c r="G46" s="356" t="str">
        <f t="shared" si="0"/>
        <v/>
      </c>
      <c r="H46" s="356" t="str">
        <f t="shared" si="1"/>
        <v/>
      </c>
      <c r="I46" s="359"/>
    </row>
    <row r="47" spans="1:11" s="344" customFormat="1" ht="21.9" customHeight="1">
      <c r="B47" s="356"/>
      <c r="C47" s="358" t="s">
        <v>222</v>
      </c>
      <c r="D47" s="356" t="s">
        <v>212</v>
      </c>
      <c r="E47" s="367">
        <v>32</v>
      </c>
      <c r="F47" s="367">
        <f>F42</f>
        <v>32</v>
      </c>
      <c r="G47" s="356" t="str">
        <f t="shared" si="0"/>
        <v/>
      </c>
      <c r="H47" s="356" t="str">
        <f t="shared" si="1"/>
        <v/>
      </c>
      <c r="I47" s="359"/>
    </row>
    <row r="48" spans="1:11" s="344" customFormat="1" ht="21.9" customHeight="1">
      <c r="B48" s="356"/>
      <c r="C48" s="358" t="s">
        <v>223</v>
      </c>
      <c r="D48" s="356" t="s">
        <v>190</v>
      </c>
      <c r="E48" s="367">
        <v>64</v>
      </c>
      <c r="F48" s="367">
        <f>F42*2</f>
        <v>64</v>
      </c>
      <c r="G48" s="356" t="str">
        <f t="shared" si="0"/>
        <v/>
      </c>
      <c r="H48" s="356" t="str">
        <f t="shared" si="1"/>
        <v/>
      </c>
      <c r="I48" s="359"/>
    </row>
    <row r="49" spans="1:11" s="344" customFormat="1" ht="21.9" customHeight="1">
      <c r="B49" s="356"/>
      <c r="C49" s="358" t="s">
        <v>224</v>
      </c>
      <c r="D49" s="356" t="s">
        <v>190</v>
      </c>
      <c r="E49" s="367">
        <v>32</v>
      </c>
      <c r="F49" s="367">
        <f>F42</f>
        <v>32</v>
      </c>
      <c r="G49" s="356" t="str">
        <f t="shared" si="0"/>
        <v/>
      </c>
      <c r="H49" s="356" t="str">
        <f t="shared" si="1"/>
        <v/>
      </c>
      <c r="I49" s="359"/>
    </row>
    <row r="50" spans="1:11" s="378" customFormat="1" ht="21.9" customHeight="1">
      <c r="A50" s="344"/>
      <c r="B50" s="362">
        <v>5</v>
      </c>
      <c r="C50" s="352" t="s">
        <v>228</v>
      </c>
      <c r="D50" s="351" t="s">
        <v>185</v>
      </c>
      <c r="E50" s="351">
        <v>3</v>
      </c>
      <c r="F50" s="351">
        <v>3</v>
      </c>
      <c r="G50" s="356" t="str">
        <f t="shared" si="0"/>
        <v/>
      </c>
      <c r="H50" s="351" t="str">
        <f t="shared" si="1"/>
        <v/>
      </c>
      <c r="I50" s="357"/>
      <c r="J50" s="344"/>
      <c r="K50" s="344"/>
    </row>
    <row r="51" spans="1:11" s="378" customFormat="1" ht="21.9" customHeight="1">
      <c r="A51" s="344"/>
      <c r="B51" s="367"/>
      <c r="C51" s="371" t="s">
        <v>218</v>
      </c>
      <c r="D51" s="356" t="s">
        <v>219</v>
      </c>
      <c r="E51" s="356">
        <v>60</v>
      </c>
      <c r="F51" s="356">
        <f>F50*20</f>
        <v>60</v>
      </c>
      <c r="G51" s="356" t="str">
        <f t="shared" si="0"/>
        <v/>
      </c>
      <c r="H51" s="356" t="str">
        <f t="shared" si="1"/>
        <v/>
      </c>
      <c r="I51" s="376"/>
      <c r="J51" s="344"/>
      <c r="K51" s="344"/>
    </row>
    <row r="52" spans="1:11" s="378" customFormat="1" ht="21.9" customHeight="1">
      <c r="A52" s="344"/>
      <c r="B52" s="367"/>
      <c r="C52" s="371" t="s">
        <v>220</v>
      </c>
      <c r="D52" s="356" t="s">
        <v>190</v>
      </c>
      <c r="E52" s="356">
        <v>3</v>
      </c>
      <c r="F52" s="356">
        <f>F50</f>
        <v>3</v>
      </c>
      <c r="G52" s="356" t="str">
        <f t="shared" si="0"/>
        <v/>
      </c>
      <c r="H52" s="356" t="str">
        <f t="shared" si="1"/>
        <v/>
      </c>
      <c r="I52" s="359"/>
      <c r="J52" s="344"/>
      <c r="K52" s="344"/>
    </row>
    <row r="53" spans="1:11" s="378" customFormat="1" ht="21.9" customHeight="1">
      <c r="A53" s="344"/>
      <c r="B53" s="367"/>
      <c r="C53" s="371" t="s">
        <v>221</v>
      </c>
      <c r="D53" s="356" t="s">
        <v>190</v>
      </c>
      <c r="E53" s="356">
        <v>24</v>
      </c>
      <c r="F53" s="356">
        <f>F50*8</f>
        <v>24</v>
      </c>
      <c r="G53" s="356" t="str">
        <f t="shared" si="0"/>
        <v/>
      </c>
      <c r="H53" s="356" t="str">
        <f t="shared" si="1"/>
        <v/>
      </c>
      <c r="I53" s="359"/>
      <c r="J53" s="344"/>
      <c r="K53" s="344"/>
    </row>
    <row r="54" spans="1:11" s="378" customFormat="1" ht="21.9" customHeight="1">
      <c r="A54" s="344"/>
      <c r="B54" s="367"/>
      <c r="C54" s="358" t="s">
        <v>222</v>
      </c>
      <c r="D54" s="356" t="s">
        <v>190</v>
      </c>
      <c r="E54" s="356">
        <v>6</v>
      </c>
      <c r="F54" s="356">
        <f>F50*2</f>
        <v>6</v>
      </c>
      <c r="G54" s="356" t="str">
        <f t="shared" si="0"/>
        <v/>
      </c>
      <c r="H54" s="356" t="str">
        <f t="shared" si="1"/>
        <v/>
      </c>
      <c r="I54" s="359"/>
      <c r="J54" s="344"/>
      <c r="K54" s="344"/>
    </row>
    <row r="55" spans="1:11" s="378" customFormat="1" ht="21.9" customHeight="1">
      <c r="A55" s="344"/>
      <c r="B55" s="367"/>
      <c r="C55" s="358" t="s">
        <v>223</v>
      </c>
      <c r="D55" s="356" t="s">
        <v>190</v>
      </c>
      <c r="E55" s="356">
        <v>6</v>
      </c>
      <c r="F55" s="356">
        <f>F50*2</f>
        <v>6</v>
      </c>
      <c r="G55" s="356" t="str">
        <f t="shared" si="0"/>
        <v/>
      </c>
      <c r="H55" s="356" t="str">
        <f t="shared" si="1"/>
        <v/>
      </c>
      <c r="I55" s="359"/>
      <c r="J55" s="344"/>
      <c r="K55" s="344"/>
    </row>
    <row r="56" spans="1:11" s="344" customFormat="1" ht="21.9" customHeight="1">
      <c r="A56" s="360" t="s">
        <v>229</v>
      </c>
      <c r="B56" s="351">
        <v>6</v>
      </c>
      <c r="C56" s="352" t="s">
        <v>230</v>
      </c>
      <c r="D56" s="351" t="s">
        <v>185</v>
      </c>
      <c r="E56" s="351">
        <v>5</v>
      </c>
      <c r="F56" s="351">
        <v>3</v>
      </c>
      <c r="G56" s="356" t="str">
        <f t="shared" si="0"/>
        <v/>
      </c>
      <c r="H56" s="351">
        <f t="shared" si="1"/>
        <v>2</v>
      </c>
      <c r="I56" s="365" t="s">
        <v>231</v>
      </c>
    </row>
    <row r="57" spans="1:11" s="344" customFormat="1" ht="21.9" customHeight="1">
      <c r="B57" s="356"/>
      <c r="C57" s="358" t="s">
        <v>232</v>
      </c>
      <c r="D57" s="356" t="s">
        <v>190</v>
      </c>
      <c r="E57" s="356">
        <v>5</v>
      </c>
      <c r="F57" s="356">
        <f>F56</f>
        <v>3</v>
      </c>
      <c r="G57" s="356" t="str">
        <f t="shared" si="0"/>
        <v/>
      </c>
      <c r="H57" s="356">
        <f t="shared" si="1"/>
        <v>2</v>
      </c>
      <c r="I57" s="379"/>
    </row>
    <row r="58" spans="1:11" s="344" customFormat="1" ht="21.9" customHeight="1">
      <c r="B58" s="356"/>
      <c r="C58" s="358" t="s">
        <v>233</v>
      </c>
      <c r="D58" s="356" t="s">
        <v>190</v>
      </c>
      <c r="E58" s="356">
        <v>5</v>
      </c>
      <c r="F58" s="356">
        <f>F56</f>
        <v>3</v>
      </c>
      <c r="G58" s="356" t="str">
        <f t="shared" si="0"/>
        <v/>
      </c>
      <c r="H58" s="356">
        <f t="shared" si="1"/>
        <v>2</v>
      </c>
      <c r="I58" s="379"/>
    </row>
    <row r="59" spans="1:11" s="350" customFormat="1" ht="21.9" customHeight="1">
      <c r="A59" s="344"/>
      <c r="B59" s="351" t="s">
        <v>234</v>
      </c>
      <c r="C59" s="352" t="s">
        <v>235</v>
      </c>
      <c r="D59" s="361"/>
      <c r="E59" s="356"/>
      <c r="F59" s="356"/>
      <c r="G59" s="356" t="str">
        <f t="shared" si="0"/>
        <v/>
      </c>
      <c r="H59" s="356" t="str">
        <f t="shared" si="1"/>
        <v/>
      </c>
      <c r="I59" s="355"/>
      <c r="J59" s="344"/>
      <c r="K59" s="344"/>
    </row>
    <row r="60" spans="1:11" s="344" customFormat="1" ht="21.9" customHeight="1">
      <c r="B60" s="380" t="s">
        <v>236</v>
      </c>
      <c r="C60" s="358" t="s">
        <v>237</v>
      </c>
      <c r="D60" s="356" t="s">
        <v>30</v>
      </c>
      <c r="E60" s="367">
        <v>359</v>
      </c>
      <c r="F60" s="367">
        <v>351</v>
      </c>
      <c r="G60" s="356" t="str">
        <f t="shared" si="0"/>
        <v/>
      </c>
      <c r="H60" s="356">
        <f>IF(E60&gt;F60,E60-F60,"")</f>
        <v>8</v>
      </c>
      <c r="I60" s="381" t="s">
        <v>238</v>
      </c>
    </row>
    <row r="61" spans="1:11" s="344" customFormat="1" ht="21.9" customHeight="1">
      <c r="B61" s="382"/>
      <c r="C61" s="358" t="s">
        <v>239</v>
      </c>
      <c r="D61" s="356" t="s">
        <v>219</v>
      </c>
      <c r="E61" s="367">
        <v>12162</v>
      </c>
      <c r="F61" s="367">
        <v>12144</v>
      </c>
      <c r="G61" s="356" t="str">
        <f t="shared" si="0"/>
        <v/>
      </c>
      <c r="H61" s="356">
        <f t="shared" si="1"/>
        <v>18</v>
      </c>
      <c r="I61" s="383"/>
    </row>
    <row r="62" spans="1:11" s="384" customFormat="1" ht="21.9" customHeight="1">
      <c r="B62" s="351">
        <v>1</v>
      </c>
      <c r="C62" s="352" t="s">
        <v>240</v>
      </c>
      <c r="D62" s="351" t="s">
        <v>185</v>
      </c>
      <c r="E62" s="351">
        <v>31</v>
      </c>
      <c r="F62" s="351">
        <v>31</v>
      </c>
      <c r="G62" s="356" t="str">
        <f t="shared" si="0"/>
        <v/>
      </c>
      <c r="H62" s="351" t="str">
        <f t="shared" si="1"/>
        <v/>
      </c>
      <c r="I62" s="385"/>
    </row>
    <row r="63" spans="1:11" s="344" customFormat="1" ht="21.9" customHeight="1">
      <c r="B63" s="356"/>
      <c r="C63" s="358" t="s">
        <v>241</v>
      </c>
      <c r="D63" s="356" t="s">
        <v>212</v>
      </c>
      <c r="E63" s="356">
        <v>31</v>
      </c>
      <c r="F63" s="356">
        <f>F62</f>
        <v>31</v>
      </c>
      <c r="G63" s="356" t="str">
        <f t="shared" si="0"/>
        <v/>
      </c>
      <c r="H63" s="356" t="str">
        <f t="shared" si="1"/>
        <v/>
      </c>
      <c r="I63" s="359"/>
    </row>
    <row r="64" spans="1:11" s="344" customFormat="1" ht="21.9" customHeight="1">
      <c r="B64" s="356"/>
      <c r="C64" s="358" t="s">
        <v>242</v>
      </c>
      <c r="D64" s="356" t="s">
        <v>190</v>
      </c>
      <c r="E64" s="356">
        <v>31</v>
      </c>
      <c r="F64" s="356">
        <f>F62</f>
        <v>31</v>
      </c>
      <c r="G64" s="356" t="str">
        <f t="shared" si="0"/>
        <v/>
      </c>
      <c r="H64" s="356" t="str">
        <f t="shared" si="1"/>
        <v/>
      </c>
      <c r="I64" s="359"/>
    </row>
    <row r="65" spans="1:11" s="344" customFormat="1" ht="21.9" customHeight="1">
      <c r="B65" s="356"/>
      <c r="C65" s="358" t="s">
        <v>213</v>
      </c>
      <c r="D65" s="356" t="s">
        <v>212</v>
      </c>
      <c r="E65" s="356">
        <v>31</v>
      </c>
      <c r="F65" s="356">
        <f>F62</f>
        <v>31</v>
      </c>
      <c r="G65" s="356" t="str">
        <f t="shared" si="0"/>
        <v/>
      </c>
      <c r="H65" s="356" t="str">
        <f t="shared" si="1"/>
        <v/>
      </c>
      <c r="I65" s="359"/>
    </row>
    <row r="66" spans="1:11" s="384" customFormat="1" ht="21.9" customHeight="1">
      <c r="A66" s="344"/>
      <c r="B66" s="351">
        <v>2</v>
      </c>
      <c r="C66" s="352" t="s">
        <v>243</v>
      </c>
      <c r="D66" s="351" t="s">
        <v>185</v>
      </c>
      <c r="E66" s="351">
        <v>74</v>
      </c>
      <c r="F66" s="351">
        <v>72</v>
      </c>
      <c r="G66" s="356" t="str">
        <f t="shared" si="0"/>
        <v/>
      </c>
      <c r="H66" s="351">
        <f t="shared" si="1"/>
        <v>2</v>
      </c>
      <c r="I66" s="365" t="s">
        <v>244</v>
      </c>
    </row>
    <row r="67" spans="1:11" s="344" customFormat="1" ht="21.9" customHeight="1">
      <c r="B67" s="356"/>
      <c r="C67" s="358" t="s">
        <v>245</v>
      </c>
      <c r="D67" s="356" t="s">
        <v>190</v>
      </c>
      <c r="E67" s="356">
        <v>74</v>
      </c>
      <c r="F67" s="356">
        <f>F66</f>
        <v>72</v>
      </c>
      <c r="G67" s="356" t="str">
        <f t="shared" si="0"/>
        <v/>
      </c>
      <c r="H67" s="356">
        <f t="shared" si="1"/>
        <v>2</v>
      </c>
      <c r="I67" s="379"/>
    </row>
    <row r="68" spans="1:11" s="350" customFormat="1" ht="21.9" customHeight="1">
      <c r="A68" s="344"/>
      <c r="B68" s="356"/>
      <c r="C68" s="358" t="s">
        <v>246</v>
      </c>
      <c r="D68" s="356" t="s">
        <v>212</v>
      </c>
      <c r="E68" s="356">
        <v>74</v>
      </c>
      <c r="F68" s="356">
        <f>F66</f>
        <v>72</v>
      </c>
      <c r="G68" s="356" t="str">
        <f t="shared" si="0"/>
        <v/>
      </c>
      <c r="H68" s="356">
        <f t="shared" si="1"/>
        <v>2</v>
      </c>
      <c r="I68" s="379"/>
      <c r="J68" s="344"/>
      <c r="K68" s="344"/>
    </row>
    <row r="69" spans="1:11" s="384" customFormat="1" ht="26.25" customHeight="1">
      <c r="B69" s="351">
        <v>3</v>
      </c>
      <c r="C69" s="352" t="s">
        <v>247</v>
      </c>
      <c r="D69" s="351" t="s">
        <v>185</v>
      </c>
      <c r="E69" s="351">
        <v>29</v>
      </c>
      <c r="F69" s="351">
        <v>22</v>
      </c>
      <c r="G69" s="356" t="str">
        <f t="shared" si="0"/>
        <v/>
      </c>
      <c r="H69" s="356">
        <f t="shared" si="1"/>
        <v>7</v>
      </c>
      <c r="I69" s="365" t="s">
        <v>248</v>
      </c>
    </row>
    <row r="70" spans="1:11" s="344" customFormat="1" ht="26.25" customHeight="1">
      <c r="B70" s="356"/>
      <c r="C70" s="358" t="s">
        <v>249</v>
      </c>
      <c r="D70" s="356" t="s">
        <v>190</v>
      </c>
      <c r="E70" s="356">
        <v>29</v>
      </c>
      <c r="F70" s="356">
        <f>F69</f>
        <v>22</v>
      </c>
      <c r="G70" s="356" t="str">
        <f t="shared" si="0"/>
        <v/>
      </c>
      <c r="H70" s="356">
        <f t="shared" si="1"/>
        <v>7</v>
      </c>
      <c r="I70" s="365"/>
    </row>
    <row r="71" spans="1:11" s="344" customFormat="1" ht="26.25" customHeight="1">
      <c r="B71" s="356"/>
      <c r="C71" s="358" t="s">
        <v>201</v>
      </c>
      <c r="D71" s="356" t="s">
        <v>190</v>
      </c>
      <c r="E71" s="356">
        <v>29</v>
      </c>
      <c r="F71" s="356">
        <f>F69</f>
        <v>22</v>
      </c>
      <c r="G71" s="356" t="str">
        <f t="shared" si="0"/>
        <v/>
      </c>
      <c r="H71" s="356">
        <f t="shared" si="1"/>
        <v>7</v>
      </c>
      <c r="I71" s="365"/>
    </row>
    <row r="72" spans="1:11" s="344" customFormat="1" ht="26.25" customHeight="1">
      <c r="B72" s="356"/>
      <c r="C72" s="358" t="s">
        <v>213</v>
      </c>
      <c r="D72" s="356" t="s">
        <v>212</v>
      </c>
      <c r="E72" s="356">
        <v>58</v>
      </c>
      <c r="F72" s="356">
        <f>F69*2</f>
        <v>44</v>
      </c>
      <c r="G72" s="356" t="str">
        <f t="shared" si="0"/>
        <v/>
      </c>
      <c r="H72" s="356">
        <f t="shared" si="1"/>
        <v>14</v>
      </c>
      <c r="I72" s="365"/>
    </row>
    <row r="73" spans="1:11" s="344" customFormat="1" ht="21.9" customHeight="1">
      <c r="B73" s="351">
        <v>4</v>
      </c>
      <c r="C73" s="352" t="s">
        <v>250</v>
      </c>
      <c r="D73" s="351" t="s">
        <v>185</v>
      </c>
      <c r="E73" s="351">
        <v>6</v>
      </c>
      <c r="F73" s="351">
        <v>5</v>
      </c>
      <c r="G73" s="356" t="str">
        <f t="shared" si="0"/>
        <v/>
      </c>
      <c r="H73" s="351">
        <f t="shared" si="1"/>
        <v>1</v>
      </c>
      <c r="I73" s="365" t="s">
        <v>251</v>
      </c>
    </row>
    <row r="74" spans="1:11" s="344" customFormat="1" ht="21.9" customHeight="1">
      <c r="B74" s="356"/>
      <c r="C74" s="358" t="s">
        <v>249</v>
      </c>
      <c r="D74" s="356" t="s">
        <v>190</v>
      </c>
      <c r="E74" s="356">
        <v>12</v>
      </c>
      <c r="F74" s="356">
        <f>F73*2</f>
        <v>10</v>
      </c>
      <c r="G74" s="356" t="str">
        <f t="shared" si="0"/>
        <v/>
      </c>
      <c r="H74" s="356">
        <f t="shared" si="1"/>
        <v>2</v>
      </c>
      <c r="I74" s="365"/>
    </row>
    <row r="75" spans="1:11" s="344" customFormat="1" ht="21.9" customHeight="1">
      <c r="B75" s="356"/>
      <c r="C75" s="358" t="s">
        <v>252</v>
      </c>
      <c r="D75" s="356" t="s">
        <v>190</v>
      </c>
      <c r="E75" s="356">
        <v>12</v>
      </c>
      <c r="F75" s="356">
        <f>F73*2</f>
        <v>10</v>
      </c>
      <c r="G75" s="356" t="str">
        <f t="shared" si="0"/>
        <v/>
      </c>
      <c r="H75" s="356">
        <f t="shared" ref="H75:H138" si="3">IF(E75&gt;F75,E75-F75,"")</f>
        <v>2</v>
      </c>
      <c r="I75" s="365"/>
    </row>
    <row r="76" spans="1:11" s="344" customFormat="1" ht="21.9" customHeight="1">
      <c r="B76" s="356"/>
      <c r="C76" s="358" t="s">
        <v>253</v>
      </c>
      <c r="D76" s="356" t="s">
        <v>212</v>
      </c>
      <c r="E76" s="356">
        <v>12</v>
      </c>
      <c r="F76" s="356">
        <f>F73*2</f>
        <v>10</v>
      </c>
      <c r="G76" s="356" t="str">
        <f t="shared" si="0"/>
        <v/>
      </c>
      <c r="H76" s="356">
        <f t="shared" si="3"/>
        <v>2</v>
      </c>
      <c r="I76" s="365"/>
    </row>
    <row r="77" spans="1:11" s="344" customFormat="1" ht="21.9" customHeight="1">
      <c r="B77" s="351">
        <v>5</v>
      </c>
      <c r="C77" s="352" t="s">
        <v>254</v>
      </c>
      <c r="D77" s="351" t="s">
        <v>185</v>
      </c>
      <c r="E77" s="351">
        <v>21</v>
      </c>
      <c r="F77" s="351">
        <v>21</v>
      </c>
      <c r="G77" s="356" t="str">
        <f t="shared" ref="G77:G130" si="4">IF(F77&gt;E77,F77-E77,"")</f>
        <v/>
      </c>
      <c r="H77" s="351" t="str">
        <f t="shared" si="3"/>
        <v/>
      </c>
      <c r="I77" s="357"/>
    </row>
    <row r="78" spans="1:11" s="344" customFormat="1" ht="21.9" customHeight="1">
      <c r="B78" s="356"/>
      <c r="C78" s="358" t="s">
        <v>201</v>
      </c>
      <c r="D78" s="356" t="s">
        <v>190</v>
      </c>
      <c r="E78" s="356">
        <v>21</v>
      </c>
      <c r="F78" s="356">
        <f>F77</f>
        <v>21</v>
      </c>
      <c r="G78" s="356" t="str">
        <f t="shared" si="4"/>
        <v/>
      </c>
      <c r="H78" s="356" t="str">
        <f t="shared" si="3"/>
        <v/>
      </c>
      <c r="I78" s="359"/>
    </row>
    <row r="79" spans="1:11" s="344" customFormat="1" ht="50.4">
      <c r="B79" s="356"/>
      <c r="C79" s="358" t="s">
        <v>213</v>
      </c>
      <c r="D79" s="356" t="s">
        <v>212</v>
      </c>
      <c r="E79" s="356">
        <v>42</v>
      </c>
      <c r="F79" s="356">
        <f>F77*2-1</f>
        <v>41</v>
      </c>
      <c r="G79" s="356" t="str">
        <f t="shared" si="4"/>
        <v/>
      </c>
      <c r="H79" s="356">
        <f t="shared" si="3"/>
        <v>1</v>
      </c>
      <c r="I79" s="386" t="s">
        <v>255</v>
      </c>
    </row>
    <row r="80" spans="1:11" s="384" customFormat="1" ht="21.9" customHeight="1">
      <c r="B80" s="351">
        <v>6</v>
      </c>
      <c r="C80" s="352" t="s">
        <v>256</v>
      </c>
      <c r="D80" s="351" t="s">
        <v>185</v>
      </c>
      <c r="E80" s="351">
        <v>80</v>
      </c>
      <c r="F80" s="351">
        <v>80</v>
      </c>
      <c r="G80" s="356" t="str">
        <f t="shared" si="4"/>
        <v/>
      </c>
      <c r="H80" s="351" t="str">
        <f t="shared" si="3"/>
        <v/>
      </c>
      <c r="I80" s="385"/>
    </row>
    <row r="81" spans="1:11" s="344" customFormat="1" ht="21.9" customHeight="1">
      <c r="B81" s="356"/>
      <c r="C81" s="358" t="s">
        <v>252</v>
      </c>
      <c r="D81" s="356" t="s">
        <v>190</v>
      </c>
      <c r="E81" s="356">
        <v>160</v>
      </c>
      <c r="F81" s="356">
        <f>F80*2</f>
        <v>160</v>
      </c>
      <c r="G81" s="356" t="str">
        <f t="shared" si="4"/>
        <v/>
      </c>
      <c r="H81" s="356" t="str">
        <f t="shared" si="3"/>
        <v/>
      </c>
      <c r="I81" s="359"/>
    </row>
    <row r="82" spans="1:11" s="344" customFormat="1" ht="21.9" customHeight="1">
      <c r="B82" s="356"/>
      <c r="C82" s="358" t="s">
        <v>253</v>
      </c>
      <c r="D82" s="356" t="s">
        <v>212</v>
      </c>
      <c r="E82" s="356">
        <v>160</v>
      </c>
      <c r="F82" s="356">
        <f>F80*2</f>
        <v>160</v>
      </c>
      <c r="G82" s="356" t="str">
        <f t="shared" si="4"/>
        <v/>
      </c>
      <c r="H82" s="356" t="str">
        <f t="shared" si="3"/>
        <v/>
      </c>
      <c r="I82" s="359"/>
    </row>
    <row r="83" spans="1:11" s="387" customFormat="1" ht="21.9" customHeight="1">
      <c r="A83" s="344"/>
      <c r="B83" s="351">
        <v>7</v>
      </c>
      <c r="C83" s="352" t="s">
        <v>257</v>
      </c>
      <c r="D83" s="351" t="s">
        <v>185</v>
      </c>
      <c r="E83" s="351">
        <v>70</v>
      </c>
      <c r="F83" s="362">
        <v>50</v>
      </c>
      <c r="G83" s="356" t="str">
        <f t="shared" si="4"/>
        <v/>
      </c>
      <c r="H83" s="351">
        <f t="shared" si="3"/>
        <v>20</v>
      </c>
      <c r="I83" s="385"/>
      <c r="J83" s="384"/>
      <c r="K83" s="384"/>
    </row>
    <row r="84" spans="1:11" s="344" customFormat="1" ht="21.9" customHeight="1">
      <c r="B84" s="388"/>
      <c r="C84" s="389" t="s">
        <v>258</v>
      </c>
      <c r="D84" s="390" t="s">
        <v>259</v>
      </c>
      <c r="E84" s="390">
        <v>70</v>
      </c>
      <c r="F84" s="388">
        <v>50</v>
      </c>
      <c r="G84" s="390" t="str">
        <f t="shared" si="4"/>
        <v/>
      </c>
      <c r="H84" s="390">
        <f t="shared" si="3"/>
        <v>20</v>
      </c>
      <c r="I84" s="391" t="s">
        <v>260</v>
      </c>
    </row>
    <row r="85" spans="1:11" s="344" customFormat="1" ht="21.9" customHeight="1">
      <c r="B85" s="367"/>
      <c r="C85" s="358" t="s">
        <v>222</v>
      </c>
      <c r="D85" s="356" t="s">
        <v>212</v>
      </c>
      <c r="E85" s="356">
        <v>70</v>
      </c>
      <c r="F85" s="367">
        <v>70</v>
      </c>
      <c r="G85" s="356" t="str">
        <f t="shared" si="4"/>
        <v/>
      </c>
      <c r="H85" s="356" t="str">
        <f t="shared" si="3"/>
        <v/>
      </c>
      <c r="I85" s="359"/>
    </row>
    <row r="86" spans="1:11" s="344" customFormat="1" ht="21.9" customHeight="1">
      <c r="B86" s="356"/>
      <c r="C86" s="392" t="s">
        <v>261</v>
      </c>
      <c r="D86" s="356" t="s">
        <v>190</v>
      </c>
      <c r="E86" s="356">
        <v>70</v>
      </c>
      <c r="F86" s="367">
        <v>70</v>
      </c>
      <c r="G86" s="356" t="str">
        <f t="shared" si="4"/>
        <v/>
      </c>
      <c r="H86" s="356" t="str">
        <f t="shared" si="3"/>
        <v/>
      </c>
      <c r="I86" s="359"/>
    </row>
    <row r="87" spans="1:11" s="387" customFormat="1" ht="21.9" customHeight="1">
      <c r="A87" s="344"/>
      <c r="B87" s="351">
        <v>8</v>
      </c>
      <c r="C87" s="352" t="s">
        <v>262</v>
      </c>
      <c r="D87" s="351" t="s">
        <v>185</v>
      </c>
      <c r="E87" s="351">
        <v>4</v>
      </c>
      <c r="F87" s="362">
        <v>4</v>
      </c>
      <c r="G87" s="356" t="str">
        <f t="shared" si="4"/>
        <v/>
      </c>
      <c r="H87" s="351" t="str">
        <f t="shared" si="3"/>
        <v/>
      </c>
      <c r="I87" s="385"/>
      <c r="J87" s="384"/>
      <c r="K87" s="384"/>
    </row>
    <row r="88" spans="1:11" s="344" customFormat="1" ht="21.9" customHeight="1">
      <c r="B88" s="388"/>
      <c r="C88" s="389" t="s">
        <v>258</v>
      </c>
      <c r="D88" s="390" t="s">
        <v>259</v>
      </c>
      <c r="E88" s="390">
        <v>4</v>
      </c>
      <c r="F88" s="388">
        <v>4</v>
      </c>
      <c r="G88" s="390" t="str">
        <f t="shared" si="4"/>
        <v/>
      </c>
      <c r="H88" s="390" t="str">
        <f t="shared" si="3"/>
        <v/>
      </c>
      <c r="I88" s="391"/>
    </row>
    <row r="89" spans="1:11" s="344" customFormat="1" ht="21.9" customHeight="1">
      <c r="B89" s="356"/>
      <c r="C89" s="392" t="s">
        <v>261</v>
      </c>
      <c r="D89" s="356" t="s">
        <v>190</v>
      </c>
      <c r="E89" s="356">
        <v>4</v>
      </c>
      <c r="F89" s="356">
        <f>F87</f>
        <v>4</v>
      </c>
      <c r="G89" s="356" t="str">
        <f t="shared" si="4"/>
        <v/>
      </c>
      <c r="H89" s="356" t="str">
        <f t="shared" si="3"/>
        <v/>
      </c>
      <c r="I89" s="359"/>
    </row>
    <row r="90" spans="1:11" s="344" customFormat="1" ht="21.9" customHeight="1">
      <c r="B90" s="351">
        <v>9</v>
      </c>
      <c r="C90" s="393" t="s">
        <v>263</v>
      </c>
      <c r="D90" s="351" t="s">
        <v>212</v>
      </c>
      <c r="E90" s="351">
        <v>74</v>
      </c>
      <c r="F90" s="351">
        <v>74</v>
      </c>
      <c r="G90" s="356" t="str">
        <f t="shared" si="4"/>
        <v/>
      </c>
      <c r="H90" s="351" t="str">
        <f t="shared" si="3"/>
        <v/>
      </c>
      <c r="I90" s="357"/>
    </row>
    <row r="91" spans="1:11" s="395" customFormat="1" ht="21.9" customHeight="1">
      <c r="A91" s="384"/>
      <c r="B91" s="351">
        <v>10</v>
      </c>
      <c r="C91" s="352" t="s">
        <v>264</v>
      </c>
      <c r="D91" s="351"/>
      <c r="E91" s="356"/>
      <c r="F91" s="356"/>
      <c r="G91" s="356" t="str">
        <f t="shared" si="4"/>
        <v/>
      </c>
      <c r="H91" s="356" t="str">
        <f t="shared" si="3"/>
        <v/>
      </c>
      <c r="I91" s="394"/>
      <c r="J91" s="384"/>
      <c r="K91" s="384"/>
    </row>
    <row r="92" spans="1:11" s="396" customFormat="1" ht="21.9" customHeight="1">
      <c r="A92" s="344"/>
      <c r="B92" s="356"/>
      <c r="C92" s="358" t="s">
        <v>189</v>
      </c>
      <c r="D92" s="356" t="s">
        <v>190</v>
      </c>
      <c r="E92" s="356">
        <v>4</v>
      </c>
      <c r="F92" s="356">
        <v>4</v>
      </c>
      <c r="G92" s="356" t="str">
        <f t="shared" si="4"/>
        <v/>
      </c>
      <c r="H92" s="356" t="str">
        <f t="shared" si="3"/>
        <v/>
      </c>
      <c r="I92" s="359"/>
      <c r="J92" s="344"/>
      <c r="K92" s="344"/>
    </row>
    <row r="93" spans="1:11" s="344" customFormat="1" ht="21.9" customHeight="1">
      <c r="B93" s="397"/>
      <c r="C93" s="358" t="s">
        <v>265</v>
      </c>
      <c r="D93" s="356" t="s">
        <v>190</v>
      </c>
      <c r="E93" s="356">
        <v>4</v>
      </c>
      <c r="F93" s="356">
        <v>4</v>
      </c>
      <c r="G93" s="356" t="str">
        <f t="shared" si="4"/>
        <v/>
      </c>
      <c r="H93" s="356" t="str">
        <f t="shared" si="3"/>
        <v/>
      </c>
      <c r="I93" s="359"/>
    </row>
    <row r="94" spans="1:11" s="344" customFormat="1" ht="21.9" customHeight="1">
      <c r="B94" s="397"/>
      <c r="C94" s="358" t="s">
        <v>266</v>
      </c>
      <c r="D94" s="356" t="s">
        <v>219</v>
      </c>
      <c r="E94" s="356">
        <v>6</v>
      </c>
      <c r="F94" s="356">
        <v>27.5</v>
      </c>
      <c r="G94" s="356">
        <f t="shared" si="4"/>
        <v>21.5</v>
      </c>
      <c r="H94" s="356" t="str">
        <f t="shared" si="3"/>
        <v/>
      </c>
      <c r="I94" s="383" t="s">
        <v>267</v>
      </c>
    </row>
    <row r="95" spans="1:11" s="344" customFormat="1" ht="21.9" customHeight="1">
      <c r="B95" s="397"/>
      <c r="C95" s="358" t="s">
        <v>268</v>
      </c>
      <c r="D95" s="356" t="s">
        <v>219</v>
      </c>
      <c r="E95" s="356">
        <v>21.5</v>
      </c>
      <c r="F95" s="356">
        <v>0</v>
      </c>
      <c r="G95" s="356" t="str">
        <f t="shared" si="4"/>
        <v/>
      </c>
      <c r="H95" s="356">
        <f t="shared" si="3"/>
        <v>21.5</v>
      </c>
      <c r="I95" s="383"/>
    </row>
    <row r="96" spans="1:11" s="377" customFormat="1" ht="33.6">
      <c r="A96" s="369">
        <f>A94+1</f>
        <v>1</v>
      </c>
      <c r="B96" s="398"/>
      <c r="C96" s="358" t="s">
        <v>269</v>
      </c>
      <c r="D96" s="356" t="s">
        <v>212</v>
      </c>
      <c r="E96" s="356">
        <v>35</v>
      </c>
      <c r="F96" s="356">
        <v>34</v>
      </c>
      <c r="G96" s="356" t="str">
        <f t="shared" si="4"/>
        <v/>
      </c>
      <c r="H96" s="356">
        <f t="shared" si="3"/>
        <v>1</v>
      </c>
      <c r="I96" s="386" t="s">
        <v>270</v>
      </c>
      <c r="J96" s="374"/>
      <c r="K96" s="374"/>
    </row>
    <row r="97" spans="1:11" s="377" customFormat="1" ht="21.9" customHeight="1">
      <c r="A97" s="369">
        <f>A96+1</f>
        <v>2</v>
      </c>
      <c r="B97" s="398"/>
      <c r="C97" s="399" t="s">
        <v>271</v>
      </c>
      <c r="D97" s="400" t="s">
        <v>190</v>
      </c>
      <c r="E97" s="356">
        <v>16</v>
      </c>
      <c r="F97" s="356">
        <v>16</v>
      </c>
      <c r="G97" s="356" t="str">
        <f t="shared" si="4"/>
        <v/>
      </c>
      <c r="H97" s="356" t="str">
        <f t="shared" si="3"/>
        <v/>
      </c>
      <c r="I97" s="359"/>
      <c r="J97" s="374"/>
      <c r="K97" s="374"/>
    </row>
    <row r="98" spans="1:11" s="377" customFormat="1" ht="21.9" customHeight="1">
      <c r="A98" s="369"/>
      <c r="B98" s="398"/>
      <c r="C98" s="399" t="s">
        <v>272</v>
      </c>
      <c r="D98" s="400" t="s">
        <v>190</v>
      </c>
      <c r="E98" s="356">
        <v>8</v>
      </c>
      <c r="F98" s="356">
        <v>8</v>
      </c>
      <c r="G98" s="356" t="str">
        <f t="shared" si="4"/>
        <v/>
      </c>
      <c r="H98" s="356" t="str">
        <f t="shared" si="3"/>
        <v/>
      </c>
      <c r="I98" s="359"/>
      <c r="J98" s="374"/>
      <c r="K98" s="374"/>
    </row>
    <row r="99" spans="1:11" s="377" customFormat="1" ht="33.6">
      <c r="A99" s="369">
        <f>A94+1</f>
        <v>1</v>
      </c>
      <c r="B99" s="370"/>
      <c r="C99" s="401" t="s">
        <v>273</v>
      </c>
      <c r="D99" s="400" t="s">
        <v>190</v>
      </c>
      <c r="E99" s="356">
        <v>33</v>
      </c>
      <c r="F99" s="356">
        <v>31</v>
      </c>
      <c r="G99" s="356" t="str">
        <f t="shared" si="4"/>
        <v/>
      </c>
      <c r="H99" s="356">
        <f>IF(E99&gt;F99,E99-F99,"")</f>
        <v>2</v>
      </c>
      <c r="I99" s="402" t="s">
        <v>274</v>
      </c>
      <c r="J99" s="374"/>
      <c r="K99" s="374"/>
    </row>
    <row r="100" spans="1:11" s="377" customFormat="1" ht="21.9" customHeight="1">
      <c r="A100" s="369"/>
      <c r="B100" s="370"/>
      <c r="C100" s="401" t="s">
        <v>275</v>
      </c>
      <c r="D100" s="400" t="s">
        <v>190</v>
      </c>
      <c r="E100" s="356">
        <v>10</v>
      </c>
      <c r="F100" s="356">
        <v>10</v>
      </c>
      <c r="G100" s="356" t="str">
        <f t="shared" si="4"/>
        <v/>
      </c>
      <c r="H100" s="356" t="str">
        <f t="shared" si="3"/>
        <v/>
      </c>
      <c r="I100" s="403"/>
      <c r="J100" s="374"/>
      <c r="K100" s="374"/>
    </row>
    <row r="101" spans="1:11" s="377" customFormat="1" ht="33.6">
      <c r="A101" s="369"/>
      <c r="B101" s="370"/>
      <c r="C101" s="401" t="s">
        <v>276</v>
      </c>
      <c r="D101" s="400" t="s">
        <v>190</v>
      </c>
      <c r="E101" s="356">
        <v>5</v>
      </c>
      <c r="F101" s="356">
        <v>4</v>
      </c>
      <c r="G101" s="356" t="str">
        <f t="shared" si="4"/>
        <v/>
      </c>
      <c r="H101" s="356">
        <f t="shared" si="3"/>
        <v>1</v>
      </c>
      <c r="I101" s="402" t="s">
        <v>277</v>
      </c>
      <c r="J101" s="374"/>
      <c r="K101" s="374"/>
    </row>
    <row r="102" spans="1:11" s="377" customFormat="1" ht="21.9" customHeight="1">
      <c r="A102" s="404"/>
      <c r="B102" s="370"/>
      <c r="C102" s="401" t="s">
        <v>278</v>
      </c>
      <c r="D102" s="400" t="s">
        <v>212</v>
      </c>
      <c r="E102" s="356">
        <v>6</v>
      </c>
      <c r="F102" s="356">
        <v>6</v>
      </c>
      <c r="G102" s="356" t="str">
        <f t="shared" si="4"/>
        <v/>
      </c>
      <c r="H102" s="356" t="str">
        <f t="shared" si="3"/>
        <v/>
      </c>
      <c r="I102" s="403"/>
      <c r="J102" s="374"/>
      <c r="K102" s="374"/>
    </row>
    <row r="103" spans="1:11" s="377" customFormat="1" ht="21.9" customHeight="1">
      <c r="A103" s="404"/>
      <c r="B103" s="370"/>
      <c r="C103" s="401" t="s">
        <v>279</v>
      </c>
      <c r="D103" s="400" t="s">
        <v>212</v>
      </c>
      <c r="E103" s="356">
        <v>4</v>
      </c>
      <c r="F103" s="356">
        <v>4</v>
      </c>
      <c r="G103" s="356" t="str">
        <f t="shared" si="4"/>
        <v/>
      </c>
      <c r="H103" s="356" t="str">
        <f t="shared" si="3"/>
        <v/>
      </c>
      <c r="I103" s="403"/>
      <c r="J103" s="374"/>
      <c r="K103" s="374"/>
    </row>
    <row r="104" spans="1:11" s="377" customFormat="1" ht="21.9" customHeight="1">
      <c r="A104" s="404"/>
      <c r="B104" s="370"/>
      <c r="C104" s="401" t="s">
        <v>280</v>
      </c>
      <c r="D104" s="356" t="s">
        <v>190</v>
      </c>
      <c r="E104" s="356">
        <v>106</v>
      </c>
      <c r="F104" s="356">
        <v>99</v>
      </c>
      <c r="G104" s="356" t="str">
        <f t="shared" si="4"/>
        <v/>
      </c>
      <c r="H104" s="356">
        <f t="shared" si="3"/>
        <v>7</v>
      </c>
      <c r="I104" s="405" t="s">
        <v>281</v>
      </c>
      <c r="J104" s="374"/>
      <c r="K104" s="374"/>
    </row>
    <row r="105" spans="1:11" s="377" customFormat="1" ht="21.9" customHeight="1">
      <c r="A105" s="404"/>
      <c r="B105" s="370"/>
      <c r="C105" s="401" t="s">
        <v>282</v>
      </c>
      <c r="D105" s="400" t="s">
        <v>190</v>
      </c>
      <c r="E105" s="356">
        <v>172</v>
      </c>
      <c r="F105" s="356">
        <v>170</v>
      </c>
      <c r="G105" s="356" t="str">
        <f t="shared" si="4"/>
        <v/>
      </c>
      <c r="H105" s="356">
        <f t="shared" si="3"/>
        <v>2</v>
      </c>
      <c r="I105" s="405" t="s">
        <v>281</v>
      </c>
      <c r="J105" s="374"/>
      <c r="K105" s="374"/>
    </row>
    <row r="106" spans="1:11" s="344" customFormat="1" ht="21.9" customHeight="1">
      <c r="B106" s="356"/>
      <c r="C106" s="358" t="s">
        <v>283</v>
      </c>
      <c r="D106" s="356" t="s">
        <v>284</v>
      </c>
      <c r="E106" s="356">
        <v>1</v>
      </c>
      <c r="F106" s="356">
        <v>1</v>
      </c>
      <c r="G106" s="356" t="str">
        <f t="shared" si="4"/>
        <v/>
      </c>
      <c r="H106" s="356" t="str">
        <f t="shared" si="3"/>
        <v/>
      </c>
      <c r="I106" s="406"/>
    </row>
    <row r="107" spans="1:11" s="344" customFormat="1" ht="21.9" customHeight="1">
      <c r="B107" s="356"/>
      <c r="C107" s="358" t="s">
        <v>285</v>
      </c>
      <c r="D107" s="356" t="s">
        <v>284</v>
      </c>
      <c r="E107" s="356">
        <v>41</v>
      </c>
      <c r="F107" s="407">
        <v>20</v>
      </c>
      <c r="G107" s="356" t="str">
        <f t="shared" si="4"/>
        <v/>
      </c>
      <c r="H107" s="356">
        <f t="shared" si="3"/>
        <v>21</v>
      </c>
      <c r="I107" s="405" t="s">
        <v>281</v>
      </c>
    </row>
    <row r="108" spans="1:11" s="350" customFormat="1" ht="21.9" customHeight="1">
      <c r="A108" s="344"/>
      <c r="B108" s="356"/>
      <c r="C108" s="358" t="s">
        <v>286</v>
      </c>
      <c r="D108" s="356" t="s">
        <v>219</v>
      </c>
      <c r="E108" s="356">
        <v>41</v>
      </c>
      <c r="F108" s="408">
        <v>20.5</v>
      </c>
      <c r="G108" s="356" t="str">
        <f t="shared" si="4"/>
        <v/>
      </c>
      <c r="H108" s="356">
        <f t="shared" si="3"/>
        <v>20.5</v>
      </c>
      <c r="I108" s="405" t="s">
        <v>281</v>
      </c>
      <c r="J108" s="344"/>
      <c r="K108" s="344"/>
    </row>
    <row r="109" spans="1:11" s="350" customFormat="1" ht="21.9" customHeight="1">
      <c r="A109" s="344"/>
      <c r="B109" s="356"/>
      <c r="C109" s="358" t="s">
        <v>287</v>
      </c>
      <c r="D109" s="356" t="s">
        <v>30</v>
      </c>
      <c r="E109" s="356">
        <v>1</v>
      </c>
      <c r="F109" s="356">
        <f>E109</f>
        <v>1</v>
      </c>
      <c r="G109" s="356" t="str">
        <f t="shared" si="4"/>
        <v/>
      </c>
      <c r="H109" s="356" t="str">
        <f t="shared" si="3"/>
        <v/>
      </c>
      <c r="I109" s="359"/>
      <c r="J109" s="344"/>
      <c r="K109" s="344"/>
    </row>
    <row r="110" spans="1:11" s="350" customFormat="1" ht="21.9" customHeight="1">
      <c r="A110" s="344"/>
      <c r="B110" s="367"/>
      <c r="C110" s="358" t="s">
        <v>288</v>
      </c>
      <c r="D110" s="356" t="s">
        <v>30</v>
      </c>
      <c r="E110" s="356">
        <v>1</v>
      </c>
      <c r="F110" s="356">
        <f>E110</f>
        <v>1</v>
      </c>
      <c r="G110" s="356" t="str">
        <f t="shared" si="4"/>
        <v/>
      </c>
      <c r="H110" s="356" t="str">
        <f t="shared" si="3"/>
        <v/>
      </c>
      <c r="I110" s="359"/>
      <c r="J110" s="344"/>
      <c r="K110" s="344"/>
    </row>
    <row r="111" spans="1:11" s="350" customFormat="1" ht="21.9" customHeight="1">
      <c r="A111" s="344"/>
      <c r="B111" s="367"/>
      <c r="C111" s="358" t="s">
        <v>289</v>
      </c>
      <c r="D111" s="356" t="s">
        <v>290</v>
      </c>
      <c r="E111" s="356">
        <v>1</v>
      </c>
      <c r="F111" s="356">
        <f>E111</f>
        <v>1</v>
      </c>
      <c r="G111" s="356" t="str">
        <f t="shared" si="4"/>
        <v/>
      </c>
      <c r="H111" s="356" t="str">
        <f t="shared" si="3"/>
        <v/>
      </c>
      <c r="I111" s="359"/>
      <c r="J111" s="344"/>
      <c r="K111" s="344"/>
    </row>
    <row r="112" spans="1:11" s="413" customFormat="1" ht="21.9" customHeight="1">
      <c r="B112" s="409" t="s">
        <v>92</v>
      </c>
      <c r="C112" s="410" t="s">
        <v>291</v>
      </c>
      <c r="D112" s="409"/>
      <c r="E112" s="411"/>
      <c r="F112" s="411"/>
      <c r="G112" s="351" t="str">
        <f t="shared" si="4"/>
        <v/>
      </c>
      <c r="H112" s="351" t="str">
        <f t="shared" si="3"/>
        <v/>
      </c>
      <c r="I112" s="412"/>
    </row>
    <row r="113" spans="2:10" ht="37.5" customHeight="1">
      <c r="B113" s="361"/>
      <c r="C113" s="414" t="s">
        <v>292</v>
      </c>
      <c r="D113" s="415" t="s">
        <v>293</v>
      </c>
      <c r="E113" s="416">
        <v>5.5</v>
      </c>
      <c r="F113" s="416">
        <f>E113</f>
        <v>5.5</v>
      </c>
      <c r="G113" s="356" t="str">
        <f t="shared" si="4"/>
        <v/>
      </c>
      <c r="H113" s="356" t="str">
        <f t="shared" si="3"/>
        <v/>
      </c>
      <c r="I113" s="355"/>
    </row>
    <row r="114" spans="2:10" ht="34.5" customHeight="1">
      <c r="B114" s="361"/>
      <c r="C114" s="414" t="s">
        <v>294</v>
      </c>
      <c r="D114" s="415" t="s">
        <v>293</v>
      </c>
      <c r="E114" s="416">
        <v>4.7</v>
      </c>
      <c r="F114" s="416">
        <f>E114</f>
        <v>4.7</v>
      </c>
      <c r="G114" s="356" t="str">
        <f t="shared" si="4"/>
        <v/>
      </c>
      <c r="H114" s="356" t="str">
        <f t="shared" si="3"/>
        <v/>
      </c>
      <c r="I114" s="355"/>
    </row>
    <row r="115" spans="2:10" ht="21.9" customHeight="1">
      <c r="B115" s="361"/>
      <c r="C115" s="414" t="s">
        <v>295</v>
      </c>
      <c r="D115" s="415" t="s">
        <v>188</v>
      </c>
      <c r="E115" s="417">
        <v>33</v>
      </c>
      <c r="F115" s="417">
        <f>F15</f>
        <v>33</v>
      </c>
      <c r="G115" s="356" t="str">
        <f t="shared" si="4"/>
        <v/>
      </c>
      <c r="H115" s="356" t="str">
        <f t="shared" si="3"/>
        <v/>
      </c>
      <c r="I115" s="355"/>
    </row>
    <row r="116" spans="2:10" ht="21.9" customHeight="1">
      <c r="B116" s="361"/>
      <c r="C116" s="418" t="s">
        <v>296</v>
      </c>
      <c r="D116" s="415" t="s">
        <v>197</v>
      </c>
      <c r="E116" s="419">
        <v>19</v>
      </c>
      <c r="F116" s="417">
        <f>F20</f>
        <v>19</v>
      </c>
      <c r="G116" s="356" t="str">
        <f t="shared" si="4"/>
        <v/>
      </c>
      <c r="H116" s="356" t="str">
        <f t="shared" si="3"/>
        <v/>
      </c>
      <c r="I116" s="355"/>
    </row>
    <row r="117" spans="2:10" ht="21.9" customHeight="1">
      <c r="B117" s="361"/>
      <c r="C117" s="418" t="s">
        <v>297</v>
      </c>
      <c r="D117" s="415" t="s">
        <v>212</v>
      </c>
      <c r="E117" s="419">
        <v>141</v>
      </c>
      <c r="F117" s="417">
        <v>141</v>
      </c>
      <c r="G117" s="356" t="str">
        <f t="shared" si="4"/>
        <v/>
      </c>
      <c r="H117" s="356" t="str">
        <f t="shared" si="3"/>
        <v/>
      </c>
      <c r="I117" s="355"/>
    </row>
    <row r="118" spans="2:10" ht="21.9" customHeight="1">
      <c r="B118" s="361"/>
      <c r="C118" s="418" t="s">
        <v>298</v>
      </c>
      <c r="D118" s="415" t="s">
        <v>212</v>
      </c>
      <c r="E118" s="419">
        <v>146</v>
      </c>
      <c r="F118" s="417">
        <v>144</v>
      </c>
      <c r="G118" s="356" t="str">
        <f t="shared" si="4"/>
        <v/>
      </c>
      <c r="H118" s="356">
        <f t="shared" si="3"/>
        <v>2</v>
      </c>
      <c r="I118" s="405" t="s">
        <v>281</v>
      </c>
    </row>
    <row r="119" spans="2:10" ht="21.9" customHeight="1">
      <c r="B119" s="361"/>
      <c r="C119" s="418" t="s">
        <v>299</v>
      </c>
      <c r="D119" s="415" t="s">
        <v>212</v>
      </c>
      <c r="E119" s="419">
        <v>52</v>
      </c>
      <c r="F119" s="417">
        <v>52</v>
      </c>
      <c r="G119" s="356" t="str">
        <f t="shared" si="4"/>
        <v/>
      </c>
      <c r="H119" s="356" t="str">
        <f t="shared" si="3"/>
        <v/>
      </c>
      <c r="I119" s="355"/>
    </row>
    <row r="120" spans="2:10" ht="21.9" customHeight="1">
      <c r="B120" s="361"/>
      <c r="C120" s="418" t="s">
        <v>300</v>
      </c>
      <c r="D120" s="415" t="s">
        <v>212</v>
      </c>
      <c r="E120" s="419">
        <v>243</v>
      </c>
      <c r="F120" s="417">
        <v>243</v>
      </c>
      <c r="G120" s="356" t="str">
        <f t="shared" si="4"/>
        <v/>
      </c>
      <c r="H120" s="356" t="str">
        <f t="shared" si="3"/>
        <v/>
      </c>
      <c r="I120" s="355"/>
      <c r="J120" s="329">
        <f>276-9</f>
        <v>267</v>
      </c>
    </row>
    <row r="121" spans="2:10" ht="21.9" customHeight="1">
      <c r="B121" s="361"/>
      <c r="C121" s="418" t="s">
        <v>301</v>
      </c>
      <c r="D121" s="415" t="s">
        <v>212</v>
      </c>
      <c r="E121" s="419">
        <v>276</v>
      </c>
      <c r="F121" s="417">
        <v>267</v>
      </c>
      <c r="G121" s="356" t="str">
        <f t="shared" si="4"/>
        <v/>
      </c>
      <c r="H121" s="356">
        <f t="shared" si="3"/>
        <v>9</v>
      </c>
      <c r="I121" s="405" t="s">
        <v>281</v>
      </c>
    </row>
    <row r="122" spans="2:10" ht="21.9" customHeight="1">
      <c r="B122" s="361"/>
      <c r="C122" s="418" t="s">
        <v>302</v>
      </c>
      <c r="D122" s="415" t="s">
        <v>212</v>
      </c>
      <c r="E122" s="419">
        <v>67</v>
      </c>
      <c r="F122" s="417">
        <v>51</v>
      </c>
      <c r="G122" s="356" t="str">
        <f t="shared" si="4"/>
        <v/>
      </c>
      <c r="H122" s="356">
        <f t="shared" si="3"/>
        <v>16</v>
      </c>
      <c r="I122" s="405" t="s">
        <v>281</v>
      </c>
    </row>
    <row r="123" spans="2:10" ht="21.9" customHeight="1">
      <c r="B123" s="361"/>
      <c r="C123" s="418" t="s">
        <v>303</v>
      </c>
      <c r="D123" s="415" t="s">
        <v>212</v>
      </c>
      <c r="E123" s="419">
        <v>74</v>
      </c>
      <c r="F123" s="417">
        <v>54</v>
      </c>
      <c r="G123" s="356" t="str">
        <f t="shared" si="4"/>
        <v/>
      </c>
      <c r="H123" s="356">
        <f t="shared" si="3"/>
        <v>20</v>
      </c>
      <c r="I123" s="405" t="s">
        <v>281</v>
      </c>
    </row>
    <row r="124" spans="2:10" ht="21.9" customHeight="1">
      <c r="B124" s="361"/>
      <c r="C124" s="418" t="s">
        <v>304</v>
      </c>
      <c r="D124" s="415" t="s">
        <v>212</v>
      </c>
      <c r="E124" s="419">
        <v>48</v>
      </c>
      <c r="F124" s="417">
        <v>48</v>
      </c>
      <c r="G124" s="356" t="str">
        <f t="shared" si="4"/>
        <v/>
      </c>
      <c r="H124" s="356" t="str">
        <f t="shared" si="3"/>
        <v/>
      </c>
      <c r="I124" s="355"/>
    </row>
    <row r="125" spans="2:10" ht="21.9" customHeight="1">
      <c r="B125" s="361"/>
      <c r="C125" s="418" t="s">
        <v>305</v>
      </c>
      <c r="D125" s="415" t="s">
        <v>212</v>
      </c>
      <c r="E125" s="419">
        <v>35</v>
      </c>
      <c r="F125" s="417">
        <v>34</v>
      </c>
      <c r="G125" s="356" t="str">
        <f t="shared" si="4"/>
        <v/>
      </c>
      <c r="H125" s="356">
        <f t="shared" si="3"/>
        <v>1</v>
      </c>
      <c r="I125" s="405" t="s">
        <v>281</v>
      </c>
    </row>
    <row r="126" spans="2:10" ht="21.9" customHeight="1">
      <c r="B126" s="361"/>
      <c r="C126" s="418" t="s">
        <v>306</v>
      </c>
      <c r="D126" s="415" t="s">
        <v>212</v>
      </c>
      <c r="E126" s="419">
        <v>52</v>
      </c>
      <c r="F126" s="417">
        <v>52</v>
      </c>
      <c r="G126" s="356" t="str">
        <f t="shared" si="4"/>
        <v/>
      </c>
      <c r="H126" s="356" t="str">
        <f t="shared" si="3"/>
        <v/>
      </c>
      <c r="I126" s="355"/>
    </row>
    <row r="127" spans="2:10" ht="21.9" customHeight="1">
      <c r="B127" s="361"/>
      <c r="C127" s="418" t="s">
        <v>307</v>
      </c>
      <c r="D127" s="415" t="s">
        <v>212</v>
      </c>
      <c r="E127" s="419">
        <v>74</v>
      </c>
      <c r="F127" s="417">
        <v>72</v>
      </c>
      <c r="G127" s="356" t="str">
        <f t="shared" si="4"/>
        <v/>
      </c>
      <c r="H127" s="356">
        <f t="shared" si="3"/>
        <v>2</v>
      </c>
      <c r="I127" s="405" t="s">
        <v>281</v>
      </c>
    </row>
    <row r="128" spans="2:10" ht="21.9" customHeight="1">
      <c r="B128" s="361"/>
      <c r="C128" s="418" t="s">
        <v>308</v>
      </c>
      <c r="D128" s="415" t="s">
        <v>309</v>
      </c>
      <c r="E128" s="420">
        <v>11.923999999999999</v>
      </c>
      <c r="F128" s="420">
        <v>11.906000000000001</v>
      </c>
      <c r="G128" s="356" t="str">
        <f t="shared" si="4"/>
        <v/>
      </c>
      <c r="H128" s="356">
        <f t="shared" si="3"/>
        <v>1.7999999999998906E-2</v>
      </c>
      <c r="I128" s="405" t="s">
        <v>281</v>
      </c>
    </row>
    <row r="129" spans="2:9" ht="21.9" customHeight="1">
      <c r="B129" s="361"/>
      <c r="C129" s="418" t="s">
        <v>310</v>
      </c>
      <c r="D129" s="415" t="s">
        <v>309</v>
      </c>
      <c r="E129" s="420">
        <v>1.796</v>
      </c>
      <c r="F129" s="420">
        <v>1.792</v>
      </c>
      <c r="G129" s="356" t="str">
        <f t="shared" si="4"/>
        <v/>
      </c>
      <c r="H129" s="356">
        <f t="shared" si="3"/>
        <v>4.0000000000000036E-3</v>
      </c>
      <c r="I129" s="405" t="s">
        <v>281</v>
      </c>
    </row>
    <row r="130" spans="2:9" ht="21.9" customHeight="1">
      <c r="B130" s="361"/>
      <c r="C130" s="418" t="s">
        <v>311</v>
      </c>
      <c r="D130" s="415" t="s">
        <v>309</v>
      </c>
      <c r="E130" s="420">
        <v>11.923999999999999</v>
      </c>
      <c r="F130" s="420">
        <v>11.912000000000001</v>
      </c>
      <c r="G130" s="356" t="str">
        <f t="shared" si="4"/>
        <v/>
      </c>
      <c r="H130" s="356">
        <f t="shared" si="3"/>
        <v>1.1999999999998678E-2</v>
      </c>
      <c r="I130" s="405" t="s">
        <v>281</v>
      </c>
    </row>
    <row r="131" spans="2:9" ht="24" customHeight="1">
      <c r="B131" s="421"/>
      <c r="C131" s="421"/>
      <c r="D131" s="422"/>
      <c r="E131" s="421"/>
      <c r="F131" s="423"/>
      <c r="G131" s="424"/>
      <c r="H131" s="425"/>
      <c r="I131" s="426"/>
    </row>
    <row r="132" spans="2:9" ht="24" customHeight="1">
      <c r="B132" s="427"/>
      <c r="C132" s="428" t="s">
        <v>312</v>
      </c>
      <c r="D132" s="429"/>
      <c r="E132" s="430" t="s">
        <v>45</v>
      </c>
      <c r="F132" s="430"/>
      <c r="G132" s="430"/>
      <c r="H132" s="430"/>
      <c r="I132" s="426"/>
    </row>
    <row r="133" spans="2:9" ht="24" customHeight="1">
      <c r="B133" s="427"/>
      <c r="C133" s="428" t="s">
        <v>313</v>
      </c>
      <c r="D133" s="429"/>
      <c r="E133" s="427"/>
      <c r="F133" s="427"/>
      <c r="G133" s="427"/>
      <c r="H133" s="427"/>
      <c r="I133" s="426"/>
    </row>
    <row r="134" spans="2:9" ht="24" customHeight="1">
      <c r="B134" s="427"/>
      <c r="C134" s="428" t="s">
        <v>314</v>
      </c>
      <c r="D134" s="429"/>
      <c r="E134" s="427"/>
      <c r="F134" s="427"/>
      <c r="G134" s="427"/>
      <c r="H134" s="427"/>
      <c r="I134" s="426"/>
    </row>
    <row r="135" spans="2:9" ht="24" customHeight="1">
      <c r="B135" s="427"/>
      <c r="C135" s="428" t="s">
        <v>315</v>
      </c>
      <c r="D135" s="429"/>
      <c r="E135" s="429"/>
      <c r="F135" s="427"/>
      <c r="G135" s="427"/>
      <c r="H135" s="427"/>
      <c r="I135" s="426"/>
    </row>
    <row r="136" spans="2:9" ht="24" customHeight="1">
      <c r="B136" s="427"/>
      <c r="C136" s="428" t="s">
        <v>316</v>
      </c>
      <c r="D136" s="429"/>
      <c r="E136" s="429"/>
      <c r="F136" s="427"/>
      <c r="G136" s="427"/>
      <c r="H136" s="427"/>
      <c r="I136" s="426"/>
    </row>
    <row r="137" spans="2:9" ht="24" customHeight="1">
      <c r="B137" s="427"/>
      <c r="C137" s="428" t="s">
        <v>317</v>
      </c>
      <c r="D137" s="429"/>
      <c r="E137" s="430" t="s">
        <v>46</v>
      </c>
      <c r="F137" s="430"/>
      <c r="G137" s="430"/>
      <c r="H137" s="430"/>
      <c r="I137" s="426"/>
    </row>
    <row r="138" spans="2:9" ht="9.75" customHeight="1">
      <c r="B138" s="427"/>
      <c r="C138" s="428"/>
      <c r="D138" s="427"/>
      <c r="E138" s="429"/>
      <c r="F138" s="427"/>
      <c r="G138" s="427"/>
      <c r="H138" s="427"/>
      <c r="I138" s="426"/>
    </row>
    <row r="139" spans="2:9" ht="24" customHeight="1">
      <c r="B139" s="427"/>
      <c r="C139" s="427" t="s">
        <v>318</v>
      </c>
      <c r="D139" s="429"/>
      <c r="E139" s="430" t="s">
        <v>319</v>
      </c>
      <c r="F139" s="430"/>
      <c r="G139" s="430"/>
      <c r="H139" s="430"/>
      <c r="I139" s="426"/>
    </row>
    <row r="140" spans="2:9" ht="24" customHeight="1">
      <c r="B140" s="427"/>
      <c r="C140" s="427" t="s">
        <v>320</v>
      </c>
      <c r="D140" s="429"/>
      <c r="E140" s="430" t="s">
        <v>51</v>
      </c>
      <c r="F140" s="430"/>
      <c r="G140" s="430"/>
      <c r="H140" s="430"/>
      <c r="I140" s="426"/>
    </row>
    <row r="141" spans="2:9" ht="24" customHeight="1">
      <c r="B141" s="427"/>
      <c r="C141" s="427" t="s">
        <v>52</v>
      </c>
      <c r="D141" s="429"/>
      <c r="E141" s="430" t="s">
        <v>52</v>
      </c>
      <c r="F141" s="430"/>
      <c r="G141" s="430"/>
      <c r="H141" s="430"/>
      <c r="I141" s="426"/>
    </row>
    <row r="142" spans="2:9" ht="24" customHeight="1">
      <c r="B142" s="427"/>
      <c r="C142" s="427"/>
      <c r="D142" s="427"/>
      <c r="E142" s="429"/>
      <c r="F142" s="427"/>
      <c r="G142" s="427"/>
      <c r="H142" s="427"/>
      <c r="I142" s="426"/>
    </row>
    <row r="143" spans="2:9" ht="24" customHeight="1">
      <c r="B143" s="427"/>
      <c r="C143" s="427"/>
      <c r="D143" s="427"/>
      <c r="E143" s="429"/>
      <c r="F143" s="427"/>
      <c r="G143" s="427"/>
      <c r="H143" s="427"/>
      <c r="I143" s="426"/>
    </row>
    <row r="144" spans="2:9" ht="24" customHeight="1">
      <c r="B144" s="427"/>
      <c r="C144" s="427"/>
      <c r="D144" s="427"/>
      <c r="E144" s="429"/>
      <c r="F144" s="427"/>
      <c r="G144" s="427"/>
      <c r="H144" s="427"/>
      <c r="I144" s="426"/>
    </row>
    <row r="145" spans="2:9" ht="24" customHeight="1">
      <c r="B145" s="427"/>
      <c r="C145" s="427"/>
      <c r="D145" s="427"/>
      <c r="E145" s="429"/>
      <c r="F145" s="427"/>
      <c r="G145" s="427"/>
      <c r="H145" s="427"/>
      <c r="I145" s="426"/>
    </row>
    <row r="146" spans="2:9" ht="16.8">
      <c r="B146" s="427"/>
      <c r="C146" s="427" t="s">
        <v>321</v>
      </c>
      <c r="D146" s="429"/>
      <c r="E146" s="430" t="s">
        <v>54</v>
      </c>
      <c r="F146" s="430"/>
      <c r="G146" s="430"/>
      <c r="H146" s="430"/>
      <c r="I146" s="426"/>
    </row>
  </sheetData>
  <autoFilter ref="B10:I130" xr:uid="{E25D360D-D0DF-4FBD-9D36-DCE357C9FCD4}"/>
  <mergeCells count="35">
    <mergeCell ref="E146:H146"/>
    <mergeCell ref="I94:I95"/>
    <mergeCell ref="E132:H132"/>
    <mergeCell ref="E137:H137"/>
    <mergeCell ref="E139:H139"/>
    <mergeCell ref="E140:H140"/>
    <mergeCell ref="E141:H141"/>
    <mergeCell ref="I35:I41"/>
    <mergeCell ref="I56:I58"/>
    <mergeCell ref="I60:I61"/>
    <mergeCell ref="I66:I68"/>
    <mergeCell ref="I69:I72"/>
    <mergeCell ref="I73:I76"/>
    <mergeCell ref="I27:I34"/>
    <mergeCell ref="B28:B29"/>
    <mergeCell ref="D28:D29"/>
    <mergeCell ref="E28:E29"/>
    <mergeCell ref="H28:H29"/>
    <mergeCell ref="B30:B31"/>
    <mergeCell ref="D30:D31"/>
    <mergeCell ref="E30:E31"/>
    <mergeCell ref="H30:H31"/>
    <mergeCell ref="B6:I6"/>
    <mergeCell ref="B7:I7"/>
    <mergeCell ref="B8:B9"/>
    <mergeCell ref="C8:C9"/>
    <mergeCell ref="D8:D9"/>
    <mergeCell ref="E8:F8"/>
    <mergeCell ref="G8:H8"/>
    <mergeCell ref="I8:I9"/>
    <mergeCell ref="D1:I1"/>
    <mergeCell ref="D2:I2"/>
    <mergeCell ref="D3:I3"/>
    <mergeCell ref="B4:I4"/>
    <mergeCell ref="B5:I5"/>
  </mergeCells>
  <printOptions horizontalCentered="1"/>
  <pageMargins left="0.31496062992125984" right="0.27559055118110237" top="0.78740157480314965" bottom="0.78740157480314965" header="0.19685039370078741" footer="0.15748031496062992"/>
  <pageSetup paperSize="9" scale="80" fitToHeight="0" orientation="landscape" blackAndWhite="1" useFirstPageNumber="1" r:id="rId1"/>
  <headerFooter alignWithMargins="0">
    <oddFooter>&amp;CTrang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EB9F-2223-4158-A5DC-C60571A8177C}">
  <sheetPr>
    <pageSetUpPr fitToPage="1"/>
  </sheetPr>
  <dimension ref="A1:K104"/>
  <sheetViews>
    <sheetView showGridLines="0" showZeros="0" view="pageBreakPreview" topLeftCell="B7" zoomScale="85" zoomScaleNormal="70" zoomScaleSheetLayoutView="85" workbookViewId="0">
      <selection activeCell="F25" sqref="F25"/>
    </sheetView>
  </sheetViews>
  <sheetFormatPr defaultColWidth="9.109375" defaultRowHeight="14.4"/>
  <cols>
    <col min="1" max="1" width="3.6640625" style="329" hidden="1" customWidth="1"/>
    <col min="2" max="2" width="7.5546875" style="431" customWidth="1"/>
    <col min="3" max="3" width="82.109375" style="431" customWidth="1"/>
    <col min="4" max="4" width="9.33203125" style="431" bestFit="1" customWidth="1"/>
    <col min="5" max="5" width="12.88671875" style="433" customWidth="1"/>
    <col min="6" max="6" width="12.44140625" style="433" customWidth="1"/>
    <col min="7" max="7" width="11.44140625" style="433" customWidth="1"/>
    <col min="8" max="8" width="11.88671875" style="433" customWidth="1"/>
    <col min="9" max="9" width="36.5546875" style="433" customWidth="1"/>
    <col min="10" max="10" width="9.109375" style="329"/>
    <col min="11" max="11" width="13.5546875" style="329" customWidth="1"/>
    <col min="12" max="16384" width="9.109375" style="329"/>
  </cols>
  <sheetData>
    <row r="1" spans="1:11" ht="20.100000000000001" customHeight="1">
      <c r="B1" s="330"/>
      <c r="C1" s="435" t="s">
        <v>51</v>
      </c>
      <c r="D1" s="332" t="s">
        <v>59</v>
      </c>
      <c r="E1" s="332"/>
      <c r="F1" s="332"/>
      <c r="G1" s="332"/>
      <c r="H1" s="332"/>
      <c r="I1" s="332"/>
    </row>
    <row r="2" spans="1:11" ht="20.100000000000001" customHeight="1">
      <c r="B2" s="330"/>
      <c r="C2" s="436" t="s">
        <v>165</v>
      </c>
      <c r="D2" s="332" t="s">
        <v>166</v>
      </c>
      <c r="E2" s="332"/>
      <c r="F2" s="332"/>
      <c r="G2" s="332"/>
      <c r="H2" s="332"/>
      <c r="I2" s="332"/>
    </row>
    <row r="3" spans="1:11" ht="20.100000000000001" customHeight="1">
      <c r="B3" s="330"/>
      <c r="C3" s="330"/>
      <c r="D3" s="335" t="s">
        <v>167</v>
      </c>
      <c r="E3" s="335"/>
      <c r="F3" s="335"/>
      <c r="G3" s="335"/>
      <c r="H3" s="335"/>
      <c r="I3" s="335"/>
    </row>
    <row r="4" spans="1:11" ht="20.100000000000001" customHeight="1">
      <c r="B4" s="330"/>
      <c r="C4" s="330"/>
      <c r="D4" s="336"/>
      <c r="E4" s="336"/>
      <c r="F4" s="336"/>
      <c r="G4" s="336"/>
      <c r="H4" s="336"/>
      <c r="I4" s="336"/>
    </row>
    <row r="5" spans="1:11" ht="16.8">
      <c r="B5" s="337" t="s">
        <v>322</v>
      </c>
      <c r="C5" s="337"/>
      <c r="D5" s="337"/>
      <c r="E5" s="337"/>
      <c r="F5" s="337"/>
      <c r="G5" s="337"/>
      <c r="H5" s="337"/>
      <c r="I5" s="337"/>
    </row>
    <row r="6" spans="1:11" ht="20.100000000000001" customHeight="1">
      <c r="B6" s="332" t="s">
        <v>169</v>
      </c>
      <c r="C6" s="332"/>
      <c r="D6" s="332"/>
      <c r="E6" s="332"/>
      <c r="F6" s="332"/>
      <c r="G6" s="332"/>
      <c r="H6" s="332"/>
      <c r="I6" s="332"/>
    </row>
    <row r="7" spans="1:11" ht="20.100000000000001" customHeight="1">
      <c r="B7" s="332" t="s">
        <v>170</v>
      </c>
      <c r="C7" s="332"/>
      <c r="D7" s="332"/>
      <c r="E7" s="332"/>
      <c r="F7" s="332"/>
      <c r="G7" s="332"/>
      <c r="H7" s="332"/>
      <c r="I7" s="332"/>
    </row>
    <row r="8" spans="1:11" ht="20.100000000000001" customHeight="1">
      <c r="B8" s="332" t="s">
        <v>171</v>
      </c>
      <c r="C8" s="332"/>
      <c r="D8" s="332"/>
      <c r="E8" s="332"/>
      <c r="F8" s="332"/>
      <c r="G8" s="332"/>
      <c r="H8" s="332"/>
      <c r="I8" s="332"/>
    </row>
    <row r="9" spans="1:11" s="341" customFormat="1" ht="24" customHeight="1">
      <c r="A9" s="338"/>
      <c r="B9" s="437" t="s">
        <v>67</v>
      </c>
      <c r="C9" s="438" t="s">
        <v>323</v>
      </c>
      <c r="D9" s="437" t="s">
        <v>69</v>
      </c>
      <c r="E9" s="340" t="s">
        <v>83</v>
      </c>
      <c r="F9" s="340"/>
      <c r="G9" s="340" t="s">
        <v>174</v>
      </c>
      <c r="H9" s="340"/>
      <c r="I9" s="439" t="s">
        <v>85</v>
      </c>
      <c r="J9" s="338"/>
      <c r="K9" s="338"/>
    </row>
    <row r="10" spans="1:11" s="341" customFormat="1" ht="24" customHeight="1">
      <c r="A10" s="338"/>
      <c r="B10" s="440"/>
      <c r="C10" s="441"/>
      <c r="D10" s="440"/>
      <c r="E10" s="343" t="s">
        <v>175</v>
      </c>
      <c r="F10" s="343" t="s">
        <v>176</v>
      </c>
      <c r="G10" s="343" t="s">
        <v>177</v>
      </c>
      <c r="H10" s="343" t="s">
        <v>178</v>
      </c>
      <c r="I10" s="442"/>
      <c r="J10" s="338"/>
      <c r="K10" s="338"/>
    </row>
    <row r="11" spans="1:11" s="350" customFormat="1" ht="24" customHeight="1">
      <c r="A11" s="344"/>
      <c r="B11" s="345" t="s">
        <v>90</v>
      </c>
      <c r="C11" s="346" t="s">
        <v>324</v>
      </c>
      <c r="D11" s="347"/>
      <c r="E11" s="348"/>
      <c r="F11" s="348"/>
      <c r="G11" s="348"/>
      <c r="H11" s="348"/>
      <c r="I11" s="348"/>
      <c r="J11" s="344"/>
      <c r="K11" s="344"/>
    </row>
    <row r="12" spans="1:11" s="350" customFormat="1" ht="24" customHeight="1">
      <c r="A12" s="344"/>
      <c r="B12" s="356" t="s">
        <v>325</v>
      </c>
      <c r="C12" s="361" t="s">
        <v>239</v>
      </c>
      <c r="D12" s="443" t="s">
        <v>219</v>
      </c>
      <c r="E12" s="367">
        <v>12162</v>
      </c>
      <c r="F12" s="367">
        <f>SUMIF('KL chi tiết'!$C$10:$C$130,'KL theo HĐ'!$C12:$C87,'KL chi tiết'!$F$10:$F$130)</f>
        <v>12144</v>
      </c>
      <c r="G12" s="367" t="str">
        <f>IF(F12&gt;E12,F12-E12,"-")</f>
        <v>-</v>
      </c>
      <c r="H12" s="367">
        <f>IF(E12&gt;F12,E12-F12,"-")</f>
        <v>18</v>
      </c>
      <c r="I12" s="444" t="s">
        <v>326</v>
      </c>
      <c r="J12" s="344"/>
      <c r="K12" s="344"/>
    </row>
    <row r="13" spans="1:11" s="350" customFormat="1" ht="46.8">
      <c r="A13" s="344" t="s">
        <v>181</v>
      </c>
      <c r="B13" s="356" t="s">
        <v>327</v>
      </c>
      <c r="C13" s="361" t="s">
        <v>218</v>
      </c>
      <c r="D13" s="356" t="s">
        <v>219</v>
      </c>
      <c r="E13" s="367">
        <v>2141</v>
      </c>
      <c r="F13" s="367">
        <f>SUMIF('KL chi tiết'!$C$10:$C$130,'KL theo HĐ'!$C13:$C88,'KL chi tiết'!$F$10:$F$130)</f>
        <v>2111</v>
      </c>
      <c r="G13" s="367" t="str">
        <f t="shared" ref="G13:G78" si="0">IF(F13&gt;E13,F13-E13,"-")</f>
        <v>-</v>
      </c>
      <c r="H13" s="367">
        <f t="shared" ref="H13:H78" si="1">IF(E13&gt;F13,E13-F13,"-")</f>
        <v>30</v>
      </c>
      <c r="I13" s="445" t="s">
        <v>217</v>
      </c>
      <c r="J13" s="344"/>
      <c r="K13" s="344"/>
    </row>
    <row r="14" spans="1:11" s="344" customFormat="1" ht="24" customHeight="1">
      <c r="B14" s="356" t="s">
        <v>328</v>
      </c>
      <c r="C14" s="361" t="s">
        <v>266</v>
      </c>
      <c r="D14" s="356" t="s">
        <v>219</v>
      </c>
      <c r="E14" s="356">
        <v>6</v>
      </c>
      <c r="F14" s="446">
        <f>SUMIF('KL chi tiết'!$C$10:$C$130,'KL theo HĐ'!$C14:$C89,'KL chi tiết'!$F$10:$F$130)</f>
        <v>27.5</v>
      </c>
      <c r="G14" s="408">
        <f>IF(F14&gt;E14,F14-E14,"-")</f>
        <v>21.5</v>
      </c>
      <c r="H14" s="356" t="str">
        <f>IF(E14&gt;F14,E14-F14,"-")</f>
        <v>-</v>
      </c>
      <c r="I14" s="447" t="s">
        <v>329</v>
      </c>
    </row>
    <row r="15" spans="1:11" s="344" customFormat="1" ht="24" customHeight="1">
      <c r="B15" s="356" t="s">
        <v>330</v>
      </c>
      <c r="C15" s="361" t="s">
        <v>268</v>
      </c>
      <c r="D15" s="356" t="s">
        <v>219</v>
      </c>
      <c r="E15" s="356">
        <v>21.5</v>
      </c>
      <c r="F15" s="356">
        <f>SUMIF('KL chi tiết'!$C$10:$C$130,'KL theo HĐ'!$C15:$C92,'KL chi tiết'!$F$10:$F$130)</f>
        <v>0</v>
      </c>
      <c r="G15" s="367" t="str">
        <f t="shared" si="0"/>
        <v>-</v>
      </c>
      <c r="H15" s="356">
        <f t="shared" si="1"/>
        <v>21.5</v>
      </c>
      <c r="I15" s="448"/>
    </row>
    <row r="16" spans="1:11" s="344" customFormat="1" ht="24" customHeight="1">
      <c r="B16" s="356" t="s">
        <v>331</v>
      </c>
      <c r="C16" s="361" t="s">
        <v>186</v>
      </c>
      <c r="D16" s="356" t="s">
        <v>30</v>
      </c>
      <c r="E16" s="356">
        <v>67</v>
      </c>
      <c r="F16" s="356">
        <f>SUMIF('KL chi tiết'!$C$10:$C$130,'KL theo HĐ'!$C16:$C93,'KL chi tiết'!$F$10:$F$130)</f>
        <v>67</v>
      </c>
      <c r="G16" s="367" t="str">
        <f t="shared" si="0"/>
        <v>-</v>
      </c>
      <c r="H16" s="356" t="str">
        <f t="shared" si="1"/>
        <v>-</v>
      </c>
      <c r="I16" s="449"/>
    </row>
    <row r="17" spans="1:11" s="344" customFormat="1" ht="62.4">
      <c r="B17" s="356" t="s">
        <v>332</v>
      </c>
      <c r="C17" s="361" t="s">
        <v>252</v>
      </c>
      <c r="D17" s="356" t="s">
        <v>190</v>
      </c>
      <c r="E17" s="356">
        <v>172</v>
      </c>
      <c r="F17" s="356">
        <f>SUMIF('KL chi tiết'!$C$10:$C$130,'KL theo HĐ'!$C17:$C94,'KL chi tiết'!$F$10:$F$130)</f>
        <v>170</v>
      </c>
      <c r="G17" s="367" t="str">
        <f t="shared" si="0"/>
        <v>-</v>
      </c>
      <c r="H17" s="356">
        <f t="shared" si="1"/>
        <v>2</v>
      </c>
      <c r="I17" s="445" t="s">
        <v>251</v>
      </c>
    </row>
    <row r="18" spans="1:11" s="344" customFormat="1" ht="24" customHeight="1">
      <c r="B18" s="356" t="s">
        <v>333</v>
      </c>
      <c r="C18" s="361" t="s">
        <v>201</v>
      </c>
      <c r="D18" s="356" t="s">
        <v>190</v>
      </c>
      <c r="E18" s="356">
        <v>102</v>
      </c>
      <c r="F18" s="356">
        <f>SUMIF('KL chi tiết'!$C$10:$C$130,'KL theo HĐ'!$C18:$C95,'KL chi tiết'!$F$10:$F$130)</f>
        <v>95</v>
      </c>
      <c r="G18" s="367" t="str">
        <f t="shared" si="0"/>
        <v>-</v>
      </c>
      <c r="H18" s="356">
        <f t="shared" si="1"/>
        <v>7</v>
      </c>
      <c r="I18" s="449"/>
    </row>
    <row r="19" spans="1:11" s="344" customFormat="1" ht="24" customHeight="1">
      <c r="B19" s="450" t="s">
        <v>334</v>
      </c>
      <c r="C19" s="361" t="s">
        <v>207</v>
      </c>
      <c r="D19" s="450" t="s">
        <v>190</v>
      </c>
      <c r="E19" s="450">
        <v>10</v>
      </c>
      <c r="F19" s="451">
        <f>SUMIF('KL chi tiết'!$C$10:$C$130,'KL theo HĐ'!$C19:$C96,'KL chi tiết'!$F$10:$F$130)</f>
        <v>6</v>
      </c>
      <c r="G19" s="452" t="str">
        <f t="shared" si="0"/>
        <v>-</v>
      </c>
      <c r="H19" s="450">
        <f>IF(E19&gt;F19,E19-F19-F20,"-")</f>
        <v>2</v>
      </c>
      <c r="I19" s="453" t="s">
        <v>335</v>
      </c>
    </row>
    <row r="20" spans="1:11" s="344" customFormat="1" ht="24" customHeight="1">
      <c r="B20" s="454"/>
      <c r="C20" s="358" t="s">
        <v>208</v>
      </c>
      <c r="D20" s="454"/>
      <c r="E20" s="454"/>
      <c r="F20" s="451">
        <f>SUMIF('KL chi tiết'!$C$10:$C$130,'KL theo HĐ'!$C20:$C97,'KL chi tiết'!$F$10:$F$130)</f>
        <v>2</v>
      </c>
      <c r="G20" s="455"/>
      <c r="H20" s="454"/>
      <c r="I20" s="456"/>
    </row>
    <row r="21" spans="1:11" s="350" customFormat="1" ht="24" customHeight="1">
      <c r="A21" s="360" t="s">
        <v>193</v>
      </c>
      <c r="B21" s="356" t="s">
        <v>336</v>
      </c>
      <c r="C21" s="361" t="s">
        <v>200</v>
      </c>
      <c r="D21" s="356" t="s">
        <v>190</v>
      </c>
      <c r="E21" s="356">
        <v>52</v>
      </c>
      <c r="F21" s="356">
        <f>SUMIF('KL chi tiết'!$C$10:$C$130,'KL theo HĐ'!$C21:$C97,'KL chi tiết'!$F$10:$F$130)</f>
        <v>52</v>
      </c>
      <c r="G21" s="367" t="str">
        <f t="shared" si="0"/>
        <v>-</v>
      </c>
      <c r="H21" s="356" t="str">
        <f t="shared" si="1"/>
        <v>-</v>
      </c>
      <c r="I21" s="449"/>
      <c r="J21" s="344"/>
      <c r="K21" s="344"/>
    </row>
    <row r="22" spans="1:11" s="344" customFormat="1" ht="24" customHeight="1">
      <c r="B22" s="356" t="s">
        <v>337</v>
      </c>
      <c r="C22" s="361" t="s">
        <v>287</v>
      </c>
      <c r="D22" s="356" t="s">
        <v>30</v>
      </c>
      <c r="E22" s="407">
        <v>1</v>
      </c>
      <c r="F22" s="407">
        <f>SUMIF('KL chi tiết'!$C$10:$C$130,'KL theo HĐ'!$C22:$C98,'KL chi tiết'!$F$10:$F$130)</f>
        <v>1</v>
      </c>
      <c r="G22" s="367" t="str">
        <f t="shared" si="0"/>
        <v>-</v>
      </c>
      <c r="H22" s="356" t="str">
        <f t="shared" si="1"/>
        <v>-</v>
      </c>
      <c r="I22" s="449"/>
    </row>
    <row r="23" spans="1:11" s="350" customFormat="1" ht="50.25" customHeight="1">
      <c r="A23" s="344"/>
      <c r="B23" s="356" t="s">
        <v>338</v>
      </c>
      <c r="C23" s="361" t="s">
        <v>220</v>
      </c>
      <c r="D23" s="356" t="s">
        <v>190</v>
      </c>
      <c r="E23" s="356">
        <v>146</v>
      </c>
      <c r="F23" s="356">
        <f>SUMIF('KL chi tiết'!$C$10:$C$130,'KL theo HĐ'!$C23:$C99,'KL chi tiết'!$F$10:$F$130)</f>
        <v>144</v>
      </c>
      <c r="G23" s="367" t="str">
        <f t="shared" si="0"/>
        <v>-</v>
      </c>
      <c r="H23" s="356">
        <f t="shared" si="1"/>
        <v>2</v>
      </c>
      <c r="I23" s="445" t="s">
        <v>339</v>
      </c>
      <c r="J23" s="344"/>
      <c r="K23" s="344"/>
    </row>
    <row r="24" spans="1:11" s="350" customFormat="1" ht="50.25" customHeight="1">
      <c r="A24" s="344"/>
      <c r="B24" s="356" t="s">
        <v>340</v>
      </c>
      <c r="C24" s="361" t="s">
        <v>249</v>
      </c>
      <c r="D24" s="356" t="s">
        <v>190</v>
      </c>
      <c r="E24" s="356">
        <v>41</v>
      </c>
      <c r="F24" s="356">
        <f>SUMIF('KL chi tiết'!$C$10:$C$130,'KL theo HĐ'!$C24:$C100,'KL chi tiết'!$F$10:$F$130)</f>
        <v>32</v>
      </c>
      <c r="G24" s="367" t="str">
        <f t="shared" si="0"/>
        <v>-</v>
      </c>
      <c r="H24" s="356">
        <f t="shared" si="1"/>
        <v>9</v>
      </c>
      <c r="I24" s="445" t="s">
        <v>339</v>
      </c>
      <c r="J24" s="344"/>
      <c r="K24" s="344"/>
    </row>
    <row r="25" spans="1:11" s="350" customFormat="1" ht="24" customHeight="1">
      <c r="A25" s="344"/>
      <c r="B25" s="356" t="s">
        <v>341</v>
      </c>
      <c r="C25" s="361" t="s">
        <v>242</v>
      </c>
      <c r="D25" s="356" t="s">
        <v>190</v>
      </c>
      <c r="E25" s="356">
        <v>31</v>
      </c>
      <c r="F25" s="356">
        <f>SUMIF('KL chi tiết'!$C$10:$C$130,'KL theo HĐ'!$C25:$C101,'KL chi tiết'!$F$10:$F$130)</f>
        <v>31</v>
      </c>
      <c r="G25" s="367" t="str">
        <f t="shared" si="0"/>
        <v>-</v>
      </c>
      <c r="H25" s="356" t="str">
        <f t="shared" si="1"/>
        <v>-</v>
      </c>
      <c r="I25" s="364"/>
      <c r="J25" s="344"/>
      <c r="K25" s="344"/>
    </row>
    <row r="26" spans="1:11" s="350" customFormat="1" ht="24" customHeight="1">
      <c r="A26" s="344"/>
      <c r="B26" s="356" t="s">
        <v>342</v>
      </c>
      <c r="C26" s="361" t="s">
        <v>258</v>
      </c>
      <c r="D26" s="356" t="s">
        <v>259</v>
      </c>
      <c r="E26" s="356">
        <v>74</v>
      </c>
      <c r="F26" s="451">
        <f>SUMIF('KL chi tiết'!$C$10:$C$130,'KL theo HĐ'!$C26:$C102,'KL chi tiết'!$F$10:$F$130)</f>
        <v>54</v>
      </c>
      <c r="G26" s="367" t="str">
        <f t="shared" si="0"/>
        <v>-</v>
      </c>
      <c r="H26" s="356">
        <f t="shared" si="1"/>
        <v>20</v>
      </c>
      <c r="I26" s="457" t="s">
        <v>335</v>
      </c>
      <c r="J26" s="344"/>
      <c r="K26" s="344"/>
    </row>
    <row r="27" spans="1:11" s="350" customFormat="1" ht="24" customHeight="1">
      <c r="A27" s="344"/>
      <c r="B27" s="450" t="s">
        <v>343</v>
      </c>
      <c r="C27" s="361" t="s">
        <v>209</v>
      </c>
      <c r="D27" s="450" t="s">
        <v>190</v>
      </c>
      <c r="E27" s="450">
        <v>10</v>
      </c>
      <c r="F27" s="451">
        <f>SUMIF('KL chi tiết'!$C$10:$C$130,'KL theo HĐ'!$C27:$C103,'KL chi tiết'!$F$10:$F$130)</f>
        <v>7</v>
      </c>
      <c r="G27" s="452" t="str">
        <f t="shared" si="0"/>
        <v>-</v>
      </c>
      <c r="H27" s="450">
        <f>IF(E27&gt;F27,E27-F27-F28,"-")</f>
        <v>2</v>
      </c>
      <c r="I27" s="453" t="s">
        <v>335</v>
      </c>
      <c r="J27" s="344"/>
      <c r="K27" s="344"/>
    </row>
    <row r="28" spans="1:11" s="350" customFormat="1" ht="24" customHeight="1">
      <c r="A28" s="344"/>
      <c r="B28" s="454"/>
      <c r="C28" s="361" t="s">
        <v>210</v>
      </c>
      <c r="D28" s="454"/>
      <c r="E28" s="454"/>
      <c r="F28" s="451">
        <f>SUMIF('KL chi tiết'!$C$10:$C$130,'KL theo HĐ'!$C28:$C104,'KL chi tiết'!$F$10:$F$130)</f>
        <v>1</v>
      </c>
      <c r="G28" s="455"/>
      <c r="H28" s="454"/>
      <c r="I28" s="456"/>
      <c r="J28" s="344"/>
      <c r="K28" s="344"/>
    </row>
    <row r="29" spans="1:11" s="350" customFormat="1" ht="24" customHeight="1">
      <c r="A29" s="344"/>
      <c r="B29" s="356" t="s">
        <v>344</v>
      </c>
      <c r="C29" s="361" t="s">
        <v>196</v>
      </c>
      <c r="D29" s="356" t="s">
        <v>197</v>
      </c>
      <c r="E29" s="356">
        <v>19</v>
      </c>
      <c r="F29" s="356">
        <f>SUMIF('KL chi tiết'!$C$10:$C$130,'KL theo HĐ'!$C29:$C104,'KL chi tiết'!$F$10:$F$130)</f>
        <v>19</v>
      </c>
      <c r="G29" s="367" t="str">
        <f t="shared" si="0"/>
        <v>-</v>
      </c>
      <c r="H29" s="356" t="str">
        <f t="shared" si="1"/>
        <v>-</v>
      </c>
      <c r="I29" s="364"/>
      <c r="J29" s="344"/>
      <c r="K29" s="344"/>
    </row>
    <row r="30" spans="1:11" s="350" customFormat="1" ht="24" customHeight="1">
      <c r="A30" s="344"/>
      <c r="B30" s="356" t="s">
        <v>345</v>
      </c>
      <c r="C30" s="361" t="s">
        <v>241</v>
      </c>
      <c r="D30" s="356" t="s">
        <v>212</v>
      </c>
      <c r="E30" s="356">
        <v>31</v>
      </c>
      <c r="F30" s="356">
        <f>SUMIF('KL chi tiết'!$C$10:$C$130,'KL theo HĐ'!$C30:$C105,'KL chi tiết'!$F$10:$F$130)</f>
        <v>31</v>
      </c>
      <c r="G30" s="367" t="str">
        <f t="shared" si="0"/>
        <v>-</v>
      </c>
      <c r="H30" s="356" t="str">
        <f t="shared" si="1"/>
        <v>-</v>
      </c>
      <c r="I30" s="458"/>
      <c r="J30" s="344"/>
      <c r="K30" s="344"/>
    </row>
    <row r="31" spans="1:11" s="387" customFormat="1" ht="24" customHeight="1">
      <c r="A31" s="384"/>
      <c r="B31" s="351" t="s">
        <v>92</v>
      </c>
      <c r="C31" s="459" t="s">
        <v>346</v>
      </c>
      <c r="D31" s="351"/>
      <c r="E31" s="356"/>
      <c r="F31" s="356"/>
      <c r="G31" s="367" t="str">
        <f t="shared" si="0"/>
        <v>-</v>
      </c>
      <c r="H31" s="356" t="str">
        <f t="shared" si="1"/>
        <v>-</v>
      </c>
      <c r="I31" s="460"/>
      <c r="J31" s="384"/>
      <c r="K31" s="384"/>
    </row>
    <row r="32" spans="1:11" s="350" customFormat="1" ht="24" customHeight="1">
      <c r="A32" s="344"/>
      <c r="B32" s="356" t="s">
        <v>325</v>
      </c>
      <c r="C32" s="361" t="s">
        <v>278</v>
      </c>
      <c r="D32" s="356" t="s">
        <v>212</v>
      </c>
      <c r="E32" s="356">
        <v>6</v>
      </c>
      <c r="F32" s="356">
        <f>SUMIF('KL chi tiết'!$C$10:$C$130,'KL theo HĐ'!$C32:$C107,'KL chi tiết'!$F$10:$F$130)</f>
        <v>6</v>
      </c>
      <c r="G32" s="367" t="str">
        <f t="shared" si="0"/>
        <v>-</v>
      </c>
      <c r="H32" s="356" t="str">
        <f t="shared" si="1"/>
        <v>-</v>
      </c>
      <c r="I32" s="458"/>
      <c r="J32" s="344"/>
      <c r="K32" s="344"/>
    </row>
    <row r="33" spans="1:11" s="350" customFormat="1" ht="24" customHeight="1">
      <c r="A33" s="344"/>
      <c r="B33" s="356" t="s">
        <v>327</v>
      </c>
      <c r="C33" s="361" t="s">
        <v>279</v>
      </c>
      <c r="D33" s="356" t="s">
        <v>212</v>
      </c>
      <c r="E33" s="356">
        <v>4</v>
      </c>
      <c r="F33" s="356">
        <f>SUMIF('KL chi tiết'!$C$10:$C$130,'KL theo HĐ'!$C33:$C108,'KL chi tiết'!$F$10:$F$130)</f>
        <v>4</v>
      </c>
      <c r="G33" s="367" t="str">
        <f t="shared" si="0"/>
        <v>-</v>
      </c>
      <c r="H33" s="356" t="str">
        <f t="shared" si="1"/>
        <v>-</v>
      </c>
      <c r="I33" s="458"/>
      <c r="J33" s="344"/>
      <c r="K33" s="344"/>
    </row>
    <row r="34" spans="1:11" s="350" customFormat="1" ht="24" customHeight="1">
      <c r="A34" s="344"/>
      <c r="B34" s="356" t="s">
        <v>328</v>
      </c>
      <c r="C34" s="361" t="s">
        <v>227</v>
      </c>
      <c r="D34" s="356" t="s">
        <v>212</v>
      </c>
      <c r="E34" s="356">
        <v>32</v>
      </c>
      <c r="F34" s="356">
        <f>SUMIF('KL chi tiết'!$C$10:$C$130,'KL theo HĐ'!$C34:$C109,'KL chi tiết'!$F$10:$F$130)</f>
        <v>32</v>
      </c>
      <c r="G34" s="367" t="str">
        <f t="shared" si="0"/>
        <v>-</v>
      </c>
      <c r="H34" s="356" t="str">
        <f t="shared" si="1"/>
        <v>-</v>
      </c>
      <c r="I34" s="458"/>
      <c r="J34" s="344"/>
      <c r="K34" s="344"/>
    </row>
    <row r="35" spans="1:11" s="350" customFormat="1" ht="24" customHeight="1">
      <c r="A35" s="344"/>
      <c r="B35" s="356" t="s">
        <v>330</v>
      </c>
      <c r="C35" s="361" t="s">
        <v>214</v>
      </c>
      <c r="D35" s="356" t="s">
        <v>212</v>
      </c>
      <c r="E35" s="356">
        <v>10</v>
      </c>
      <c r="F35" s="356">
        <f>SUMIF('KL chi tiết'!$C$10:$C$130,'KL theo HĐ'!$C35:$C110,'KL chi tiết'!$F$10:$F$130)</f>
        <v>5</v>
      </c>
      <c r="G35" s="367" t="str">
        <f t="shared" si="0"/>
        <v>-</v>
      </c>
      <c r="H35" s="356">
        <f t="shared" si="1"/>
        <v>5</v>
      </c>
      <c r="I35" s="444" t="s">
        <v>281</v>
      </c>
      <c r="J35" s="344"/>
      <c r="K35" s="344"/>
    </row>
    <row r="36" spans="1:11" s="344" customFormat="1" ht="24" customHeight="1">
      <c r="A36" s="344" t="s">
        <v>215</v>
      </c>
      <c r="B36" s="356" t="s">
        <v>331</v>
      </c>
      <c r="C36" s="361" t="s">
        <v>213</v>
      </c>
      <c r="D36" s="356" t="s">
        <v>212</v>
      </c>
      <c r="E36" s="356">
        <v>141</v>
      </c>
      <c r="F36" s="356">
        <f>SUMIF('KL chi tiết'!$C$10:$C$130,'KL theo HĐ'!$C36:$C111,'KL chi tiết'!$F$10:$F$130)</f>
        <v>120</v>
      </c>
      <c r="G36" s="367" t="str">
        <f t="shared" si="0"/>
        <v>-</v>
      </c>
      <c r="H36" s="356">
        <f t="shared" si="1"/>
        <v>21</v>
      </c>
      <c r="I36" s="444" t="s">
        <v>281</v>
      </c>
    </row>
    <row r="37" spans="1:11" s="374" customFormat="1" ht="24" customHeight="1">
      <c r="A37" s="369"/>
      <c r="B37" s="370" t="s">
        <v>332</v>
      </c>
      <c r="C37" s="461" t="s">
        <v>253</v>
      </c>
      <c r="D37" s="356" t="s">
        <v>212</v>
      </c>
      <c r="E37" s="356">
        <v>172</v>
      </c>
      <c r="F37" s="356">
        <f>SUMIF('KL chi tiết'!$C$10:$C$130,'KL theo HĐ'!$C37:$C112,'KL chi tiết'!$F$10:$F$130)</f>
        <v>170</v>
      </c>
      <c r="G37" s="367" t="str">
        <f t="shared" si="0"/>
        <v>-</v>
      </c>
      <c r="H37" s="356">
        <f t="shared" si="1"/>
        <v>2</v>
      </c>
      <c r="I37" s="444" t="s">
        <v>281</v>
      </c>
      <c r="J37" s="373"/>
      <c r="K37" s="373"/>
    </row>
    <row r="38" spans="1:11" s="344" customFormat="1" ht="24" customHeight="1">
      <c r="B38" s="356" t="s">
        <v>333</v>
      </c>
      <c r="C38" s="461" t="s">
        <v>211</v>
      </c>
      <c r="D38" s="356" t="s">
        <v>212</v>
      </c>
      <c r="E38" s="356">
        <v>10</v>
      </c>
      <c r="F38" s="356">
        <f>SUMIF('KL chi tiết'!$C$10:$C$130,'KL theo HĐ'!$C38:$C113,'KL chi tiết'!$F$10:$F$130)</f>
        <v>8</v>
      </c>
      <c r="G38" s="367" t="str">
        <f t="shared" si="0"/>
        <v>-</v>
      </c>
      <c r="H38" s="356">
        <f t="shared" si="1"/>
        <v>2</v>
      </c>
      <c r="I38" s="444" t="s">
        <v>281</v>
      </c>
    </row>
    <row r="39" spans="1:11" s="344" customFormat="1" ht="24" customHeight="1">
      <c r="B39" s="356" t="s">
        <v>334</v>
      </c>
      <c r="C39" s="461" t="s">
        <v>204</v>
      </c>
      <c r="D39" s="356" t="s">
        <v>190</v>
      </c>
      <c r="E39" s="356">
        <v>104</v>
      </c>
      <c r="F39" s="356">
        <f>SUMIF('KL chi tiết'!$C$10:$C$130,'KL theo HĐ'!$C39:$C114,'KL chi tiết'!$F$10:$F$130)</f>
        <v>104</v>
      </c>
      <c r="G39" s="367" t="str">
        <f t="shared" si="0"/>
        <v>-</v>
      </c>
      <c r="H39" s="356" t="str">
        <f t="shared" si="1"/>
        <v>-</v>
      </c>
      <c r="I39" s="462"/>
    </row>
    <row r="40" spans="1:11" s="344" customFormat="1" ht="24" customHeight="1">
      <c r="B40" s="356" t="s">
        <v>336</v>
      </c>
      <c r="C40" s="361" t="s">
        <v>203</v>
      </c>
      <c r="D40" s="356" t="s">
        <v>190</v>
      </c>
      <c r="E40" s="356">
        <v>104</v>
      </c>
      <c r="F40" s="356">
        <f>SUMIF('KL chi tiết'!$C$10:$C$130,'KL theo HĐ'!$C40:$C115,'KL chi tiết'!$F$10:$F$130)</f>
        <v>104</v>
      </c>
      <c r="G40" s="367" t="str">
        <f t="shared" si="0"/>
        <v>-</v>
      </c>
      <c r="H40" s="356" t="str">
        <f t="shared" si="1"/>
        <v>-</v>
      </c>
      <c r="I40" s="462"/>
    </row>
    <row r="41" spans="1:11" s="375" customFormat="1" ht="24" customHeight="1">
      <c r="A41" s="344"/>
      <c r="B41" s="356" t="s">
        <v>337</v>
      </c>
      <c r="C41" s="361" t="s">
        <v>222</v>
      </c>
      <c r="D41" s="356" t="s">
        <v>212</v>
      </c>
      <c r="E41" s="356">
        <v>219</v>
      </c>
      <c r="F41" s="356">
        <f>SUMIF('KL chi tiết'!$C$10:$C$130,'KL theo HĐ'!$C41:$C116,'KL chi tiết'!$F$10:$F$130)</f>
        <v>217</v>
      </c>
      <c r="G41" s="367" t="str">
        <f t="shared" si="0"/>
        <v>-</v>
      </c>
      <c r="H41" s="356">
        <f t="shared" si="1"/>
        <v>2</v>
      </c>
      <c r="I41" s="444" t="s">
        <v>281</v>
      </c>
      <c r="J41" s="449" t="s">
        <v>347</v>
      </c>
      <c r="K41" s="344"/>
    </row>
    <row r="42" spans="1:11" s="344" customFormat="1" ht="24" customHeight="1">
      <c r="B42" s="356" t="s">
        <v>338</v>
      </c>
      <c r="C42" s="361" t="s">
        <v>246</v>
      </c>
      <c r="D42" s="356" t="s">
        <v>212</v>
      </c>
      <c r="E42" s="356">
        <v>74</v>
      </c>
      <c r="F42" s="356">
        <f>SUMIF('KL chi tiết'!$C$10:$C$130,'KL theo HĐ'!$C42:$C117,'KL chi tiết'!$F$10:$F$130)</f>
        <v>72</v>
      </c>
      <c r="G42" s="367" t="str">
        <f t="shared" si="0"/>
        <v>-</v>
      </c>
      <c r="H42" s="356">
        <f t="shared" si="1"/>
        <v>2</v>
      </c>
      <c r="I42" s="444" t="s">
        <v>281</v>
      </c>
    </row>
    <row r="43" spans="1:11" s="344" customFormat="1" ht="24" customHeight="1">
      <c r="A43" s="344" t="s">
        <v>225</v>
      </c>
      <c r="B43" s="356" t="s">
        <v>340</v>
      </c>
      <c r="C43" s="361" t="s">
        <v>275</v>
      </c>
      <c r="D43" s="356" t="s">
        <v>190</v>
      </c>
      <c r="E43" s="356">
        <v>10</v>
      </c>
      <c r="F43" s="356">
        <f>SUMIF('KL chi tiết'!$C$10:$C$130,'KL theo HĐ'!$C43:$C118,'KL chi tiết'!$F$10:$F$130)</f>
        <v>10</v>
      </c>
      <c r="G43" s="367" t="str">
        <f t="shared" si="0"/>
        <v>-</v>
      </c>
      <c r="H43" s="356" t="str">
        <f t="shared" si="1"/>
        <v>-</v>
      </c>
      <c r="I43" s="462"/>
    </row>
    <row r="44" spans="1:11" s="377" customFormat="1" ht="24" customHeight="1">
      <c r="A44" s="369"/>
      <c r="B44" s="370" t="s">
        <v>341</v>
      </c>
      <c r="C44" s="461" t="s">
        <v>273</v>
      </c>
      <c r="D44" s="356" t="s">
        <v>190</v>
      </c>
      <c r="E44" s="356">
        <v>33</v>
      </c>
      <c r="F44" s="356">
        <f>SUMIF('KL chi tiết'!$C$10:$C$130,'KL theo HĐ'!$C44:$C119,'KL chi tiết'!$F$10:$F$130)</f>
        <v>31</v>
      </c>
      <c r="G44" s="367" t="str">
        <f t="shared" si="0"/>
        <v>-</v>
      </c>
      <c r="H44" s="356">
        <f t="shared" si="1"/>
        <v>2</v>
      </c>
      <c r="I44" s="444" t="s">
        <v>281</v>
      </c>
      <c r="J44" s="374"/>
      <c r="K44" s="374"/>
    </row>
    <row r="45" spans="1:11" s="344" customFormat="1" ht="24" customHeight="1">
      <c r="B45" s="356" t="s">
        <v>342</v>
      </c>
      <c r="C45" s="461" t="s">
        <v>276</v>
      </c>
      <c r="D45" s="356" t="s">
        <v>190</v>
      </c>
      <c r="E45" s="356">
        <v>5</v>
      </c>
      <c r="F45" s="356">
        <f>SUMIF('KL chi tiết'!$C$10:$C$130,'KL theo HĐ'!$C45:$C120,'KL chi tiết'!$F$10:$F$130)</f>
        <v>4</v>
      </c>
      <c r="G45" s="367" t="str">
        <f t="shared" si="0"/>
        <v>-</v>
      </c>
      <c r="H45" s="356">
        <f t="shared" si="1"/>
        <v>1</v>
      </c>
      <c r="I45" s="444" t="s">
        <v>281</v>
      </c>
    </row>
    <row r="46" spans="1:11" s="344" customFormat="1" ht="24" customHeight="1">
      <c r="B46" s="356" t="s">
        <v>343</v>
      </c>
      <c r="C46" s="461" t="s">
        <v>187</v>
      </c>
      <c r="D46" s="356" t="s">
        <v>188</v>
      </c>
      <c r="E46" s="356">
        <v>33</v>
      </c>
      <c r="F46" s="356">
        <f>SUMIF('KL chi tiết'!$C$10:$C$130,'KL theo HĐ'!$C46:$C121,'KL chi tiết'!$F$10:$F$130)</f>
        <v>33</v>
      </c>
      <c r="G46" s="367" t="str">
        <f t="shared" si="0"/>
        <v>-</v>
      </c>
      <c r="H46" s="356" t="str">
        <f t="shared" si="1"/>
        <v>-</v>
      </c>
      <c r="I46" s="462"/>
    </row>
    <row r="47" spans="1:11" s="344" customFormat="1" ht="24" customHeight="1">
      <c r="B47" s="356" t="s">
        <v>344</v>
      </c>
      <c r="C47" s="361" t="s">
        <v>282</v>
      </c>
      <c r="D47" s="356" t="s">
        <v>190</v>
      </c>
      <c r="E47" s="356">
        <v>172</v>
      </c>
      <c r="F47" s="356">
        <f>SUMIF('KL chi tiết'!$C$10:$C$130,'KL theo HĐ'!$C47:$C122,'KL chi tiết'!$F$10:$F$130)</f>
        <v>170</v>
      </c>
      <c r="G47" s="367" t="str">
        <f t="shared" si="0"/>
        <v>-</v>
      </c>
      <c r="H47" s="356">
        <f t="shared" si="1"/>
        <v>2</v>
      </c>
      <c r="I47" s="444" t="s">
        <v>281</v>
      </c>
    </row>
    <row r="48" spans="1:11" s="344" customFormat="1" ht="24" customHeight="1">
      <c r="B48" s="356" t="s">
        <v>345</v>
      </c>
      <c r="C48" s="361" t="s">
        <v>280</v>
      </c>
      <c r="D48" s="356" t="s">
        <v>190</v>
      </c>
      <c r="E48" s="356">
        <v>106</v>
      </c>
      <c r="F48" s="356">
        <f>SUMIF('KL chi tiết'!$C$10:$C$130,'KL theo HĐ'!$C48:$C123,'KL chi tiết'!$F$10:$F$130)</f>
        <v>99</v>
      </c>
      <c r="G48" s="367" t="str">
        <f t="shared" si="0"/>
        <v>-</v>
      </c>
      <c r="H48" s="356">
        <f t="shared" si="1"/>
        <v>7</v>
      </c>
      <c r="I48" s="444" t="s">
        <v>281</v>
      </c>
    </row>
    <row r="49" spans="1:11" s="344" customFormat="1" ht="24" customHeight="1">
      <c r="B49" s="356" t="s">
        <v>348</v>
      </c>
      <c r="C49" s="361" t="s">
        <v>263</v>
      </c>
      <c r="D49" s="356" t="s">
        <v>212</v>
      </c>
      <c r="E49" s="356">
        <v>74</v>
      </c>
      <c r="F49" s="356">
        <f>SUMIF('KL chi tiết'!$C$10:$C$130,'KL theo HĐ'!$C49:$C124,'KL chi tiết'!$F$10:$F$130)</f>
        <v>74</v>
      </c>
      <c r="G49" s="367" t="str">
        <f t="shared" si="0"/>
        <v>-</v>
      </c>
      <c r="H49" s="356" t="str">
        <f t="shared" si="1"/>
        <v>-</v>
      </c>
      <c r="I49" s="462"/>
    </row>
    <row r="50" spans="1:11" s="344" customFormat="1" ht="24" customHeight="1">
      <c r="B50" s="356" t="s">
        <v>349</v>
      </c>
      <c r="C50" s="361" t="s">
        <v>271</v>
      </c>
      <c r="D50" s="356" t="s">
        <v>190</v>
      </c>
      <c r="E50" s="356">
        <v>16</v>
      </c>
      <c r="F50" s="356">
        <f>SUMIF('KL chi tiết'!$C$10:$C$130,'KL theo HĐ'!$C50:$C125,'KL chi tiết'!$F$10:$F$130)</f>
        <v>16</v>
      </c>
      <c r="G50" s="367" t="str">
        <f t="shared" si="0"/>
        <v>-</v>
      </c>
      <c r="H50" s="356" t="str">
        <f t="shared" si="1"/>
        <v>-</v>
      </c>
      <c r="I50" s="462"/>
    </row>
    <row r="51" spans="1:11" s="378" customFormat="1" ht="24" customHeight="1">
      <c r="A51" s="344"/>
      <c r="B51" s="367" t="s">
        <v>350</v>
      </c>
      <c r="C51" s="361" t="s">
        <v>272</v>
      </c>
      <c r="D51" s="356" t="s">
        <v>190</v>
      </c>
      <c r="E51" s="356">
        <v>8</v>
      </c>
      <c r="F51" s="356">
        <f>SUMIF('KL chi tiết'!$C$10:$C$130,'KL theo HĐ'!$C51:$C126,'KL chi tiết'!$F$10:$F$130)</f>
        <v>8</v>
      </c>
      <c r="G51" s="367" t="str">
        <f t="shared" si="0"/>
        <v>-</v>
      </c>
      <c r="H51" s="356" t="str">
        <f t="shared" si="1"/>
        <v>-</v>
      </c>
      <c r="I51" s="462"/>
      <c r="J51" s="344"/>
      <c r="K51" s="344"/>
    </row>
    <row r="52" spans="1:11" s="378" customFormat="1" ht="24" customHeight="1">
      <c r="A52" s="344"/>
      <c r="B52" s="367" t="s">
        <v>351</v>
      </c>
      <c r="C52" s="461" t="s">
        <v>221</v>
      </c>
      <c r="D52" s="356" t="s">
        <v>190</v>
      </c>
      <c r="E52" s="356">
        <v>1168</v>
      </c>
      <c r="F52" s="356">
        <f>SUMIF('KL chi tiết'!$C$10:$C$130,'KL theo HĐ'!$C52:$C127,'KL chi tiết'!$F$10:$F$130)</f>
        <v>1152</v>
      </c>
      <c r="G52" s="367" t="str">
        <f t="shared" si="0"/>
        <v>-</v>
      </c>
      <c r="H52" s="356">
        <f t="shared" si="1"/>
        <v>16</v>
      </c>
      <c r="I52" s="444" t="s">
        <v>281</v>
      </c>
      <c r="J52" s="344"/>
      <c r="K52" s="344"/>
    </row>
    <row r="53" spans="1:11" s="378" customFormat="1" ht="24" customHeight="1">
      <c r="A53" s="344"/>
      <c r="B53" s="367" t="s">
        <v>352</v>
      </c>
      <c r="C53" s="461" t="s">
        <v>192</v>
      </c>
      <c r="D53" s="356" t="s">
        <v>190</v>
      </c>
      <c r="E53" s="356">
        <v>33</v>
      </c>
      <c r="F53" s="356">
        <f>SUMIF('KL chi tiết'!$C$10:$C$130,'KL theo HĐ'!$C53:$C128,'KL chi tiết'!$F$10:$F$130)</f>
        <v>33</v>
      </c>
      <c r="G53" s="367" t="str">
        <f t="shared" si="0"/>
        <v>-</v>
      </c>
      <c r="H53" s="356" t="str">
        <f t="shared" si="1"/>
        <v>-</v>
      </c>
      <c r="I53" s="462"/>
      <c r="J53" s="344"/>
      <c r="K53" s="344"/>
    </row>
    <row r="54" spans="1:11" s="378" customFormat="1" ht="24" customHeight="1">
      <c r="A54" s="344"/>
      <c r="B54" s="367" t="s">
        <v>353</v>
      </c>
      <c r="C54" s="461" t="s">
        <v>245</v>
      </c>
      <c r="D54" s="356" t="s">
        <v>190</v>
      </c>
      <c r="E54" s="356">
        <v>74</v>
      </c>
      <c r="F54" s="356">
        <f>SUMIF('KL chi tiết'!$C$10:$C$130,'KL theo HĐ'!$C54:$C129,'KL chi tiết'!$F$10:$F$130)</f>
        <v>72</v>
      </c>
      <c r="G54" s="367" t="str">
        <f t="shared" si="0"/>
        <v>-</v>
      </c>
      <c r="H54" s="356">
        <f t="shared" si="1"/>
        <v>2</v>
      </c>
      <c r="I54" s="444" t="s">
        <v>281</v>
      </c>
      <c r="J54" s="344"/>
      <c r="K54" s="344"/>
    </row>
    <row r="55" spans="1:11" s="378" customFormat="1" ht="24" customHeight="1">
      <c r="A55" s="344"/>
      <c r="B55" s="367" t="s">
        <v>354</v>
      </c>
      <c r="C55" s="361" t="s">
        <v>189</v>
      </c>
      <c r="D55" s="356" t="s">
        <v>190</v>
      </c>
      <c r="E55" s="356">
        <v>70</v>
      </c>
      <c r="F55" s="356">
        <f>SUMIF('KL chi tiết'!$C$10:$C$130,'KL theo HĐ'!$C55:$C130,'KL chi tiết'!$F$10:$F$130)</f>
        <v>70</v>
      </c>
      <c r="G55" s="367" t="str">
        <f t="shared" si="0"/>
        <v>-</v>
      </c>
      <c r="H55" s="356" t="str">
        <f t="shared" si="1"/>
        <v>-</v>
      </c>
      <c r="I55" s="462"/>
      <c r="J55" s="344"/>
      <c r="K55" s="344"/>
    </row>
    <row r="56" spans="1:11" s="378" customFormat="1" ht="24" customHeight="1">
      <c r="A56" s="344"/>
      <c r="B56" s="367" t="s">
        <v>355</v>
      </c>
      <c r="C56" s="361" t="s">
        <v>265</v>
      </c>
      <c r="D56" s="356" t="s">
        <v>190</v>
      </c>
      <c r="E56" s="356">
        <v>4</v>
      </c>
      <c r="F56" s="356">
        <f>SUMIF('KL chi tiết'!$C$10:$C$130,'KL theo HĐ'!$C56:$C131,'KL chi tiết'!$F$10:$F$130)</f>
        <v>4</v>
      </c>
      <c r="G56" s="367" t="str">
        <f t="shared" si="0"/>
        <v>-</v>
      </c>
      <c r="H56" s="356" t="str">
        <f t="shared" si="1"/>
        <v>-</v>
      </c>
      <c r="I56" s="462"/>
      <c r="J56" s="344"/>
      <c r="K56" s="344"/>
    </row>
    <row r="57" spans="1:11" s="344" customFormat="1" ht="24" customHeight="1">
      <c r="A57" s="360" t="s">
        <v>229</v>
      </c>
      <c r="B57" s="356" t="s">
        <v>356</v>
      </c>
      <c r="C57" s="361" t="s">
        <v>269</v>
      </c>
      <c r="D57" s="356" t="s">
        <v>212</v>
      </c>
      <c r="E57" s="356">
        <v>35</v>
      </c>
      <c r="F57" s="356">
        <f>SUMIF('KL chi tiết'!$C$10:$C$130,'KL theo HĐ'!$C57:$C132,'KL chi tiết'!$F$10:$F$130)</f>
        <v>34</v>
      </c>
      <c r="G57" s="367" t="str">
        <f t="shared" si="0"/>
        <v>-</v>
      </c>
      <c r="H57" s="356">
        <f t="shared" si="1"/>
        <v>1</v>
      </c>
      <c r="I57" s="444" t="s">
        <v>281</v>
      </c>
    </row>
    <row r="58" spans="1:11" s="344" customFormat="1" ht="24" customHeight="1">
      <c r="B58" s="356" t="s">
        <v>357</v>
      </c>
      <c r="C58" s="361" t="s">
        <v>224</v>
      </c>
      <c r="D58" s="356" t="s">
        <v>190</v>
      </c>
      <c r="E58" s="356">
        <v>143</v>
      </c>
      <c r="F58" s="356">
        <f>SUMIF('KL chi tiết'!$C$10:$C$130,'KL theo HĐ'!$C58:$C133,'KL chi tiết'!$F$10:$F$130)</f>
        <v>141</v>
      </c>
      <c r="G58" s="367" t="str">
        <f t="shared" si="0"/>
        <v>-</v>
      </c>
      <c r="H58" s="356">
        <f t="shared" si="1"/>
        <v>2</v>
      </c>
      <c r="I58" s="444" t="s">
        <v>281</v>
      </c>
    </row>
    <row r="59" spans="1:11" s="344" customFormat="1" ht="24" customHeight="1">
      <c r="B59" s="356" t="s">
        <v>358</v>
      </c>
      <c r="C59" s="361" t="s">
        <v>261</v>
      </c>
      <c r="D59" s="356" t="s">
        <v>190</v>
      </c>
      <c r="E59" s="356">
        <v>74</v>
      </c>
      <c r="F59" s="356">
        <f>SUMIF('KL chi tiết'!$C$10:$C$130,'KL theo HĐ'!$C59:$C134,'KL chi tiết'!$F$10:$F$130)</f>
        <v>74</v>
      </c>
      <c r="G59" s="367" t="str">
        <f t="shared" si="0"/>
        <v>-</v>
      </c>
      <c r="H59" s="356" t="str">
        <f t="shared" si="1"/>
        <v>-</v>
      </c>
      <c r="I59" s="444" t="s">
        <v>281</v>
      </c>
    </row>
    <row r="60" spans="1:11" s="350" customFormat="1" ht="24" customHeight="1">
      <c r="A60" s="344"/>
      <c r="B60" s="356" t="s">
        <v>359</v>
      </c>
      <c r="C60" s="361" t="s">
        <v>233</v>
      </c>
      <c r="D60" s="356" t="s">
        <v>190</v>
      </c>
      <c r="E60" s="356">
        <v>5</v>
      </c>
      <c r="F60" s="356">
        <f>SUMIF('KL chi tiết'!$C$10:$C$130,'KL theo HĐ'!$C60:$C135,'KL chi tiết'!$F$10:$F$130)</f>
        <v>3</v>
      </c>
      <c r="G60" s="367" t="str">
        <f t="shared" si="0"/>
        <v>-</v>
      </c>
      <c r="H60" s="356">
        <f t="shared" si="1"/>
        <v>2</v>
      </c>
      <c r="I60" s="444" t="s">
        <v>281</v>
      </c>
      <c r="J60" s="344"/>
      <c r="K60" s="344"/>
    </row>
    <row r="61" spans="1:11" s="344" customFormat="1" ht="24" customHeight="1">
      <c r="B61" s="380" t="s">
        <v>360</v>
      </c>
      <c r="C61" s="361" t="s">
        <v>191</v>
      </c>
      <c r="D61" s="356" t="s">
        <v>190</v>
      </c>
      <c r="E61" s="356">
        <v>66</v>
      </c>
      <c r="F61" s="356">
        <f>SUMIF('KL chi tiết'!$C$10:$C$130,'KL theo HĐ'!$C61:$C136,'KL chi tiết'!$F$10:$F$130)</f>
        <v>66</v>
      </c>
      <c r="G61" s="367" t="str">
        <f t="shared" si="0"/>
        <v>-</v>
      </c>
      <c r="H61" s="356" t="str">
        <f t="shared" si="1"/>
        <v>-</v>
      </c>
      <c r="I61" s="463"/>
    </row>
    <row r="62" spans="1:11" s="404" customFormat="1" ht="16.8">
      <c r="B62" s="464" t="s">
        <v>361</v>
      </c>
      <c r="C62" s="461" t="s">
        <v>286</v>
      </c>
      <c r="D62" s="356" t="s">
        <v>219</v>
      </c>
      <c r="E62" s="356">
        <v>41</v>
      </c>
      <c r="F62" s="356">
        <f>SUMIF('KL chi tiết'!$C$10:$C$130,'KL theo HĐ'!$C62:$C137,'KL chi tiết'!$F$10:$F$130)</f>
        <v>20.5</v>
      </c>
      <c r="G62" s="367" t="str">
        <f t="shared" si="0"/>
        <v>-</v>
      </c>
      <c r="H62" s="356">
        <f t="shared" si="1"/>
        <v>20.5</v>
      </c>
      <c r="I62" s="444" t="s">
        <v>281</v>
      </c>
    </row>
    <row r="63" spans="1:11" s="384" customFormat="1" ht="24" customHeight="1">
      <c r="B63" s="356" t="s">
        <v>362</v>
      </c>
      <c r="C63" s="361" t="s">
        <v>363</v>
      </c>
      <c r="D63" s="356" t="s">
        <v>284</v>
      </c>
      <c r="E63" s="356">
        <v>41</v>
      </c>
      <c r="F63" s="356">
        <f>SUMIF('KL chi tiết'!$C$10:$C$130,'KL theo HĐ'!$C63:$C138,'KL chi tiết'!$F$10:$F$130)</f>
        <v>20</v>
      </c>
      <c r="G63" s="367" t="str">
        <f t="shared" si="0"/>
        <v>-</v>
      </c>
      <c r="H63" s="356">
        <f t="shared" si="1"/>
        <v>21</v>
      </c>
      <c r="I63" s="444" t="s">
        <v>281</v>
      </c>
    </row>
    <row r="64" spans="1:11" s="344" customFormat="1" ht="24" customHeight="1">
      <c r="B64" s="356" t="s">
        <v>364</v>
      </c>
      <c r="C64" s="361" t="s">
        <v>365</v>
      </c>
      <c r="D64" s="356" t="s">
        <v>284</v>
      </c>
      <c r="E64" s="356">
        <v>1</v>
      </c>
      <c r="F64" s="356">
        <f>SUMIF('KL chi tiết'!$C$10:$C$130,'KL theo HĐ'!$C64:$C139,'KL chi tiết'!$F$10:$F$130)</f>
        <v>1</v>
      </c>
      <c r="G64" s="367" t="str">
        <f t="shared" si="0"/>
        <v>-</v>
      </c>
      <c r="H64" s="356" t="str">
        <f t="shared" si="1"/>
        <v>-</v>
      </c>
      <c r="I64" s="462"/>
    </row>
    <row r="65" spans="1:11" s="344" customFormat="1" ht="24" customHeight="1">
      <c r="B65" s="356" t="s">
        <v>366</v>
      </c>
      <c r="C65" s="361" t="s">
        <v>289</v>
      </c>
      <c r="D65" s="356" t="s">
        <v>290</v>
      </c>
      <c r="E65" s="356">
        <v>1</v>
      </c>
      <c r="F65" s="356">
        <f>SUMIF('KL chi tiết'!$C$10:$C$130,'KL theo HĐ'!$C65:$C140,'KL chi tiết'!$F$10:$F$130)</f>
        <v>1</v>
      </c>
      <c r="G65" s="367" t="str">
        <f t="shared" si="0"/>
        <v>-</v>
      </c>
      <c r="H65" s="356" t="str">
        <f t="shared" si="1"/>
        <v>-</v>
      </c>
      <c r="I65" s="462"/>
    </row>
    <row r="66" spans="1:11" s="344" customFormat="1" ht="24" customHeight="1">
      <c r="B66" s="356" t="s">
        <v>367</v>
      </c>
      <c r="C66" s="361" t="s">
        <v>288</v>
      </c>
      <c r="D66" s="356" t="s">
        <v>30</v>
      </c>
      <c r="E66" s="356">
        <v>1</v>
      </c>
      <c r="F66" s="356">
        <f>SUMIF('KL chi tiết'!$C$10:$C$130,'KL theo HĐ'!$C66:$C141,'KL chi tiết'!$F$10:$F$130)</f>
        <v>1</v>
      </c>
      <c r="G66" s="367" t="str">
        <f t="shared" si="0"/>
        <v>-</v>
      </c>
      <c r="H66" s="356" t="str">
        <f t="shared" si="1"/>
        <v>-</v>
      </c>
      <c r="I66" s="462"/>
    </row>
    <row r="67" spans="1:11" s="384" customFormat="1" ht="24" customHeight="1">
      <c r="A67" s="344"/>
      <c r="B67" s="356" t="s">
        <v>368</v>
      </c>
      <c r="C67" s="361" t="s">
        <v>232</v>
      </c>
      <c r="D67" s="356" t="s">
        <v>190</v>
      </c>
      <c r="E67" s="356">
        <v>5</v>
      </c>
      <c r="F67" s="356">
        <f>SUMIF('KL chi tiết'!$C$10:$C$130,'KL theo HĐ'!$C67:$C142,'KL chi tiết'!$F$10:$F$130)</f>
        <v>3</v>
      </c>
      <c r="G67" s="367" t="str">
        <f t="shared" si="0"/>
        <v>-</v>
      </c>
      <c r="H67" s="356">
        <f t="shared" si="1"/>
        <v>2</v>
      </c>
      <c r="I67" s="444" t="s">
        <v>281</v>
      </c>
    </row>
    <row r="68" spans="1:11" s="344" customFormat="1" ht="24" customHeight="1">
      <c r="B68" s="356" t="s">
        <v>369</v>
      </c>
      <c r="C68" s="361" t="s">
        <v>223</v>
      </c>
      <c r="D68" s="356" t="s">
        <v>190</v>
      </c>
      <c r="E68" s="356">
        <v>292</v>
      </c>
      <c r="F68" s="407">
        <f>SUMIF('KL chi tiết'!$C$10:$C$130,'KL theo HĐ'!$C68:$C143,'KL chi tiết'!$F$10:$F$130)</f>
        <v>288</v>
      </c>
      <c r="G68" s="367" t="str">
        <f t="shared" si="0"/>
        <v>-</v>
      </c>
      <c r="H68" s="356">
        <f t="shared" si="1"/>
        <v>4</v>
      </c>
      <c r="I68" s="444" t="s">
        <v>281</v>
      </c>
    </row>
    <row r="69" spans="1:11" s="466" customFormat="1" ht="24" customHeight="1">
      <c r="A69" s="374"/>
      <c r="B69" s="351" t="s">
        <v>370</v>
      </c>
      <c r="C69" s="459" t="s">
        <v>371</v>
      </c>
      <c r="D69" s="351"/>
      <c r="E69" s="351"/>
      <c r="F69" s="351">
        <f>SUMIF('KL chi tiết'!$C$10:$C$130,'KL theo HĐ'!$C69:$C144,'KL chi tiết'!$F$10:$F$130)</f>
        <v>0</v>
      </c>
      <c r="G69" s="367" t="str">
        <f t="shared" si="0"/>
        <v>-</v>
      </c>
      <c r="H69" s="351"/>
      <c r="I69" s="465"/>
      <c r="J69" s="374"/>
      <c r="K69" s="374"/>
    </row>
    <row r="70" spans="1:11" s="384" customFormat="1" ht="24" customHeight="1">
      <c r="B70" s="356" t="s">
        <v>325</v>
      </c>
      <c r="C70" s="361" t="s">
        <v>292</v>
      </c>
      <c r="D70" s="356" t="s">
        <v>293</v>
      </c>
      <c r="E70" s="356">
        <v>5.5</v>
      </c>
      <c r="F70" s="356">
        <f>SUMIF('KL chi tiết'!$C$10:$C$130,'KL theo HĐ'!$C70:$C145,'KL chi tiết'!$F$10:$F$130)</f>
        <v>5.5</v>
      </c>
      <c r="G70" s="367" t="str">
        <f t="shared" si="0"/>
        <v>-</v>
      </c>
      <c r="H70" s="356" t="str">
        <f t="shared" si="1"/>
        <v>-</v>
      </c>
      <c r="I70" s="467"/>
    </row>
    <row r="71" spans="1:11" s="344" customFormat="1" ht="24" customHeight="1">
      <c r="B71" s="356" t="s">
        <v>327</v>
      </c>
      <c r="C71" s="361" t="s">
        <v>294</v>
      </c>
      <c r="D71" s="356" t="s">
        <v>293</v>
      </c>
      <c r="E71" s="356">
        <v>4.7</v>
      </c>
      <c r="F71" s="356">
        <f>SUMIF('KL chi tiết'!$C$10:$C$130,'KL theo HĐ'!$C71:$C146,'KL chi tiết'!$F$10:$F$130)</f>
        <v>4.7</v>
      </c>
      <c r="G71" s="367" t="str">
        <f t="shared" si="0"/>
        <v>-</v>
      </c>
      <c r="H71" s="356" t="str">
        <f t="shared" si="1"/>
        <v>-</v>
      </c>
      <c r="I71" s="467"/>
    </row>
    <row r="72" spans="1:11" s="344" customFormat="1" ht="24" customHeight="1">
      <c r="B72" s="356" t="s">
        <v>328</v>
      </c>
      <c r="C72" s="361" t="s">
        <v>295</v>
      </c>
      <c r="D72" s="356" t="s">
        <v>188</v>
      </c>
      <c r="E72" s="356">
        <v>33</v>
      </c>
      <c r="F72" s="356">
        <f>SUMIF('KL chi tiết'!$C$10:$C$130,'KL theo HĐ'!$C72:$C147,'KL chi tiết'!$F$10:$F$130)</f>
        <v>33</v>
      </c>
      <c r="G72" s="367" t="str">
        <f t="shared" si="0"/>
        <v>-</v>
      </c>
      <c r="H72" s="356" t="str">
        <f t="shared" si="1"/>
        <v>-</v>
      </c>
      <c r="I72" s="467"/>
    </row>
    <row r="73" spans="1:11" s="344" customFormat="1" ht="24" customHeight="1">
      <c r="B73" s="356" t="s">
        <v>330</v>
      </c>
      <c r="C73" s="361" t="s">
        <v>296</v>
      </c>
      <c r="D73" s="356" t="s">
        <v>197</v>
      </c>
      <c r="E73" s="356">
        <v>19</v>
      </c>
      <c r="F73" s="356">
        <f>SUMIF('KL chi tiết'!$C$10:$C$130,'KL theo HĐ'!$C73:$C148,'KL chi tiết'!$F$10:$F$130)</f>
        <v>19</v>
      </c>
      <c r="G73" s="367" t="str">
        <f t="shared" si="0"/>
        <v>-</v>
      </c>
      <c r="H73" s="356" t="str">
        <f t="shared" si="1"/>
        <v>-</v>
      </c>
      <c r="I73" s="467"/>
    </row>
    <row r="74" spans="1:11" s="344" customFormat="1" ht="24" customHeight="1">
      <c r="B74" s="356" t="s">
        <v>331</v>
      </c>
      <c r="C74" s="361" t="s">
        <v>297</v>
      </c>
      <c r="D74" s="356" t="s">
        <v>212</v>
      </c>
      <c r="E74" s="356">
        <v>141</v>
      </c>
      <c r="F74" s="356">
        <f>SUMIF('KL chi tiết'!$C$10:$C$130,'KL theo HĐ'!$C74:$C149,'KL chi tiết'!$F$10:$F$130)</f>
        <v>141</v>
      </c>
      <c r="G74" s="367" t="str">
        <f t="shared" si="0"/>
        <v>-</v>
      </c>
      <c r="H74" s="356" t="str">
        <f t="shared" si="1"/>
        <v>-</v>
      </c>
      <c r="I74" s="467"/>
    </row>
    <row r="75" spans="1:11" s="344" customFormat="1" ht="24" customHeight="1">
      <c r="B75" s="356" t="s">
        <v>332</v>
      </c>
      <c r="C75" s="361" t="s">
        <v>298</v>
      </c>
      <c r="D75" s="356" t="s">
        <v>212</v>
      </c>
      <c r="E75" s="356">
        <v>146</v>
      </c>
      <c r="F75" s="356">
        <f>SUMIF('KL chi tiết'!$C$10:$C$130,'KL theo HĐ'!$C75:$C150,'KL chi tiết'!$F$10:$F$130)</f>
        <v>144</v>
      </c>
      <c r="G75" s="367" t="str">
        <f t="shared" si="0"/>
        <v>-</v>
      </c>
      <c r="H75" s="356">
        <f t="shared" si="1"/>
        <v>2</v>
      </c>
      <c r="I75" s="444" t="s">
        <v>281</v>
      </c>
    </row>
    <row r="76" spans="1:11" s="344" customFormat="1" ht="24" customHeight="1">
      <c r="B76" s="356" t="s">
        <v>333</v>
      </c>
      <c r="C76" s="361" t="s">
        <v>299</v>
      </c>
      <c r="D76" s="356" t="s">
        <v>212</v>
      </c>
      <c r="E76" s="356">
        <v>52</v>
      </c>
      <c r="F76" s="356">
        <f>SUMIF('KL chi tiết'!$C$10:$C$130,'KL theo HĐ'!$C76:$C151,'KL chi tiết'!$F$10:$F$130)</f>
        <v>52</v>
      </c>
      <c r="G76" s="367" t="str">
        <f t="shared" si="0"/>
        <v>-</v>
      </c>
      <c r="H76" s="356" t="str">
        <f t="shared" si="1"/>
        <v>-</v>
      </c>
      <c r="I76" s="467"/>
    </row>
    <row r="77" spans="1:11" s="344" customFormat="1" ht="24" customHeight="1">
      <c r="B77" s="356" t="s">
        <v>334</v>
      </c>
      <c r="C77" s="361" t="s">
        <v>300</v>
      </c>
      <c r="D77" s="356" t="s">
        <v>212</v>
      </c>
      <c r="E77" s="356">
        <v>243</v>
      </c>
      <c r="F77" s="356">
        <f>SUMIF('KL chi tiết'!$C$10:$C$130,'KL theo HĐ'!$C77:$C152,'KL chi tiết'!$F$10:$F$130)</f>
        <v>243</v>
      </c>
      <c r="G77" s="367" t="str">
        <f t="shared" si="0"/>
        <v>-</v>
      </c>
      <c r="H77" s="356" t="str">
        <f t="shared" si="1"/>
        <v>-</v>
      </c>
      <c r="I77" s="467"/>
    </row>
    <row r="78" spans="1:11" s="344" customFormat="1" ht="24" customHeight="1">
      <c r="B78" s="356" t="s">
        <v>336</v>
      </c>
      <c r="C78" s="361" t="s">
        <v>301</v>
      </c>
      <c r="D78" s="356" t="s">
        <v>212</v>
      </c>
      <c r="E78" s="356">
        <v>276</v>
      </c>
      <c r="F78" s="356">
        <f>SUMIF('KL chi tiết'!$C$10:$C$130,'KL theo HĐ'!$C78:$C153,'KL chi tiết'!$F$10:$F$130)</f>
        <v>267</v>
      </c>
      <c r="G78" s="367" t="str">
        <f t="shared" si="0"/>
        <v>-</v>
      </c>
      <c r="H78" s="356">
        <f t="shared" si="1"/>
        <v>9</v>
      </c>
      <c r="I78" s="444" t="s">
        <v>281</v>
      </c>
    </row>
    <row r="79" spans="1:11" s="344" customFormat="1" ht="24" customHeight="1">
      <c r="B79" s="356" t="s">
        <v>337</v>
      </c>
      <c r="C79" s="361" t="s">
        <v>302</v>
      </c>
      <c r="D79" s="356" t="s">
        <v>212</v>
      </c>
      <c r="E79" s="356">
        <v>67</v>
      </c>
      <c r="F79" s="356">
        <f>SUMIF('KL chi tiết'!$C$10:$C$130,'KL theo HĐ'!$C79:$C154,'KL chi tiết'!$F$10:$F$130)</f>
        <v>51</v>
      </c>
      <c r="G79" s="367" t="str">
        <f t="shared" ref="G79:G87" si="2">IF(F79&gt;E79,F79-E79,"-")</f>
        <v>-</v>
      </c>
      <c r="H79" s="356">
        <f t="shared" ref="H79:H87" si="3">IF(E79&gt;F79,E79-F79,"-")</f>
        <v>16</v>
      </c>
      <c r="I79" s="444" t="s">
        <v>281</v>
      </c>
    </row>
    <row r="80" spans="1:11" s="344" customFormat="1" ht="24" customHeight="1">
      <c r="B80" s="356" t="s">
        <v>338</v>
      </c>
      <c r="C80" s="361" t="s">
        <v>303</v>
      </c>
      <c r="D80" s="356" t="s">
        <v>212</v>
      </c>
      <c r="E80" s="356">
        <v>74</v>
      </c>
      <c r="F80" s="356">
        <f>SUMIF('KL chi tiết'!$C$10:$C$130,'KL theo HĐ'!$C80:$C155,'KL chi tiết'!$F$10:$F$130)</f>
        <v>54</v>
      </c>
      <c r="G80" s="367" t="str">
        <f t="shared" si="2"/>
        <v>-</v>
      </c>
      <c r="H80" s="356">
        <f t="shared" si="3"/>
        <v>20</v>
      </c>
      <c r="I80" s="444" t="s">
        <v>281</v>
      </c>
    </row>
    <row r="81" spans="1:11" s="384" customFormat="1" ht="24" customHeight="1">
      <c r="B81" s="356" t="s">
        <v>340</v>
      </c>
      <c r="C81" s="361" t="s">
        <v>304</v>
      </c>
      <c r="D81" s="356" t="s">
        <v>212</v>
      </c>
      <c r="E81" s="356">
        <v>48</v>
      </c>
      <c r="F81" s="356">
        <f>SUMIF('KL chi tiết'!$C$10:$C$130,'KL theo HĐ'!$C81:$C156,'KL chi tiết'!$F$10:$F$130)</f>
        <v>48</v>
      </c>
      <c r="G81" s="367" t="str">
        <f t="shared" si="2"/>
        <v>-</v>
      </c>
      <c r="H81" s="356" t="str">
        <f t="shared" si="3"/>
        <v>-</v>
      </c>
      <c r="I81" s="468"/>
    </row>
    <row r="82" spans="1:11" s="344" customFormat="1" ht="24" customHeight="1">
      <c r="B82" s="356" t="s">
        <v>341</v>
      </c>
      <c r="C82" s="361" t="s">
        <v>305</v>
      </c>
      <c r="D82" s="356" t="s">
        <v>212</v>
      </c>
      <c r="E82" s="356">
        <v>35</v>
      </c>
      <c r="F82" s="356">
        <f>SUMIF('KL chi tiết'!$C$10:$C$130,'KL theo HĐ'!$C82:$C157,'KL chi tiết'!$F$10:$F$130)</f>
        <v>34</v>
      </c>
      <c r="G82" s="367" t="str">
        <f t="shared" si="2"/>
        <v>-</v>
      </c>
      <c r="H82" s="356">
        <f t="shared" si="3"/>
        <v>1</v>
      </c>
      <c r="I82" s="444" t="s">
        <v>281</v>
      </c>
    </row>
    <row r="83" spans="1:11" s="344" customFormat="1" ht="24" customHeight="1">
      <c r="B83" s="356" t="s">
        <v>342</v>
      </c>
      <c r="C83" s="418" t="s">
        <v>306</v>
      </c>
      <c r="D83" s="356" t="s">
        <v>212</v>
      </c>
      <c r="E83" s="356">
        <v>52</v>
      </c>
      <c r="F83" s="356">
        <f>SUMIF('KL chi tiết'!$C$10:$C$130,'KL theo HĐ'!$C83:$C158,'KL chi tiết'!$F$10:$F$130)</f>
        <v>52</v>
      </c>
      <c r="G83" s="367" t="str">
        <f t="shared" si="2"/>
        <v>-</v>
      </c>
      <c r="H83" s="356" t="str">
        <f t="shared" si="3"/>
        <v>-</v>
      </c>
      <c r="I83" s="462"/>
    </row>
    <row r="84" spans="1:11" s="387" customFormat="1" ht="24" customHeight="1">
      <c r="A84" s="344"/>
      <c r="B84" s="356" t="s">
        <v>343</v>
      </c>
      <c r="C84" s="361" t="s">
        <v>307</v>
      </c>
      <c r="D84" s="356" t="s">
        <v>212</v>
      </c>
      <c r="E84" s="356">
        <v>74</v>
      </c>
      <c r="F84" s="356">
        <f>SUMIF('KL chi tiết'!$C$10:$C$130,'KL theo HĐ'!$C84:$C159,'KL chi tiết'!$F$10:$F$130)</f>
        <v>72</v>
      </c>
      <c r="G84" s="367" t="str">
        <f t="shared" si="2"/>
        <v>-</v>
      </c>
      <c r="H84" s="356">
        <f t="shared" si="3"/>
        <v>2</v>
      </c>
      <c r="I84" s="444" t="s">
        <v>281</v>
      </c>
      <c r="J84" s="384"/>
      <c r="K84" s="384"/>
    </row>
    <row r="85" spans="1:11" s="344" customFormat="1" ht="24" customHeight="1">
      <c r="B85" s="367" t="s">
        <v>344</v>
      </c>
      <c r="C85" s="361" t="s">
        <v>308</v>
      </c>
      <c r="D85" s="356" t="s">
        <v>309</v>
      </c>
      <c r="E85" s="356">
        <v>11.923999999999999</v>
      </c>
      <c r="F85" s="356">
        <f>SUMIF('KL chi tiết'!$C$10:$C$130,'KL theo HĐ'!$C85:$C160,'KL chi tiết'!$F$10:$F$130)</f>
        <v>11.906000000000001</v>
      </c>
      <c r="G85" s="367" t="str">
        <f t="shared" si="2"/>
        <v>-</v>
      </c>
      <c r="H85" s="356">
        <f t="shared" si="3"/>
        <v>1.7999999999998906E-2</v>
      </c>
      <c r="I85" s="444" t="s">
        <v>281</v>
      </c>
    </row>
    <row r="86" spans="1:11" s="344" customFormat="1" ht="24" customHeight="1">
      <c r="B86" s="367" t="s">
        <v>345</v>
      </c>
      <c r="C86" s="361" t="s">
        <v>310</v>
      </c>
      <c r="D86" s="356" t="s">
        <v>309</v>
      </c>
      <c r="E86" s="356">
        <v>1.796</v>
      </c>
      <c r="F86" s="356">
        <f>SUMIF('KL chi tiết'!$C$10:$C$130,'KL theo HĐ'!$C86:$C161,'KL chi tiết'!$F$10:$F$130)</f>
        <v>1.792</v>
      </c>
      <c r="G86" s="367" t="str">
        <f t="shared" si="2"/>
        <v>-</v>
      </c>
      <c r="H86" s="356">
        <f t="shared" si="3"/>
        <v>4.0000000000000036E-3</v>
      </c>
      <c r="I86" s="444" t="s">
        <v>281</v>
      </c>
    </row>
    <row r="87" spans="1:11" s="344" customFormat="1" ht="24" customHeight="1">
      <c r="B87" s="356" t="s">
        <v>348</v>
      </c>
      <c r="C87" s="418" t="s">
        <v>311</v>
      </c>
      <c r="D87" s="356" t="s">
        <v>309</v>
      </c>
      <c r="E87" s="356">
        <v>11.923999999999999</v>
      </c>
      <c r="F87" s="356">
        <f>SUMIF('KL chi tiết'!$C$10:$C$130,'KL theo HĐ'!$C87:$C162,'KL chi tiết'!$F$10:$F$130)</f>
        <v>11.912000000000001</v>
      </c>
      <c r="G87" s="367" t="str">
        <f t="shared" si="2"/>
        <v>-</v>
      </c>
      <c r="H87" s="356">
        <f t="shared" si="3"/>
        <v>1.1999999999998678E-2</v>
      </c>
      <c r="I87" s="444" t="s">
        <v>281</v>
      </c>
    </row>
    <row r="88" spans="1:11" ht="16.8">
      <c r="B88" s="421"/>
      <c r="C88" s="421"/>
      <c r="D88" s="422"/>
      <c r="E88" s="421"/>
      <c r="F88" s="423"/>
      <c r="G88" s="424"/>
      <c r="H88" s="425"/>
      <c r="I88" s="426"/>
    </row>
    <row r="89" spans="1:11" ht="16.8">
      <c r="B89" s="427"/>
      <c r="C89" s="428" t="s">
        <v>312</v>
      </c>
      <c r="D89" s="429"/>
      <c r="E89" s="430" t="s">
        <v>45</v>
      </c>
      <c r="F89" s="430"/>
      <c r="G89" s="430"/>
      <c r="H89" s="430"/>
      <c r="I89" s="426"/>
    </row>
    <row r="90" spans="1:11" ht="16.8">
      <c r="B90" s="427"/>
      <c r="C90" s="428" t="s">
        <v>313</v>
      </c>
      <c r="D90" s="429"/>
      <c r="E90" s="427"/>
      <c r="F90" s="427"/>
      <c r="G90" s="427"/>
      <c r="H90" s="427"/>
      <c r="I90" s="426"/>
    </row>
    <row r="91" spans="1:11" ht="16.8">
      <c r="B91" s="427"/>
      <c r="C91" s="428" t="s">
        <v>314</v>
      </c>
      <c r="D91" s="429"/>
      <c r="E91" s="427"/>
      <c r="F91" s="427"/>
      <c r="G91" s="427"/>
      <c r="H91" s="427"/>
      <c r="I91" s="426"/>
    </row>
    <row r="92" spans="1:11" ht="16.8">
      <c r="B92" s="427"/>
      <c r="C92" s="428" t="s">
        <v>315</v>
      </c>
      <c r="D92" s="429"/>
      <c r="E92" s="429"/>
      <c r="F92" s="427"/>
      <c r="G92" s="427"/>
      <c r="H92" s="427"/>
      <c r="I92" s="426"/>
    </row>
    <row r="93" spans="1:11" ht="16.8">
      <c r="B93" s="427"/>
      <c r="C93" s="428" t="s">
        <v>316</v>
      </c>
      <c r="D93" s="429"/>
      <c r="E93" s="429"/>
      <c r="F93" s="427"/>
      <c r="G93" s="427"/>
      <c r="H93" s="427"/>
      <c r="I93" s="426"/>
    </row>
    <row r="94" spans="1:11" ht="16.8">
      <c r="B94" s="427"/>
      <c r="C94" s="428" t="s">
        <v>317</v>
      </c>
      <c r="D94" s="429"/>
      <c r="E94" s="430" t="s">
        <v>46</v>
      </c>
      <c r="F94" s="430"/>
      <c r="G94" s="430"/>
      <c r="H94" s="430"/>
      <c r="I94" s="426"/>
    </row>
    <row r="95" spans="1:11" ht="16.8">
      <c r="B95" s="427"/>
      <c r="C95" s="428"/>
      <c r="D95" s="429"/>
      <c r="E95" s="427"/>
      <c r="F95" s="427"/>
      <c r="G95" s="427"/>
      <c r="H95" s="427"/>
      <c r="I95" s="426"/>
    </row>
    <row r="96" spans="1:11" ht="16.8">
      <c r="B96" s="427"/>
      <c r="C96" s="428"/>
      <c r="D96" s="427"/>
      <c r="E96" s="429"/>
      <c r="F96" s="427"/>
      <c r="G96" s="427"/>
      <c r="H96" s="427"/>
      <c r="I96" s="426"/>
    </row>
    <row r="97" spans="2:9" ht="16.8">
      <c r="B97" s="427"/>
      <c r="C97" s="427" t="s">
        <v>318</v>
      </c>
      <c r="D97" s="429"/>
      <c r="E97" s="430" t="s">
        <v>319</v>
      </c>
      <c r="F97" s="430"/>
      <c r="G97" s="430"/>
      <c r="H97" s="430"/>
      <c r="I97" s="426"/>
    </row>
    <row r="98" spans="2:9" ht="16.8">
      <c r="B98" s="427"/>
      <c r="C98" s="427" t="s">
        <v>320</v>
      </c>
      <c r="D98" s="429"/>
      <c r="E98" s="430" t="s">
        <v>51</v>
      </c>
      <c r="F98" s="430"/>
      <c r="G98" s="430"/>
      <c r="H98" s="430"/>
      <c r="I98" s="426"/>
    </row>
    <row r="99" spans="2:9" ht="16.8">
      <c r="B99" s="427"/>
      <c r="C99" s="427" t="s">
        <v>52</v>
      </c>
      <c r="D99" s="429"/>
      <c r="E99" s="430" t="s">
        <v>52</v>
      </c>
      <c r="F99" s="430"/>
      <c r="G99" s="430"/>
      <c r="H99" s="430"/>
      <c r="I99" s="426"/>
    </row>
    <row r="100" spans="2:9" ht="16.8">
      <c r="B100" s="427"/>
      <c r="C100" s="427"/>
      <c r="D100" s="427"/>
      <c r="E100" s="429"/>
      <c r="F100" s="427"/>
      <c r="G100" s="427"/>
      <c r="H100" s="427"/>
      <c r="I100" s="426"/>
    </row>
    <row r="101" spans="2:9" ht="16.8">
      <c r="B101" s="427"/>
      <c r="C101" s="427"/>
      <c r="D101" s="427"/>
      <c r="E101" s="429"/>
      <c r="F101" s="427"/>
      <c r="G101" s="427"/>
      <c r="H101" s="427"/>
      <c r="I101" s="426"/>
    </row>
    <row r="102" spans="2:9" ht="16.8">
      <c r="B102" s="427"/>
      <c r="C102" s="427"/>
      <c r="D102" s="427"/>
      <c r="E102" s="429"/>
      <c r="F102" s="427"/>
      <c r="G102" s="427"/>
      <c r="H102" s="427"/>
      <c r="I102" s="426"/>
    </row>
    <row r="103" spans="2:9" ht="16.8">
      <c r="B103" s="427"/>
      <c r="C103" s="427"/>
      <c r="D103" s="427"/>
      <c r="E103" s="429"/>
      <c r="F103" s="427"/>
      <c r="G103" s="427"/>
      <c r="H103" s="427"/>
      <c r="I103" s="426"/>
    </row>
    <row r="104" spans="2:9" ht="16.8">
      <c r="B104" s="427"/>
      <c r="C104" s="427" t="s">
        <v>321</v>
      </c>
      <c r="D104" s="429"/>
      <c r="E104" s="430" t="s">
        <v>54</v>
      </c>
      <c r="F104" s="430"/>
      <c r="G104" s="430"/>
      <c r="H104" s="430"/>
      <c r="I104" s="426"/>
    </row>
  </sheetData>
  <mergeCells count="33">
    <mergeCell ref="E89:H89"/>
    <mergeCell ref="E94:H94"/>
    <mergeCell ref="E97:H97"/>
    <mergeCell ref="E98:H98"/>
    <mergeCell ref="E99:H99"/>
    <mergeCell ref="E104:H104"/>
    <mergeCell ref="B27:B28"/>
    <mergeCell ref="D27:D28"/>
    <mergeCell ref="E27:E28"/>
    <mergeCell ref="G27:G28"/>
    <mergeCell ref="H27:H28"/>
    <mergeCell ref="I27:I28"/>
    <mergeCell ref="I14:I15"/>
    <mergeCell ref="B19:B20"/>
    <mergeCell ref="D19:D20"/>
    <mergeCell ref="E19:E20"/>
    <mergeCell ref="G19:G20"/>
    <mergeCell ref="H19:H20"/>
    <mergeCell ref="I19:I20"/>
    <mergeCell ref="B7:I7"/>
    <mergeCell ref="B8:I8"/>
    <mergeCell ref="B9:B10"/>
    <mergeCell ref="C9:C10"/>
    <mergeCell ref="D9:D10"/>
    <mergeCell ref="E9:F9"/>
    <mergeCell ref="G9:H9"/>
    <mergeCell ref="I9:I10"/>
    <mergeCell ref="D1:I1"/>
    <mergeCell ref="D2:I2"/>
    <mergeCell ref="D3:I3"/>
    <mergeCell ref="D4:I4"/>
    <mergeCell ref="B5:I5"/>
    <mergeCell ref="B6:I6"/>
  </mergeCells>
  <printOptions horizontalCentered="1"/>
  <pageMargins left="0.17" right="0.17" top="0.43307086614173201" bottom="0.38" header="0.196850393700787" footer="0.17"/>
  <pageSetup paperSize="9" scale="78" fitToHeight="0" orientation="landscape" blackAndWhite="1" useFirstPageNumber="1" r:id="rId1"/>
  <headerFoot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C863-539C-491A-9FC4-A93677FEE507}">
  <dimension ref="A1:N49"/>
  <sheetViews>
    <sheetView showZeros="0" view="pageBreakPreview" topLeftCell="A7" zoomScale="85" zoomScaleNormal="100" zoomScaleSheetLayoutView="85" workbookViewId="0">
      <selection activeCell="C8" sqref="C8:C9"/>
    </sheetView>
  </sheetViews>
  <sheetFormatPr defaultColWidth="9.109375" defaultRowHeight="18"/>
  <cols>
    <col min="1" max="1" width="5.44140625" style="474" customWidth="1"/>
    <col min="2" max="2" width="24.88671875" style="474" customWidth="1"/>
    <col min="3" max="3" width="48.33203125" style="545" customWidth="1"/>
    <col min="4" max="4" width="6.88671875" style="474" customWidth="1"/>
    <col min="5" max="5" width="17.109375" style="474" customWidth="1"/>
    <col min="6" max="6" width="11.6640625" style="474" customWidth="1"/>
    <col min="7" max="7" width="9.88671875" style="474" customWidth="1"/>
    <col min="8" max="8" width="8.88671875" style="474" customWidth="1"/>
    <col min="9" max="9" width="10.33203125" style="540" customWidth="1"/>
    <col min="10" max="10" width="8.33203125" style="541" customWidth="1"/>
    <col min="11" max="11" width="17.6640625" style="474" customWidth="1"/>
    <col min="12" max="12" width="13.6640625" style="474" customWidth="1"/>
    <col min="13" max="13" width="8.6640625" style="474" customWidth="1"/>
    <col min="14" max="16384" width="9.109375" style="474"/>
  </cols>
  <sheetData>
    <row r="1" spans="1:14">
      <c r="A1" s="469"/>
      <c r="B1" s="470" t="s">
        <v>51</v>
      </c>
      <c r="C1" s="470"/>
      <c r="D1" s="471"/>
      <c r="E1" s="472"/>
      <c r="F1" s="473"/>
      <c r="G1" s="425"/>
      <c r="H1" s="470" t="s">
        <v>59</v>
      </c>
      <c r="I1" s="470"/>
      <c r="J1" s="470"/>
      <c r="K1" s="470"/>
      <c r="L1" s="470"/>
      <c r="M1" s="473"/>
    </row>
    <row r="2" spans="1:14">
      <c r="B2" s="475" t="s">
        <v>165</v>
      </c>
      <c r="C2" s="475"/>
      <c r="D2" s="471"/>
      <c r="E2" s="472"/>
      <c r="F2" s="473"/>
      <c r="G2" s="425"/>
      <c r="H2" s="470" t="s">
        <v>372</v>
      </c>
      <c r="I2" s="470"/>
      <c r="J2" s="470"/>
      <c r="K2" s="470"/>
      <c r="L2" s="470"/>
      <c r="M2" s="473"/>
    </row>
    <row r="3" spans="1:14" ht="13.5" customHeight="1">
      <c r="A3" s="476"/>
      <c r="B3" s="476"/>
      <c r="C3" s="477"/>
      <c r="D3" s="477"/>
      <c r="E3" s="472"/>
      <c r="F3" s="473"/>
      <c r="G3" s="478"/>
      <c r="H3" s="477" t="s">
        <v>373</v>
      </c>
      <c r="I3" s="477"/>
      <c r="J3" s="477"/>
      <c r="K3" s="477"/>
      <c r="L3" s="477"/>
      <c r="M3" s="473"/>
    </row>
    <row r="4" spans="1:14" ht="20.399999999999999">
      <c r="A4" s="479" t="s">
        <v>374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</row>
    <row r="5" spans="1:14">
      <c r="A5" s="480" t="s">
        <v>170</v>
      </c>
      <c r="B5" s="480"/>
      <c r="C5" s="480"/>
      <c r="D5" s="480"/>
      <c r="E5" s="480"/>
      <c r="F5" s="480"/>
      <c r="G5" s="480"/>
      <c r="H5" s="480"/>
      <c r="I5" s="480"/>
      <c r="J5" s="480"/>
      <c r="K5" s="480"/>
      <c r="L5" s="480"/>
      <c r="M5" s="480"/>
    </row>
    <row r="6" spans="1:14">
      <c r="A6" s="480" t="s">
        <v>171</v>
      </c>
      <c r="B6" s="480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</row>
    <row r="7" spans="1:14" ht="3.75" customHeight="1">
      <c r="A7" s="481"/>
      <c r="B7" s="481"/>
      <c r="C7" s="482"/>
      <c r="D7" s="483"/>
      <c r="E7" s="483"/>
      <c r="F7" s="483"/>
      <c r="G7" s="484"/>
      <c r="H7" s="484"/>
      <c r="I7" s="485"/>
      <c r="J7" s="486"/>
      <c r="K7" s="484"/>
      <c r="L7" s="484"/>
      <c r="M7" s="484"/>
    </row>
    <row r="8" spans="1:14">
      <c r="A8" s="487" t="s">
        <v>67</v>
      </c>
      <c r="B8" s="488" t="s">
        <v>375</v>
      </c>
      <c r="C8" s="489" t="s">
        <v>376</v>
      </c>
      <c r="D8" s="487" t="s">
        <v>377</v>
      </c>
      <c r="E8" s="490" t="s">
        <v>378</v>
      </c>
      <c r="F8" s="491"/>
      <c r="G8" s="487" t="s">
        <v>379</v>
      </c>
      <c r="H8" s="487"/>
      <c r="I8" s="487"/>
      <c r="J8" s="487"/>
      <c r="K8" s="487" t="s">
        <v>380</v>
      </c>
      <c r="L8" s="487"/>
      <c r="M8" s="487" t="s">
        <v>381</v>
      </c>
    </row>
    <row r="9" spans="1:14" ht="31.2">
      <c r="A9" s="488"/>
      <c r="B9" s="492"/>
      <c r="C9" s="493"/>
      <c r="D9" s="488"/>
      <c r="E9" s="494" t="s">
        <v>382</v>
      </c>
      <c r="F9" s="494" t="s">
        <v>383</v>
      </c>
      <c r="G9" s="494" t="s">
        <v>384</v>
      </c>
      <c r="H9" s="495" t="s">
        <v>385</v>
      </c>
      <c r="I9" s="495" t="s">
        <v>386</v>
      </c>
      <c r="J9" s="496" t="s">
        <v>387</v>
      </c>
      <c r="K9" s="494" t="s">
        <v>382</v>
      </c>
      <c r="L9" s="494" t="s">
        <v>383</v>
      </c>
      <c r="M9" s="488"/>
    </row>
    <row r="10" spans="1:14" ht="15.9" customHeight="1">
      <c r="A10" s="497">
        <v>1</v>
      </c>
      <c r="B10" s="498" t="s">
        <v>388</v>
      </c>
      <c r="C10" s="499" t="s">
        <v>239</v>
      </c>
      <c r="D10" s="500" t="s">
        <v>219</v>
      </c>
      <c r="E10" s="501" t="s">
        <v>389</v>
      </c>
      <c r="F10" s="502" t="s">
        <v>390</v>
      </c>
      <c r="G10" s="503">
        <v>12162</v>
      </c>
      <c r="H10" s="504">
        <v>12162</v>
      </c>
      <c r="I10" s="504">
        <f>'KL theo HĐ'!F12</f>
        <v>12144</v>
      </c>
      <c r="J10" s="505">
        <f>IF(H10&gt;I10,H10-I10,"")</f>
        <v>18</v>
      </c>
      <c r="K10" s="506" t="s">
        <v>391</v>
      </c>
      <c r="L10" s="507">
        <v>44034</v>
      </c>
      <c r="M10" s="508"/>
      <c r="N10" s="474">
        <v>12144.221999999998</v>
      </c>
    </row>
    <row r="11" spans="1:14" ht="15.9" customHeight="1">
      <c r="A11" s="509">
        <v>2</v>
      </c>
      <c r="B11" s="510" t="s">
        <v>392</v>
      </c>
      <c r="C11" s="511" t="s">
        <v>218</v>
      </c>
      <c r="D11" s="512" t="s">
        <v>219</v>
      </c>
      <c r="E11" s="513" t="s">
        <v>389</v>
      </c>
      <c r="F11" s="514" t="s">
        <v>390</v>
      </c>
      <c r="G11" s="515">
        <v>2141</v>
      </c>
      <c r="H11" s="515">
        <v>2141</v>
      </c>
      <c r="I11" s="516">
        <f>'KL theo HĐ'!F13</f>
        <v>2111</v>
      </c>
      <c r="J11" s="517">
        <f t="shared" ref="J11:J20" si="0">IF(H11&gt;I11,H11-I11,"")</f>
        <v>30</v>
      </c>
      <c r="K11" s="506" t="s">
        <v>391</v>
      </c>
      <c r="L11" s="507">
        <v>44034</v>
      </c>
      <c r="M11" s="518"/>
      <c r="N11" s="519">
        <f>H10-N10</f>
        <v>17.778000000002066</v>
      </c>
    </row>
    <row r="12" spans="1:14" ht="15.9" customHeight="1">
      <c r="A12" s="520"/>
      <c r="B12" s="521"/>
      <c r="C12" s="522"/>
      <c r="D12" s="523"/>
      <c r="E12" s="524"/>
      <c r="F12" s="525"/>
      <c r="G12" s="526"/>
      <c r="H12" s="526"/>
      <c r="I12" s="527"/>
      <c r="J12" s="528"/>
      <c r="K12" s="506" t="s">
        <v>393</v>
      </c>
      <c r="L12" s="507">
        <v>44054</v>
      </c>
      <c r="M12" s="518"/>
      <c r="N12" s="519"/>
    </row>
    <row r="13" spans="1:14" ht="15.9" customHeight="1">
      <c r="A13" s="497">
        <v>3</v>
      </c>
      <c r="B13" s="498" t="s">
        <v>394</v>
      </c>
      <c r="C13" s="499" t="s">
        <v>266</v>
      </c>
      <c r="D13" s="529" t="s">
        <v>219</v>
      </c>
      <c r="E13" s="501" t="s">
        <v>389</v>
      </c>
      <c r="F13" s="502" t="s">
        <v>390</v>
      </c>
      <c r="G13" s="501">
        <v>6</v>
      </c>
      <c r="H13" s="508">
        <v>6</v>
      </c>
      <c r="I13" s="530">
        <f>'KL theo HĐ'!F14-21.5</f>
        <v>6</v>
      </c>
      <c r="J13" s="531" t="str">
        <f t="shared" si="0"/>
        <v/>
      </c>
      <c r="K13" s="501"/>
      <c r="L13" s="501"/>
      <c r="M13" s="508"/>
    </row>
    <row r="14" spans="1:14" s="532" customFormat="1" ht="15.9" customHeight="1">
      <c r="A14" s="509">
        <v>4</v>
      </c>
      <c r="B14" s="498"/>
      <c r="C14" s="499" t="s">
        <v>268</v>
      </c>
      <c r="D14" s="529" t="s">
        <v>219</v>
      </c>
      <c r="E14" s="501"/>
      <c r="F14" s="501"/>
      <c r="G14" s="501">
        <v>21.5</v>
      </c>
      <c r="H14" s="508">
        <v>0</v>
      </c>
      <c r="I14" s="504">
        <v>0</v>
      </c>
      <c r="J14" s="505" t="str">
        <f t="shared" si="0"/>
        <v/>
      </c>
      <c r="K14" s="501"/>
      <c r="L14" s="501"/>
      <c r="M14" s="508"/>
      <c r="N14" s="532">
        <v>15</v>
      </c>
    </row>
    <row r="15" spans="1:14" s="532" customFormat="1" ht="15.9" customHeight="1">
      <c r="A15" s="520"/>
      <c r="B15" s="498" t="s">
        <v>394</v>
      </c>
      <c r="C15" s="499" t="s">
        <v>266</v>
      </c>
      <c r="D15" s="529" t="s">
        <v>219</v>
      </c>
      <c r="E15" s="501" t="s">
        <v>389</v>
      </c>
      <c r="F15" s="502" t="s">
        <v>390</v>
      </c>
      <c r="G15" s="501"/>
      <c r="H15" s="508">
        <f>27.5-H13</f>
        <v>21.5</v>
      </c>
      <c r="I15" s="530">
        <f>'KL theo HĐ'!F14-6</f>
        <v>21.5</v>
      </c>
      <c r="J15" s="531" t="str">
        <f t="shared" si="0"/>
        <v/>
      </c>
      <c r="K15" s="501"/>
      <c r="L15" s="501"/>
      <c r="M15" s="508"/>
    </row>
    <row r="16" spans="1:14" s="534" customFormat="1" ht="15.9" customHeight="1">
      <c r="A16" s="497">
        <v>5</v>
      </c>
      <c r="B16" s="533" t="s">
        <v>395</v>
      </c>
      <c r="C16" s="499" t="s">
        <v>186</v>
      </c>
      <c r="D16" s="529" t="s">
        <v>30</v>
      </c>
      <c r="E16" s="501" t="s">
        <v>389</v>
      </c>
      <c r="F16" s="502" t="s">
        <v>390</v>
      </c>
      <c r="G16" s="506">
        <v>67</v>
      </c>
      <c r="H16" s="506">
        <v>67</v>
      </c>
      <c r="I16" s="504">
        <f>'KL theo HĐ'!F16</f>
        <v>67</v>
      </c>
      <c r="J16" s="505" t="str">
        <f t="shared" si="0"/>
        <v/>
      </c>
      <c r="K16" s="506"/>
      <c r="L16" s="506"/>
      <c r="M16" s="518"/>
    </row>
    <row r="17" spans="1:14" s="534" customFormat="1" ht="15.9" customHeight="1">
      <c r="A17" s="497">
        <v>6</v>
      </c>
      <c r="B17" s="533" t="s">
        <v>396</v>
      </c>
      <c r="C17" s="511" t="s">
        <v>397</v>
      </c>
      <c r="D17" s="529" t="s">
        <v>190</v>
      </c>
      <c r="E17" s="501" t="s">
        <v>389</v>
      </c>
      <c r="F17" s="502" t="s">
        <v>390</v>
      </c>
      <c r="G17" s="515">
        <v>172</v>
      </c>
      <c r="H17" s="506">
        <v>167</v>
      </c>
      <c r="I17" s="504">
        <f>H17</f>
        <v>167</v>
      </c>
      <c r="J17" s="505" t="str">
        <f t="shared" si="0"/>
        <v/>
      </c>
      <c r="K17" s="506"/>
      <c r="L17" s="506"/>
      <c r="M17" s="518"/>
    </row>
    <row r="18" spans="1:14" s="534" customFormat="1" ht="15.9" customHeight="1">
      <c r="A18" s="497"/>
      <c r="B18" s="533" t="s">
        <v>398</v>
      </c>
      <c r="C18" s="522"/>
      <c r="D18" s="529" t="s">
        <v>190</v>
      </c>
      <c r="E18" s="501" t="s">
        <v>389</v>
      </c>
      <c r="F18" s="502" t="s">
        <v>390</v>
      </c>
      <c r="G18" s="526"/>
      <c r="H18" s="506">
        <v>5</v>
      </c>
      <c r="I18" s="504">
        <f>'KL theo HĐ'!F17-I17</f>
        <v>3</v>
      </c>
      <c r="J18" s="505">
        <f t="shared" si="0"/>
        <v>2</v>
      </c>
      <c r="K18" s="506" t="s">
        <v>391</v>
      </c>
      <c r="L18" s="507">
        <v>44034</v>
      </c>
      <c r="M18" s="518"/>
    </row>
    <row r="19" spans="1:14" s="534" customFormat="1" ht="15.9" customHeight="1">
      <c r="A19" s="497">
        <v>7</v>
      </c>
      <c r="B19" s="533" t="s">
        <v>399</v>
      </c>
      <c r="C19" s="499" t="s">
        <v>400</v>
      </c>
      <c r="D19" s="529" t="s">
        <v>190</v>
      </c>
      <c r="E19" s="501" t="s">
        <v>389</v>
      </c>
      <c r="F19" s="502" t="s">
        <v>390</v>
      </c>
      <c r="G19" s="506">
        <v>102</v>
      </c>
      <c r="H19" s="506">
        <v>102</v>
      </c>
      <c r="I19" s="504">
        <f>'KL theo HĐ'!F18</f>
        <v>95</v>
      </c>
      <c r="J19" s="505">
        <f t="shared" si="0"/>
        <v>7</v>
      </c>
      <c r="K19" s="506" t="s">
        <v>391</v>
      </c>
      <c r="L19" s="507">
        <v>44034</v>
      </c>
      <c r="M19" s="518"/>
    </row>
    <row r="20" spans="1:14" s="534" customFormat="1" ht="15.9" customHeight="1">
      <c r="A20" s="509">
        <v>8</v>
      </c>
      <c r="B20" s="533" t="s">
        <v>401</v>
      </c>
      <c r="C20" s="535" t="s">
        <v>207</v>
      </c>
      <c r="D20" s="512" t="s">
        <v>190</v>
      </c>
      <c r="E20" s="501" t="s">
        <v>389</v>
      </c>
      <c r="F20" s="502" t="s">
        <v>390</v>
      </c>
      <c r="G20" s="506">
        <v>10</v>
      </c>
      <c r="H20" s="506">
        <v>6</v>
      </c>
      <c r="I20" s="536">
        <v>6</v>
      </c>
      <c r="J20" s="505" t="str">
        <f t="shared" si="0"/>
        <v/>
      </c>
      <c r="K20" s="506"/>
      <c r="L20" s="506"/>
      <c r="M20" s="518"/>
    </row>
    <row r="21" spans="1:14" s="534" customFormat="1" ht="15.9" customHeight="1">
      <c r="A21" s="537"/>
      <c r="B21" s="533" t="s">
        <v>402</v>
      </c>
      <c r="C21" s="535" t="s">
        <v>208</v>
      </c>
      <c r="D21" s="538"/>
      <c r="E21" s="501" t="s">
        <v>403</v>
      </c>
      <c r="F21" s="502" t="s">
        <v>390</v>
      </c>
      <c r="G21" s="506"/>
      <c r="H21" s="506">
        <v>2</v>
      </c>
      <c r="I21" s="536">
        <v>2</v>
      </c>
      <c r="J21" s="505"/>
      <c r="K21" s="506"/>
      <c r="L21" s="506"/>
      <c r="M21" s="518"/>
    </row>
    <row r="22" spans="1:14" s="534" customFormat="1" ht="15.9" customHeight="1">
      <c r="A22" s="497">
        <v>9</v>
      </c>
      <c r="B22" s="533" t="s">
        <v>404</v>
      </c>
      <c r="C22" s="499" t="s">
        <v>200</v>
      </c>
      <c r="D22" s="529" t="s">
        <v>190</v>
      </c>
      <c r="E22" s="501" t="s">
        <v>389</v>
      </c>
      <c r="F22" s="502" t="s">
        <v>390</v>
      </c>
      <c r="G22" s="506">
        <v>52</v>
      </c>
      <c r="H22" s="506">
        <v>52</v>
      </c>
      <c r="I22" s="504">
        <f>'KL theo HĐ'!F21</f>
        <v>52</v>
      </c>
      <c r="J22" s="505" t="str">
        <f>IF(H22&gt;I22,H22-I22,"")</f>
        <v/>
      </c>
      <c r="K22" s="506"/>
      <c r="L22" s="506"/>
      <c r="M22" s="518"/>
    </row>
    <row r="23" spans="1:14" s="534" customFormat="1" ht="15.9" customHeight="1">
      <c r="A23" s="497">
        <v>10</v>
      </c>
      <c r="B23" s="533" t="s">
        <v>405</v>
      </c>
      <c r="C23" s="499" t="s">
        <v>406</v>
      </c>
      <c r="D23" s="529" t="s">
        <v>30</v>
      </c>
      <c r="E23" s="501" t="s">
        <v>407</v>
      </c>
      <c r="F23" s="502" t="s">
        <v>390</v>
      </c>
      <c r="G23" s="506">
        <v>1</v>
      </c>
      <c r="H23" s="506">
        <v>1</v>
      </c>
      <c r="I23" s="504">
        <f>'KL theo HĐ'!F22</f>
        <v>1</v>
      </c>
      <c r="J23" s="505" t="str">
        <f t="shared" ref="J23:J32" si="1">IF(H23&gt;I23,H23-I23,"")</f>
        <v/>
      </c>
      <c r="K23" s="506"/>
      <c r="L23" s="506"/>
      <c r="M23" s="518"/>
    </row>
    <row r="24" spans="1:14" s="534" customFormat="1" ht="15.9" customHeight="1">
      <c r="A24" s="509">
        <v>11</v>
      </c>
      <c r="B24" s="510" t="s">
        <v>408</v>
      </c>
      <c r="C24" s="511" t="s">
        <v>220</v>
      </c>
      <c r="D24" s="512" t="s">
        <v>190</v>
      </c>
      <c r="E24" s="513" t="s">
        <v>407</v>
      </c>
      <c r="F24" s="514" t="s">
        <v>390</v>
      </c>
      <c r="G24" s="515">
        <v>146</v>
      </c>
      <c r="H24" s="515">
        <v>146</v>
      </c>
      <c r="I24" s="516">
        <f>'KL theo HĐ'!F23</f>
        <v>144</v>
      </c>
      <c r="J24" s="517">
        <f t="shared" si="1"/>
        <v>2</v>
      </c>
      <c r="K24" s="506" t="s">
        <v>391</v>
      </c>
      <c r="L24" s="507">
        <v>44034</v>
      </c>
      <c r="M24" s="518"/>
      <c r="N24" s="534">
        <v>1</v>
      </c>
    </row>
    <row r="25" spans="1:14" s="534" customFormat="1" ht="15.9" customHeight="1">
      <c r="A25" s="520"/>
      <c r="B25" s="521"/>
      <c r="C25" s="522"/>
      <c r="D25" s="523"/>
      <c r="E25" s="524"/>
      <c r="F25" s="525"/>
      <c r="G25" s="526"/>
      <c r="H25" s="526"/>
      <c r="I25" s="527"/>
      <c r="J25" s="528"/>
      <c r="K25" s="506" t="s">
        <v>393</v>
      </c>
      <c r="L25" s="507">
        <v>44054</v>
      </c>
      <c r="M25" s="518"/>
    </row>
    <row r="26" spans="1:14" s="534" customFormat="1" ht="15.9" customHeight="1">
      <c r="A26" s="497">
        <v>12</v>
      </c>
      <c r="B26" s="533" t="s">
        <v>409</v>
      </c>
      <c r="C26" s="499" t="s">
        <v>410</v>
      </c>
      <c r="D26" s="529" t="s">
        <v>190</v>
      </c>
      <c r="E26" s="501" t="s">
        <v>403</v>
      </c>
      <c r="F26" s="502" t="s">
        <v>390</v>
      </c>
      <c r="G26" s="506">
        <v>41</v>
      </c>
      <c r="H26" s="518">
        <v>41</v>
      </c>
      <c r="I26" s="504">
        <f>'KL theo HĐ'!F24</f>
        <v>32</v>
      </c>
      <c r="J26" s="505">
        <f t="shared" si="1"/>
        <v>9</v>
      </c>
      <c r="K26" s="506" t="s">
        <v>411</v>
      </c>
      <c r="L26" s="507">
        <v>44034</v>
      </c>
      <c r="M26" s="518"/>
    </row>
    <row r="27" spans="1:14" s="534" customFormat="1" ht="15.9" customHeight="1">
      <c r="A27" s="497">
        <v>13</v>
      </c>
      <c r="B27" s="533" t="s">
        <v>412</v>
      </c>
      <c r="C27" s="499" t="s">
        <v>242</v>
      </c>
      <c r="D27" s="529" t="s">
        <v>190</v>
      </c>
      <c r="E27" s="501" t="s">
        <v>407</v>
      </c>
      <c r="F27" s="502" t="s">
        <v>390</v>
      </c>
      <c r="G27" s="506">
        <v>31</v>
      </c>
      <c r="H27" s="506">
        <v>31</v>
      </c>
      <c r="I27" s="504">
        <f>'KL theo HĐ'!F25</f>
        <v>31</v>
      </c>
      <c r="J27" s="505" t="str">
        <f t="shared" si="1"/>
        <v/>
      </c>
      <c r="K27" s="506"/>
      <c r="L27" s="506"/>
      <c r="M27" s="518"/>
    </row>
    <row r="28" spans="1:14" s="534" customFormat="1" ht="15.9" customHeight="1">
      <c r="A28" s="497">
        <v>14</v>
      </c>
      <c r="B28" s="533" t="s">
        <v>413</v>
      </c>
      <c r="C28" s="499" t="s">
        <v>258</v>
      </c>
      <c r="D28" s="529" t="s">
        <v>259</v>
      </c>
      <c r="E28" s="501" t="s">
        <v>407</v>
      </c>
      <c r="F28" s="502" t="s">
        <v>390</v>
      </c>
      <c r="G28" s="506">
        <v>74</v>
      </c>
      <c r="H28" s="506">
        <v>54</v>
      </c>
      <c r="I28" s="536">
        <f>'KL theo HĐ'!F26</f>
        <v>54</v>
      </c>
      <c r="J28" s="505" t="str">
        <f t="shared" si="1"/>
        <v/>
      </c>
      <c r="K28" s="506"/>
      <c r="L28" s="506"/>
      <c r="M28" s="518"/>
    </row>
    <row r="29" spans="1:14" s="534" customFormat="1" ht="15.9" customHeight="1">
      <c r="A29" s="497">
        <v>15</v>
      </c>
      <c r="B29" s="533" t="s">
        <v>414</v>
      </c>
      <c r="C29" s="535" t="s">
        <v>209</v>
      </c>
      <c r="D29" s="539" t="s">
        <v>190</v>
      </c>
      <c r="E29" s="501" t="s">
        <v>403</v>
      </c>
      <c r="F29" s="502" t="s">
        <v>390</v>
      </c>
      <c r="G29" s="506">
        <v>10</v>
      </c>
      <c r="H29" s="506">
        <v>7</v>
      </c>
      <c r="I29" s="536">
        <v>7</v>
      </c>
      <c r="J29" s="505" t="str">
        <f t="shared" si="1"/>
        <v/>
      </c>
      <c r="K29" s="506"/>
      <c r="L29" s="506"/>
      <c r="M29" s="518"/>
    </row>
    <row r="30" spans="1:14" s="534" customFormat="1" ht="15.9" customHeight="1">
      <c r="A30" s="497"/>
      <c r="B30" s="533" t="s">
        <v>415</v>
      </c>
      <c r="C30" s="535" t="s">
        <v>210</v>
      </c>
      <c r="D30" s="539" t="s">
        <v>190</v>
      </c>
      <c r="E30" s="501" t="s">
        <v>407</v>
      </c>
      <c r="F30" s="502" t="s">
        <v>390</v>
      </c>
      <c r="G30" s="506" t="s">
        <v>416</v>
      </c>
      <c r="H30" s="506">
        <v>1</v>
      </c>
      <c r="I30" s="536">
        <v>1</v>
      </c>
      <c r="J30" s="505"/>
      <c r="K30" s="506"/>
      <c r="L30" s="506"/>
      <c r="M30" s="518"/>
    </row>
    <row r="31" spans="1:14" s="534" customFormat="1" ht="15.9" customHeight="1">
      <c r="A31" s="497">
        <v>16</v>
      </c>
      <c r="B31" s="533" t="s">
        <v>417</v>
      </c>
      <c r="C31" s="499" t="s">
        <v>196</v>
      </c>
      <c r="D31" s="529" t="s">
        <v>197</v>
      </c>
      <c r="E31" s="501" t="s">
        <v>407</v>
      </c>
      <c r="F31" s="502" t="s">
        <v>390</v>
      </c>
      <c r="G31" s="506">
        <v>19</v>
      </c>
      <c r="H31" s="506">
        <v>19</v>
      </c>
      <c r="I31" s="504">
        <f>'KL theo HĐ'!F29</f>
        <v>19</v>
      </c>
      <c r="J31" s="505" t="str">
        <f t="shared" si="1"/>
        <v/>
      </c>
      <c r="K31" s="506"/>
      <c r="L31" s="506"/>
      <c r="M31" s="518"/>
    </row>
    <row r="32" spans="1:14" s="534" customFormat="1" ht="15.9" customHeight="1">
      <c r="A32" s="497">
        <v>17</v>
      </c>
      <c r="B32" s="533" t="s">
        <v>418</v>
      </c>
      <c r="C32" s="499" t="s">
        <v>241</v>
      </c>
      <c r="D32" s="529" t="s">
        <v>212</v>
      </c>
      <c r="E32" s="501" t="s">
        <v>407</v>
      </c>
      <c r="F32" s="502" t="s">
        <v>390</v>
      </c>
      <c r="G32" s="506">
        <v>31</v>
      </c>
      <c r="H32" s="506">
        <v>31</v>
      </c>
      <c r="I32" s="504">
        <f>'KL theo HĐ'!F30</f>
        <v>31</v>
      </c>
      <c r="J32" s="505" t="str">
        <f t="shared" si="1"/>
        <v/>
      </c>
      <c r="K32" s="506"/>
      <c r="L32" s="506"/>
      <c r="M32" s="518"/>
    </row>
    <row r="33" spans="1:13" ht="6.75" customHeight="1">
      <c r="A33" s="421"/>
      <c r="B33" s="421"/>
      <c r="C33" s="422"/>
      <c r="D33" s="421"/>
      <c r="E33" s="423"/>
      <c r="F33" s="424"/>
      <c r="G33" s="425"/>
      <c r="H33" s="426"/>
    </row>
    <row r="34" spans="1:13" s="540" customFormat="1">
      <c r="A34" s="427"/>
      <c r="B34" s="428"/>
      <c r="C34" s="428" t="s">
        <v>312</v>
      </c>
      <c r="H34" s="430" t="s">
        <v>45</v>
      </c>
      <c r="I34" s="430"/>
      <c r="J34" s="430"/>
      <c r="K34" s="430"/>
      <c r="L34" s="474"/>
      <c r="M34" s="474"/>
    </row>
    <row r="35" spans="1:13" s="540" customFormat="1">
      <c r="A35" s="427"/>
      <c r="B35" s="428"/>
      <c r="C35" s="428" t="s">
        <v>313</v>
      </c>
      <c r="H35" s="427"/>
      <c r="I35" s="427"/>
      <c r="J35" s="427"/>
      <c r="K35" s="427"/>
      <c r="L35" s="474"/>
      <c r="M35" s="474"/>
    </row>
    <row r="36" spans="1:13" s="540" customFormat="1">
      <c r="A36" s="427"/>
      <c r="B36" s="428"/>
      <c r="C36" s="428" t="s">
        <v>419</v>
      </c>
      <c r="H36" s="427"/>
      <c r="I36" s="427"/>
      <c r="J36" s="427"/>
      <c r="K36" s="427"/>
      <c r="L36" s="474"/>
      <c r="M36" s="474"/>
    </row>
    <row r="37" spans="1:13" s="540" customFormat="1">
      <c r="A37" s="427"/>
      <c r="B37" s="428"/>
      <c r="C37" s="428" t="s">
        <v>315</v>
      </c>
      <c r="H37" s="429"/>
      <c r="I37" s="427"/>
      <c r="J37" s="427"/>
      <c r="K37" s="427"/>
      <c r="L37" s="474"/>
      <c r="M37" s="474"/>
    </row>
    <row r="38" spans="1:13" s="540" customFormat="1">
      <c r="A38" s="427"/>
      <c r="B38" s="428"/>
      <c r="C38" s="428" t="s">
        <v>316</v>
      </c>
      <c r="H38" s="429"/>
      <c r="I38" s="427"/>
      <c r="J38" s="427"/>
      <c r="K38" s="427"/>
      <c r="L38" s="474"/>
      <c r="M38" s="474"/>
    </row>
    <row r="39" spans="1:13" s="540" customFormat="1">
      <c r="A39" s="427"/>
      <c r="B39" s="428"/>
      <c r="C39" s="428" t="s">
        <v>317</v>
      </c>
      <c r="H39" s="430" t="s">
        <v>46</v>
      </c>
      <c r="I39" s="430"/>
      <c r="J39" s="430"/>
      <c r="K39" s="430"/>
      <c r="L39" s="474"/>
      <c r="M39" s="474"/>
    </row>
    <row r="40" spans="1:13" s="540" customFormat="1" ht="4.5" customHeight="1">
      <c r="A40" s="427"/>
      <c r="B40" s="428"/>
      <c r="C40" s="428"/>
      <c r="H40" s="427"/>
      <c r="I40" s="427"/>
      <c r="J40" s="427"/>
      <c r="K40" s="427"/>
      <c r="L40" s="474"/>
      <c r="M40" s="474"/>
    </row>
    <row r="41" spans="1:13" s="540" customFormat="1">
      <c r="A41" s="427"/>
      <c r="B41" s="427"/>
      <c r="C41" s="427" t="s">
        <v>318</v>
      </c>
      <c r="H41" s="430" t="s">
        <v>319</v>
      </c>
      <c r="I41" s="430"/>
      <c r="J41" s="430"/>
      <c r="K41" s="430"/>
      <c r="L41" s="474"/>
      <c r="M41" s="474"/>
    </row>
    <row r="42" spans="1:13" s="540" customFormat="1">
      <c r="A42" s="427"/>
      <c r="B42" s="427"/>
      <c r="C42" s="427" t="s">
        <v>320</v>
      </c>
      <c r="H42" s="430" t="s">
        <v>51</v>
      </c>
      <c r="I42" s="430"/>
      <c r="J42" s="430"/>
      <c r="K42" s="430"/>
      <c r="L42" s="474"/>
      <c r="M42" s="474"/>
    </row>
    <row r="43" spans="1:13" s="540" customFormat="1">
      <c r="A43" s="427"/>
      <c r="B43" s="427"/>
      <c r="C43" s="427" t="s">
        <v>52</v>
      </c>
      <c r="H43" s="430" t="s">
        <v>52</v>
      </c>
      <c r="I43" s="430"/>
      <c r="J43" s="430"/>
      <c r="K43" s="430"/>
      <c r="L43" s="474"/>
      <c r="M43" s="474"/>
    </row>
    <row r="44" spans="1:13" s="540" customFormat="1">
      <c r="A44" s="427"/>
      <c r="B44" s="427"/>
      <c r="C44" s="427"/>
      <c r="H44" s="429"/>
      <c r="I44" s="427"/>
      <c r="J44" s="427"/>
      <c r="K44" s="427"/>
      <c r="L44" s="474"/>
      <c r="M44" s="474"/>
    </row>
    <row r="45" spans="1:13" s="540" customFormat="1" ht="2.25" customHeight="1">
      <c r="A45" s="427"/>
      <c r="B45" s="427"/>
      <c r="C45" s="427"/>
      <c r="H45" s="429"/>
      <c r="I45" s="427"/>
      <c r="J45" s="427"/>
      <c r="K45" s="427"/>
      <c r="L45" s="474"/>
      <c r="M45" s="474"/>
    </row>
    <row r="46" spans="1:13" s="540" customFormat="1" ht="12" customHeight="1">
      <c r="A46" s="427"/>
      <c r="B46" s="427"/>
      <c r="C46" s="427"/>
      <c r="H46" s="429"/>
      <c r="I46" s="427"/>
      <c r="J46" s="427"/>
      <c r="K46" s="427"/>
      <c r="L46" s="474"/>
      <c r="M46" s="474"/>
    </row>
    <row r="47" spans="1:13" s="540" customFormat="1" ht="20.25" customHeight="1">
      <c r="A47" s="427"/>
      <c r="B47" s="427"/>
      <c r="C47" s="427"/>
      <c r="H47" s="429"/>
      <c r="I47" s="427"/>
      <c r="J47" s="427"/>
      <c r="K47" s="427"/>
      <c r="L47" s="474"/>
      <c r="M47" s="474"/>
    </row>
    <row r="48" spans="1:13" s="540" customFormat="1">
      <c r="A48" s="427"/>
      <c r="B48" s="427"/>
      <c r="C48" s="427" t="s">
        <v>321</v>
      </c>
      <c r="H48" s="430" t="s">
        <v>54</v>
      </c>
      <c r="I48" s="430"/>
      <c r="J48" s="430"/>
      <c r="K48" s="430"/>
      <c r="L48" s="474"/>
      <c r="M48" s="474"/>
    </row>
    <row r="49" spans="1:13" s="540" customFormat="1">
      <c r="A49" s="542"/>
      <c r="B49" s="543"/>
      <c r="C49" s="543"/>
      <c r="D49" s="542"/>
      <c r="E49" s="544"/>
      <c r="F49" s="542"/>
      <c r="G49" s="542"/>
      <c r="H49" s="542"/>
      <c r="J49" s="541"/>
      <c r="K49" s="474"/>
      <c r="L49" s="474"/>
      <c r="M49" s="474"/>
    </row>
  </sheetData>
  <autoFilter ref="A9:N32" xr:uid="{EEE1083B-1E86-4FE6-9AE5-6767042258A3}"/>
  <mergeCells count="49">
    <mergeCell ref="H41:K41"/>
    <mergeCell ref="H42:K42"/>
    <mergeCell ref="H43:K43"/>
    <mergeCell ref="H48:K48"/>
    <mergeCell ref="B49:C49"/>
    <mergeCell ref="G24:G25"/>
    <mergeCell ref="H24:H25"/>
    <mergeCell ref="I24:I25"/>
    <mergeCell ref="J24:J25"/>
    <mergeCell ref="H34:K34"/>
    <mergeCell ref="H39:K39"/>
    <mergeCell ref="A24:A25"/>
    <mergeCell ref="B24:B25"/>
    <mergeCell ref="C24:C25"/>
    <mergeCell ref="D24:D25"/>
    <mergeCell ref="E24:E25"/>
    <mergeCell ref="F24:F25"/>
    <mergeCell ref="J11:J12"/>
    <mergeCell ref="A14:A15"/>
    <mergeCell ref="C17:C18"/>
    <mergeCell ref="G17:G18"/>
    <mergeCell ref="A20:A21"/>
    <mergeCell ref="D20:D21"/>
    <mergeCell ref="M8:M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4:M4"/>
    <mergeCell ref="A5:M5"/>
    <mergeCell ref="A6:M6"/>
    <mergeCell ref="A8:A9"/>
    <mergeCell ref="B8:B9"/>
    <mergeCell ref="C8:C9"/>
    <mergeCell ref="D8:D9"/>
    <mergeCell ref="E8:F8"/>
    <mergeCell ref="G8:J8"/>
    <mergeCell ref="K8:L8"/>
    <mergeCell ref="B1:C1"/>
    <mergeCell ref="H1:L1"/>
    <mergeCell ref="B2:C2"/>
    <mergeCell ref="H2:L2"/>
    <mergeCell ref="C3:D3"/>
    <mergeCell ref="H3:L3"/>
  </mergeCells>
  <printOptions horizontalCentered="1"/>
  <pageMargins left="0.11811023622047245" right="0.11811023622047245" top="0.19685039370078741" bottom="0.19685039370078741" header="0.31496062992125984" footer="0.15748031496062992"/>
  <pageSetup paperSize="9" scale="75" orientation="landscape" blackAndWhite="1" r:id="rId1"/>
  <headerFooter>
    <oddFooter>&amp;RTrang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2639-E491-4D8C-84C2-181426953206}">
  <sheetPr>
    <tabColor rgb="FF0000FF"/>
  </sheetPr>
  <dimension ref="A1:T111"/>
  <sheetViews>
    <sheetView showZeros="0" zoomScale="90" zoomScaleNormal="90" workbookViewId="0">
      <pane xSplit="4" ySplit="6" topLeftCell="E13" activePane="bottomRight" state="frozen"/>
      <selection activeCell="D23" sqref="D23"/>
      <selection pane="topRight" activeCell="D23" sqref="D23"/>
      <selection pane="bottomLeft" activeCell="D23" sqref="D23"/>
      <selection pane="bottomRight" activeCell="M15" sqref="M15"/>
    </sheetView>
  </sheetViews>
  <sheetFormatPr defaultColWidth="10.88671875" defaultRowHeight="15.6" outlineLevelCol="1"/>
  <cols>
    <col min="1" max="1" width="11.77734375" style="1" customWidth="1" outlineLevel="1"/>
    <col min="2" max="2" width="15.44140625" style="1" customWidth="1" outlineLevel="1"/>
    <col min="3" max="3" width="6.33203125" style="48" customWidth="1"/>
    <col min="4" max="4" width="31.6640625" style="49" customWidth="1"/>
    <col min="5" max="5" width="10.88671875" style="48"/>
    <col min="6" max="7" width="10.77734375" style="48" customWidth="1"/>
    <col min="8" max="8" width="9.6640625" style="48" customWidth="1"/>
    <col min="9" max="10" width="10" style="1" hidden="1" customWidth="1"/>
    <col min="11" max="11" width="16.44140625" style="1" customWidth="1"/>
    <col min="12" max="12" width="12.6640625" style="1" customWidth="1"/>
    <col min="13" max="13" width="8.6640625" style="48" customWidth="1"/>
    <col min="14" max="14" width="12.77734375" style="48" customWidth="1"/>
    <col min="15" max="15" width="13.6640625" style="48" customWidth="1"/>
    <col min="16" max="16" width="16.109375" style="1" customWidth="1"/>
    <col min="17" max="17" width="16.88671875" style="1" customWidth="1"/>
    <col min="18" max="18" width="13.5546875" style="1" customWidth="1"/>
    <col min="19" max="19" width="12.109375" style="1" customWidth="1"/>
    <col min="20" max="20" width="25.21875" style="1" customWidth="1"/>
    <col min="21" max="16384" width="10.88671875" style="1"/>
  </cols>
  <sheetData>
    <row r="1" spans="1:20" ht="16.2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C2" s="3" t="str">
        <f>KLTang!C2</f>
        <v>Công trình: Sửa chữa đường dây trung thế huyện Cẩm Mỹ năm 2020.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ht="16.2">
      <c r="C3" s="4" t="str">
        <f>KLTang!C3</f>
        <v>Địa điểm: Huyện Cẩm Mỹ - Tỉnh Đồng Nai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ht="16.2"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ht="24" customHeight="1">
      <c r="B5" s="7"/>
      <c r="C5" s="8" t="s">
        <v>1</v>
      </c>
      <c r="D5" s="9" t="s">
        <v>2</v>
      </c>
      <c r="E5" s="9" t="s">
        <v>3</v>
      </c>
      <c r="F5" s="8" t="s">
        <v>4</v>
      </c>
      <c r="G5" s="8"/>
      <c r="H5" s="8"/>
      <c r="I5" s="10"/>
      <c r="J5" s="10"/>
      <c r="K5" s="8" t="s">
        <v>5</v>
      </c>
      <c r="L5" s="11"/>
      <c r="M5" s="8" t="s">
        <v>6</v>
      </c>
      <c r="N5" s="8"/>
      <c r="O5" s="8"/>
      <c r="P5" s="8" t="s">
        <v>7</v>
      </c>
      <c r="Q5" s="8" t="s">
        <v>8</v>
      </c>
      <c r="R5" s="8"/>
      <c r="S5" s="8" t="s">
        <v>9</v>
      </c>
      <c r="T5" s="7">
        <v>1</v>
      </c>
    </row>
    <row r="6" spans="1:20" ht="31.2">
      <c r="B6" s="7"/>
      <c r="C6" s="8"/>
      <c r="D6" s="9"/>
      <c r="E6" s="8"/>
      <c r="F6" s="12" t="s">
        <v>10</v>
      </c>
      <c r="G6" s="12" t="s">
        <v>11</v>
      </c>
      <c r="H6" s="12" t="s">
        <v>12</v>
      </c>
      <c r="I6" s="12"/>
      <c r="J6" s="12"/>
      <c r="K6" s="10" t="s">
        <v>13</v>
      </c>
      <c r="L6" s="13" t="s">
        <v>14</v>
      </c>
      <c r="M6" s="12" t="s">
        <v>15</v>
      </c>
      <c r="N6" s="10" t="s">
        <v>13</v>
      </c>
      <c r="O6" s="10" t="s">
        <v>14</v>
      </c>
      <c r="P6" s="8"/>
      <c r="Q6" s="10" t="s">
        <v>16</v>
      </c>
      <c r="R6" s="10" t="s">
        <v>17</v>
      </c>
      <c r="S6" s="8"/>
      <c r="T6" s="7">
        <v>1</v>
      </c>
    </row>
    <row r="7" spans="1:20" ht="48.6" customHeight="1">
      <c r="A7" s="1" t="str">
        <f>COUNTIF($B$6:B7,B7)&amp;B7</f>
        <v>1T12540</v>
      </c>
      <c r="B7" s="7" t="s">
        <v>18</v>
      </c>
      <c r="C7" s="14">
        <f>ROW()-6</f>
        <v>1</v>
      </c>
      <c r="D7" s="15" t="s">
        <v>196</v>
      </c>
      <c r="E7" s="14" t="s">
        <v>197</v>
      </c>
      <c r="F7" s="14">
        <v>96</v>
      </c>
      <c r="G7" s="14">
        <v>96</v>
      </c>
      <c r="H7" s="14">
        <v>95</v>
      </c>
      <c r="I7" s="16"/>
      <c r="J7" s="16"/>
      <c r="K7" s="17" t="s">
        <v>447</v>
      </c>
      <c r="L7" s="18">
        <v>43705</v>
      </c>
      <c r="M7" s="19">
        <f>G7-H7</f>
        <v>1</v>
      </c>
      <c r="N7" s="20"/>
      <c r="O7" s="20"/>
      <c r="P7" s="21">
        <v>5910000</v>
      </c>
      <c r="Q7" s="22">
        <f t="shared" ref="Q7:Q35" si="0">ROUND(P7*H7,0)</f>
        <v>561450000</v>
      </c>
      <c r="R7" s="22">
        <f>ROUND(M7*P7,0)</f>
        <v>5910000</v>
      </c>
      <c r="S7" s="23"/>
      <c r="T7" s="7"/>
    </row>
    <row r="8" spans="1:20" ht="48.6" customHeight="1">
      <c r="A8" s="1" t="str">
        <f>COUNTIF($B$6:B8,B8)&amp;B8</f>
        <v>1T14</v>
      </c>
      <c r="B8" s="7" t="s">
        <v>19</v>
      </c>
      <c r="C8" s="14">
        <f t="shared" ref="C8:C35" si="1">ROW()-6</f>
        <v>2</v>
      </c>
      <c r="D8" s="15" t="s">
        <v>440</v>
      </c>
      <c r="E8" s="14" t="s">
        <v>197</v>
      </c>
      <c r="F8" s="14">
        <v>15</v>
      </c>
      <c r="G8" s="14">
        <v>15</v>
      </c>
      <c r="H8" s="14">
        <v>15</v>
      </c>
      <c r="I8" s="16"/>
      <c r="J8" s="16"/>
      <c r="K8" s="17" t="s">
        <v>447</v>
      </c>
      <c r="L8" s="18">
        <v>43705</v>
      </c>
      <c r="M8" s="19">
        <f t="shared" ref="M8:M35" si="2">G8-H8</f>
        <v>0</v>
      </c>
      <c r="N8" s="20"/>
      <c r="O8" s="20"/>
      <c r="P8" s="21">
        <v>8360000</v>
      </c>
      <c r="Q8" s="22">
        <f t="shared" si="0"/>
        <v>125400000</v>
      </c>
      <c r="R8" s="22">
        <f t="shared" ref="R8:R35" si="3">ROUND(M8*P8,0)</f>
        <v>0</v>
      </c>
      <c r="S8" s="23"/>
      <c r="T8" s="7"/>
    </row>
    <row r="9" spans="1:20" s="27" customFormat="1" ht="48.6" customHeight="1">
      <c r="A9" s="1" t="str">
        <f>COUNTIF($B$6:B9,B9)&amp;B9</f>
        <v>1SD</v>
      </c>
      <c r="B9" s="7" t="s">
        <v>20</v>
      </c>
      <c r="C9" s="14">
        <f t="shared" si="1"/>
        <v>3</v>
      </c>
      <c r="D9" s="15" t="s">
        <v>441</v>
      </c>
      <c r="E9" s="14" t="s">
        <v>190</v>
      </c>
      <c r="F9" s="14">
        <v>591</v>
      </c>
      <c r="G9" s="14">
        <v>591</v>
      </c>
      <c r="H9" s="14">
        <v>583</v>
      </c>
      <c r="I9" s="24"/>
      <c r="J9" s="24"/>
      <c r="K9" s="17" t="s">
        <v>444</v>
      </c>
      <c r="L9" s="18">
        <v>43727</v>
      </c>
      <c r="M9" s="19">
        <f t="shared" si="2"/>
        <v>8</v>
      </c>
      <c r="N9" s="25"/>
      <c r="O9" s="25"/>
      <c r="P9" s="21">
        <v>198000</v>
      </c>
      <c r="Q9" s="22">
        <f t="shared" si="0"/>
        <v>115434000</v>
      </c>
      <c r="R9" s="22">
        <f t="shared" si="3"/>
        <v>1584000</v>
      </c>
      <c r="S9" s="26"/>
      <c r="T9" s="7"/>
    </row>
    <row r="10" spans="1:20" ht="48.6" customHeight="1">
      <c r="A10" s="1" t="str">
        <f>COUNTIF($B$6:B23,B10)&amp;B10</f>
        <v>1CSD</v>
      </c>
      <c r="B10" s="7" t="s">
        <v>21</v>
      </c>
      <c r="C10" s="14">
        <f t="shared" si="1"/>
        <v>4</v>
      </c>
      <c r="D10" s="15" t="s">
        <v>442</v>
      </c>
      <c r="E10" s="14" t="s">
        <v>190</v>
      </c>
      <c r="F10" s="14">
        <v>591</v>
      </c>
      <c r="G10" s="14">
        <v>591</v>
      </c>
      <c r="H10" s="14">
        <v>583</v>
      </c>
      <c r="I10" s="16"/>
      <c r="J10" s="16"/>
      <c r="K10" s="17" t="s">
        <v>444</v>
      </c>
      <c r="L10" s="18">
        <v>43727</v>
      </c>
      <c r="M10" s="19">
        <f t="shared" si="2"/>
        <v>8</v>
      </c>
      <c r="N10" s="20"/>
      <c r="O10" s="20"/>
      <c r="P10" s="21">
        <v>66000</v>
      </c>
      <c r="Q10" s="22">
        <f t="shared" si="0"/>
        <v>38478000</v>
      </c>
      <c r="R10" s="22">
        <f t="shared" si="3"/>
        <v>528000</v>
      </c>
      <c r="S10" s="23"/>
      <c r="T10" s="7"/>
    </row>
    <row r="11" spans="1:20" ht="48.6" customHeight="1">
      <c r="A11" s="1" t="str">
        <f>COUNTIF($B$6:B11,B11)&amp;B11</f>
        <v>1Stply</v>
      </c>
      <c r="B11" s="7" t="s">
        <v>22</v>
      </c>
      <c r="C11" s="14">
        <f t="shared" si="1"/>
        <v>5</v>
      </c>
      <c r="D11" s="15" t="s">
        <v>434</v>
      </c>
      <c r="E11" s="14" t="s">
        <v>190</v>
      </c>
      <c r="F11" s="14">
        <v>93</v>
      </c>
      <c r="G11" s="14">
        <v>93</v>
      </c>
      <c r="H11" s="14">
        <v>87</v>
      </c>
      <c r="I11" s="16"/>
      <c r="J11" s="16"/>
      <c r="K11" s="17" t="s">
        <v>444</v>
      </c>
      <c r="L11" s="18">
        <v>43727</v>
      </c>
      <c r="M11" s="19">
        <f t="shared" si="2"/>
        <v>6</v>
      </c>
      <c r="N11" s="20"/>
      <c r="O11" s="20"/>
      <c r="P11" s="21">
        <v>235000</v>
      </c>
      <c r="Q11" s="22">
        <f t="shared" si="0"/>
        <v>20445000</v>
      </c>
      <c r="R11" s="22">
        <f t="shared" si="3"/>
        <v>1410000</v>
      </c>
      <c r="S11" s="23"/>
      <c r="T11" s="7"/>
    </row>
    <row r="12" spans="1:20" ht="48.6" customHeight="1">
      <c r="A12" s="1" t="str">
        <f>COUNTIF($B$6:B35,B12)&amp;B12</f>
        <v>1soc</v>
      </c>
      <c r="B12" s="7" t="s">
        <v>23</v>
      </c>
      <c r="C12" s="14">
        <f t="shared" si="1"/>
        <v>6</v>
      </c>
      <c r="D12" s="15" t="e">
        <f t="shared" ref="D7:D33" si="4">VLOOKUP(B12,DonGia,3,0)</f>
        <v>#NAME?</v>
      </c>
      <c r="E12" s="14" t="s">
        <v>190</v>
      </c>
      <c r="F12" s="14">
        <v>163</v>
      </c>
      <c r="G12" s="14">
        <v>165</v>
      </c>
      <c r="H12" s="14">
        <v>160</v>
      </c>
      <c r="I12" s="16"/>
      <c r="J12" s="16"/>
      <c r="K12" s="17" t="s">
        <v>444</v>
      </c>
      <c r="L12" s="18">
        <v>43727</v>
      </c>
      <c r="M12" s="19">
        <f t="shared" si="2"/>
        <v>5</v>
      </c>
      <c r="N12" s="20"/>
      <c r="O12" s="20"/>
      <c r="P12" s="21">
        <v>20000</v>
      </c>
      <c r="Q12" s="22">
        <f t="shared" si="0"/>
        <v>3200000</v>
      </c>
      <c r="R12" s="22">
        <f t="shared" si="3"/>
        <v>100000</v>
      </c>
      <c r="S12" s="23"/>
      <c r="T12" s="7"/>
    </row>
    <row r="13" spans="1:20" ht="48.6" customHeight="1">
      <c r="A13" s="1" t="str">
        <f>COUNTIF($B$6:B13,B13)&amp;B13</f>
        <v>1XLPE150</v>
      </c>
      <c r="B13" s="7" t="s">
        <v>24</v>
      </c>
      <c r="C13" s="14">
        <f t="shared" si="1"/>
        <v>7</v>
      </c>
      <c r="D13" s="15" t="e">
        <f t="shared" si="4"/>
        <v>#NAME?</v>
      </c>
      <c r="E13" s="14" t="s">
        <v>219</v>
      </c>
      <c r="F13" s="14">
        <v>24</v>
      </c>
      <c r="G13" s="14">
        <v>24</v>
      </c>
      <c r="H13" s="14">
        <v>24</v>
      </c>
      <c r="I13" s="16"/>
      <c r="J13" s="16"/>
      <c r="K13" s="17" t="s">
        <v>445</v>
      </c>
      <c r="L13" s="18">
        <v>43739</v>
      </c>
      <c r="M13" s="19">
        <f t="shared" si="2"/>
        <v>0</v>
      </c>
      <c r="N13" s="20"/>
      <c r="O13" s="20"/>
      <c r="P13" s="21">
        <v>480490</v>
      </c>
      <c r="Q13" s="22">
        <f t="shared" si="0"/>
        <v>11531760</v>
      </c>
      <c r="R13" s="22">
        <f t="shared" si="3"/>
        <v>0</v>
      </c>
      <c r="S13" s="23"/>
      <c r="T13" s="7"/>
    </row>
    <row r="14" spans="1:20" ht="48.6" customHeight="1">
      <c r="A14" s="1" t="str">
        <f>COUNTIF($B$6:B14,B14)&amp;B14</f>
        <v>1XLPE25</v>
      </c>
      <c r="B14" s="7" t="s">
        <v>25</v>
      </c>
      <c r="C14" s="14">
        <f t="shared" si="1"/>
        <v>8</v>
      </c>
      <c r="D14" s="15" t="e">
        <f t="shared" si="4"/>
        <v>#NAME?</v>
      </c>
      <c r="E14" s="14" t="s">
        <v>219</v>
      </c>
      <c r="F14" s="14">
        <v>59</v>
      </c>
      <c r="G14" s="14">
        <v>59</v>
      </c>
      <c r="H14" s="14">
        <v>59</v>
      </c>
      <c r="I14" s="16"/>
      <c r="J14" s="16"/>
      <c r="K14" s="17" t="s">
        <v>445</v>
      </c>
      <c r="L14" s="18">
        <v>43739</v>
      </c>
      <c r="M14" s="19">
        <f t="shared" si="2"/>
        <v>0</v>
      </c>
      <c r="N14" s="20"/>
      <c r="O14" s="20"/>
      <c r="P14" s="21">
        <v>87180</v>
      </c>
      <c r="Q14" s="22">
        <f t="shared" si="0"/>
        <v>5143620</v>
      </c>
      <c r="R14" s="22">
        <f t="shared" si="3"/>
        <v>0</v>
      </c>
      <c r="S14" s="23"/>
      <c r="T14" s="7"/>
    </row>
    <row r="15" spans="1:20" ht="48.6" customHeight="1">
      <c r="A15" s="1" t="str">
        <f>COUNTIF($B$6:B15,B15)&amp;B15</f>
        <v>1m25</v>
      </c>
      <c r="B15" s="7" t="s">
        <v>26</v>
      </c>
      <c r="C15" s="14">
        <f t="shared" si="1"/>
        <v>9</v>
      </c>
      <c r="D15" s="15" t="e">
        <f t="shared" si="4"/>
        <v>#NAME?</v>
      </c>
      <c r="E15" s="14" t="s">
        <v>30</v>
      </c>
      <c r="F15" s="14">
        <v>62.3</v>
      </c>
      <c r="G15" s="14">
        <v>63</v>
      </c>
      <c r="H15" s="14">
        <v>58.75</v>
      </c>
      <c r="I15" s="16"/>
      <c r="J15" s="16"/>
      <c r="K15" s="17" t="s">
        <v>445</v>
      </c>
      <c r="L15" s="18">
        <v>43739</v>
      </c>
      <c r="M15" s="19">
        <f t="shared" si="2"/>
        <v>4.25</v>
      </c>
      <c r="N15" s="20"/>
      <c r="O15" s="20"/>
      <c r="P15" s="21">
        <v>219600</v>
      </c>
      <c r="Q15" s="22">
        <f t="shared" si="0"/>
        <v>12901500</v>
      </c>
      <c r="R15" s="22">
        <f t="shared" si="3"/>
        <v>933300</v>
      </c>
      <c r="S15" s="23"/>
      <c r="T15" s="7"/>
    </row>
    <row r="16" spans="1:20" ht="48.6" customHeight="1">
      <c r="A16" s="1" t="str">
        <f>COUNTIF($B$6:B16,B16)&amp;B16</f>
        <v>1AC120</v>
      </c>
      <c r="B16" s="7" t="s">
        <v>27</v>
      </c>
      <c r="C16" s="14">
        <f t="shared" si="1"/>
        <v>10</v>
      </c>
      <c r="D16" s="15" t="e">
        <f t="shared" si="4"/>
        <v>#NAME?</v>
      </c>
      <c r="E16" s="14" t="s">
        <v>30</v>
      </c>
      <c r="F16" s="28">
        <v>3044.9</v>
      </c>
      <c r="G16" s="29">
        <v>266</v>
      </c>
      <c r="H16" s="29">
        <f>G16</f>
        <v>266</v>
      </c>
      <c r="I16" s="16"/>
      <c r="J16" s="16"/>
      <c r="K16" s="17" t="s">
        <v>443</v>
      </c>
      <c r="L16" s="18">
        <v>43705</v>
      </c>
      <c r="M16" s="19">
        <f t="shared" si="2"/>
        <v>0</v>
      </c>
      <c r="N16" s="20"/>
      <c r="O16" s="20"/>
      <c r="P16" s="21">
        <v>63802.07</v>
      </c>
      <c r="Q16" s="22">
        <f t="shared" si="0"/>
        <v>16971351</v>
      </c>
      <c r="R16" s="22">
        <f t="shared" si="3"/>
        <v>0</v>
      </c>
      <c r="S16" s="23"/>
      <c r="T16" s="7"/>
    </row>
    <row r="17" spans="1:20" ht="48.6" customHeight="1">
      <c r="A17" s="1" t="str">
        <f>COUNTIF($B$6:B17,B17)&amp;B17</f>
        <v>2AC120</v>
      </c>
      <c r="B17" s="7" t="s">
        <v>27</v>
      </c>
      <c r="C17" s="14">
        <f t="shared" si="1"/>
        <v>11</v>
      </c>
      <c r="D17" s="15" t="s">
        <v>436</v>
      </c>
      <c r="E17" s="14" t="s">
        <v>30</v>
      </c>
      <c r="F17" s="28"/>
      <c r="G17" s="29">
        <v>34.9</v>
      </c>
      <c r="H17" s="29">
        <f>G17</f>
        <v>34.9</v>
      </c>
      <c r="I17" s="16"/>
      <c r="J17" s="16"/>
      <c r="K17" s="17" t="s">
        <v>448</v>
      </c>
      <c r="L17" s="18">
        <v>43776</v>
      </c>
      <c r="M17" s="19">
        <f t="shared" si="2"/>
        <v>0</v>
      </c>
      <c r="N17" s="20"/>
      <c r="O17" s="20"/>
      <c r="P17" s="21">
        <v>48785.6446</v>
      </c>
      <c r="Q17" s="22">
        <f t="shared" si="0"/>
        <v>1702619</v>
      </c>
      <c r="R17" s="22">
        <f t="shared" si="3"/>
        <v>0</v>
      </c>
      <c r="S17" s="23"/>
      <c r="T17" s="7"/>
    </row>
    <row r="18" spans="1:20" ht="48.6" customHeight="1">
      <c r="A18" s="1" t="str">
        <f>COUNTIF($B$6:B18,B18)&amp;B18</f>
        <v>3AC120</v>
      </c>
      <c r="B18" s="7" t="s">
        <v>27</v>
      </c>
      <c r="C18" s="14">
        <f t="shared" si="1"/>
        <v>12</v>
      </c>
      <c r="D18" s="15" t="s">
        <v>436</v>
      </c>
      <c r="E18" s="14" t="s">
        <v>30</v>
      </c>
      <c r="F18" s="28"/>
      <c r="G18" s="29">
        <v>2744</v>
      </c>
      <c r="H18" s="29">
        <f>G18</f>
        <v>2744</v>
      </c>
      <c r="I18" s="16"/>
      <c r="J18" s="16"/>
      <c r="K18" s="17" t="s">
        <v>445</v>
      </c>
      <c r="L18" s="18">
        <v>43739</v>
      </c>
      <c r="M18" s="19">
        <f t="shared" si="2"/>
        <v>0</v>
      </c>
      <c r="N18" s="20"/>
      <c r="O18" s="20"/>
      <c r="P18" s="21">
        <v>69630</v>
      </c>
      <c r="Q18" s="22">
        <f t="shared" si="0"/>
        <v>191064720</v>
      </c>
      <c r="R18" s="22">
        <f t="shared" si="3"/>
        <v>0</v>
      </c>
      <c r="S18" s="23"/>
      <c r="T18" s="7"/>
    </row>
    <row r="19" spans="1:20" s="27" customFormat="1" ht="48.6" customHeight="1">
      <c r="A19" s="1" t="str">
        <f>COUNTIF($B$6:B19,B19)&amp;B19</f>
        <v>1XLPE185A</v>
      </c>
      <c r="B19" s="7" t="s">
        <v>28</v>
      </c>
      <c r="C19" s="14">
        <f t="shared" si="1"/>
        <v>13</v>
      </c>
      <c r="D19" s="15" t="e">
        <f t="shared" si="4"/>
        <v>#NAME?</v>
      </c>
      <c r="E19" s="14" t="s">
        <v>219</v>
      </c>
      <c r="F19" s="30">
        <v>19394</v>
      </c>
      <c r="G19" s="31" t="e">
        <f t="shared" ref="G7:G33" si="5">VLOOKUP(A19,PhieuXuat,19,0)</f>
        <v>#NAME?</v>
      </c>
      <c r="H19" s="31" t="e">
        <f>G19</f>
        <v>#NAME?</v>
      </c>
      <c r="I19" s="24"/>
      <c r="J19" s="24"/>
      <c r="K19" s="17" t="e">
        <f t="shared" ref="K7:K33" si="6">VLOOKUP(A19,PhieuXuat,4,0)</f>
        <v>#NAME?</v>
      </c>
      <c r="L19" s="18" t="e">
        <f t="shared" ref="L7:L33" si="7">VLOOKUP(A19,PhieuXuat,5,0)</f>
        <v>#NAME?</v>
      </c>
      <c r="M19" s="19" t="e">
        <f t="shared" si="2"/>
        <v>#NAME?</v>
      </c>
      <c r="N19" s="25"/>
      <c r="O19" s="25"/>
      <c r="P19" s="21" t="e">
        <f t="shared" ref="P7:P33" si="8">VLOOKUP(A19,PhieuXuat,20,0)</f>
        <v>#NAME?</v>
      </c>
      <c r="Q19" s="32" t="e">
        <f>ROUND(P19*H19,0)+1</f>
        <v>#NAME?</v>
      </c>
      <c r="R19" s="33" t="e">
        <f t="shared" si="3"/>
        <v>#NAME?</v>
      </c>
      <c r="S19" s="26"/>
      <c r="T19" s="7"/>
    </row>
    <row r="20" spans="1:20" s="27" customFormat="1" ht="48.6" customHeight="1">
      <c r="A20" s="1" t="str">
        <f>COUNTIF($B$6:B20,B20)&amp;B20</f>
        <v>2XLPE185A</v>
      </c>
      <c r="B20" s="7" t="s">
        <v>28</v>
      </c>
      <c r="C20" s="14">
        <f t="shared" si="1"/>
        <v>14</v>
      </c>
      <c r="D20" s="15" t="e">
        <f t="shared" si="4"/>
        <v>#NAME?</v>
      </c>
      <c r="E20" s="14" t="s">
        <v>219</v>
      </c>
      <c r="F20" s="30"/>
      <c r="G20" s="31" t="e">
        <f t="shared" si="5"/>
        <v>#NAME?</v>
      </c>
      <c r="H20" s="31" t="e">
        <f>G20</f>
        <v>#NAME?</v>
      </c>
      <c r="I20" s="24"/>
      <c r="J20" s="24"/>
      <c r="K20" s="17" t="e">
        <f t="shared" si="6"/>
        <v>#NAME?</v>
      </c>
      <c r="L20" s="18" t="e">
        <f t="shared" si="7"/>
        <v>#NAME?</v>
      </c>
      <c r="M20" s="19" t="e">
        <f t="shared" si="2"/>
        <v>#NAME?</v>
      </c>
      <c r="N20" s="25"/>
      <c r="O20" s="25"/>
      <c r="P20" s="21" t="e">
        <f t="shared" si="8"/>
        <v>#NAME?</v>
      </c>
      <c r="Q20" s="22" t="e">
        <f t="shared" si="0"/>
        <v>#NAME?</v>
      </c>
      <c r="R20" s="33" t="e">
        <f t="shared" si="3"/>
        <v>#NAME?</v>
      </c>
      <c r="S20" s="26"/>
      <c r="T20" s="7"/>
    </row>
    <row r="21" spans="1:20" ht="48.6" customHeight="1">
      <c r="A21" s="1" t="str">
        <f>COUNTIF($B$6:B21,B21)&amp;B21</f>
        <v>1C5/8</v>
      </c>
      <c r="B21" s="7" t="s">
        <v>29</v>
      </c>
      <c r="C21" s="14">
        <f t="shared" si="1"/>
        <v>15</v>
      </c>
      <c r="D21" s="15" t="e">
        <f t="shared" si="4"/>
        <v>#NAME?</v>
      </c>
      <c r="E21" s="14" t="s">
        <v>30</v>
      </c>
      <c r="F21" s="20">
        <v>0</v>
      </c>
      <c r="G21" s="31" t="e">
        <f t="shared" si="5"/>
        <v>#NAME?</v>
      </c>
      <c r="H21" s="31">
        <v>48</v>
      </c>
      <c r="I21" s="16"/>
      <c r="J21" s="16"/>
      <c r="K21" s="17" t="e">
        <f t="shared" si="6"/>
        <v>#NAME?</v>
      </c>
      <c r="L21" s="18" t="e">
        <f t="shared" si="7"/>
        <v>#NAME?</v>
      </c>
      <c r="M21" s="34"/>
      <c r="N21" s="20"/>
      <c r="O21" s="20"/>
      <c r="P21" s="21" t="e">
        <f t="shared" si="8"/>
        <v>#NAME?</v>
      </c>
      <c r="Q21" s="22" t="e">
        <f t="shared" si="0"/>
        <v>#NAME?</v>
      </c>
      <c r="R21" s="22" t="e">
        <f t="shared" si="3"/>
        <v>#NAME?</v>
      </c>
      <c r="S21" s="35" t="s">
        <v>31</v>
      </c>
      <c r="T21" s="7"/>
    </row>
    <row r="22" spans="1:20" ht="48.6" customHeight="1">
      <c r="A22" s="1" t="str">
        <f>COUNTIF($B$6:B22,B22)&amp;B22</f>
        <v>2C5/8</v>
      </c>
      <c r="B22" s="7" t="s">
        <v>29</v>
      </c>
      <c r="C22" s="14">
        <f t="shared" si="1"/>
        <v>16</v>
      </c>
      <c r="D22" s="15" t="e">
        <f t="shared" si="4"/>
        <v>#NAME?</v>
      </c>
      <c r="E22" s="14" t="s">
        <v>219</v>
      </c>
      <c r="F22" s="20">
        <v>278</v>
      </c>
      <c r="G22" s="36" t="e">
        <f t="shared" si="5"/>
        <v>#NAME?</v>
      </c>
      <c r="H22" s="36">
        <f>ROUND(234-H21/0.454,2)</f>
        <v>128.27000000000001</v>
      </c>
      <c r="I22" s="16"/>
      <c r="J22" s="16"/>
      <c r="K22" s="17" t="e">
        <f t="shared" si="6"/>
        <v>#NAME?</v>
      </c>
      <c r="L22" s="18" t="e">
        <f t="shared" si="7"/>
        <v>#NAME?</v>
      </c>
      <c r="M22" s="37" t="e">
        <f t="shared" si="2"/>
        <v>#NAME?</v>
      </c>
      <c r="N22" s="20"/>
      <c r="O22" s="20"/>
      <c r="P22" s="21" t="e">
        <f t="shared" si="8"/>
        <v>#NAME?</v>
      </c>
      <c r="Q22" s="22" t="e">
        <f t="shared" si="0"/>
        <v>#NAME?</v>
      </c>
      <c r="R22" s="22" t="e">
        <f t="shared" si="3"/>
        <v>#NAME?</v>
      </c>
      <c r="S22" s="23"/>
      <c r="T22" s="7"/>
    </row>
    <row r="23" spans="1:20" s="38" customFormat="1" ht="48.6" customHeight="1">
      <c r="A23" s="38" t="str">
        <f>COUNTIF($B$6:B23,B23)&amp;B23</f>
        <v>1ACX50</v>
      </c>
      <c r="B23" s="39" t="s">
        <v>32</v>
      </c>
      <c r="C23" s="14">
        <f t="shared" si="1"/>
        <v>17</v>
      </c>
      <c r="D23" s="40" t="e">
        <f t="shared" si="4"/>
        <v>#NAME?</v>
      </c>
      <c r="E23" s="14" t="s">
        <v>219</v>
      </c>
      <c r="F23" s="14">
        <v>162</v>
      </c>
      <c r="G23" s="14" t="e">
        <f t="shared" si="5"/>
        <v>#NAME?</v>
      </c>
      <c r="H23" s="14">
        <v>116</v>
      </c>
      <c r="I23" s="41"/>
      <c r="J23" s="41"/>
      <c r="K23" s="17" t="e">
        <f t="shared" si="6"/>
        <v>#NAME?</v>
      </c>
      <c r="L23" s="18" t="e">
        <f t="shared" si="7"/>
        <v>#NAME?</v>
      </c>
      <c r="M23" s="19" t="e">
        <f t="shared" si="2"/>
        <v>#NAME?</v>
      </c>
      <c r="N23" s="14"/>
      <c r="O23" s="14"/>
      <c r="P23" s="36" t="e">
        <f t="shared" si="8"/>
        <v>#NAME?</v>
      </c>
      <c r="Q23" s="31" t="e">
        <f t="shared" si="0"/>
        <v>#NAME?</v>
      </c>
      <c r="R23" s="31" t="e">
        <f t="shared" si="3"/>
        <v>#NAME?</v>
      </c>
      <c r="S23" s="14"/>
      <c r="T23" s="39"/>
    </row>
    <row r="24" spans="1:20" s="27" customFormat="1" ht="48.6" customHeight="1">
      <c r="A24" s="1" t="str">
        <f>COUNTIF($B$6:B24,B24)&amp;B24</f>
        <v>1d12</v>
      </c>
      <c r="B24" s="7" t="s">
        <v>33</v>
      </c>
      <c r="C24" s="14">
        <f t="shared" si="1"/>
        <v>18</v>
      </c>
      <c r="D24" s="15" t="e">
        <f t="shared" si="4"/>
        <v>#NAME?</v>
      </c>
      <c r="E24" s="14" t="s">
        <v>190</v>
      </c>
      <c r="F24" s="42">
        <v>40</v>
      </c>
      <c r="G24" s="14" t="e">
        <f t="shared" si="5"/>
        <v>#NAME?</v>
      </c>
      <c r="H24" s="14">
        <v>6</v>
      </c>
      <c r="I24" s="16"/>
      <c r="J24" s="16"/>
      <c r="K24" s="17" t="e">
        <f t="shared" si="6"/>
        <v>#NAME?</v>
      </c>
      <c r="L24" s="18" t="e">
        <f t="shared" si="7"/>
        <v>#NAME?</v>
      </c>
      <c r="M24" s="19" t="e">
        <f t="shared" si="2"/>
        <v>#NAME?</v>
      </c>
      <c r="N24" s="25"/>
      <c r="O24" s="25"/>
      <c r="P24" s="21" t="e">
        <f t="shared" si="8"/>
        <v>#NAME?</v>
      </c>
      <c r="Q24" s="22" t="e">
        <f t="shared" si="0"/>
        <v>#NAME?</v>
      </c>
      <c r="R24" s="22" t="e">
        <f t="shared" si="3"/>
        <v>#NAME?</v>
      </c>
      <c r="S24" s="26"/>
      <c r="T24" s="7"/>
    </row>
    <row r="25" spans="1:20" s="27" customFormat="1" ht="48.6" customHeight="1">
      <c r="A25" s="1" t="str">
        <f>COUNTIF($B$6:B25,B25)&amp;B25</f>
        <v>2d12</v>
      </c>
      <c r="B25" s="7" t="s">
        <v>33</v>
      </c>
      <c r="C25" s="14">
        <f t="shared" si="1"/>
        <v>19</v>
      </c>
      <c r="D25" s="15" t="e">
        <f t="shared" si="4"/>
        <v>#NAME?</v>
      </c>
      <c r="E25" s="14" t="s">
        <v>190</v>
      </c>
      <c r="F25" s="42"/>
      <c r="G25" s="14" t="e">
        <f t="shared" si="5"/>
        <v>#NAME?</v>
      </c>
      <c r="H25" s="14">
        <v>33</v>
      </c>
      <c r="I25" s="16"/>
      <c r="J25" s="16"/>
      <c r="K25" s="17" t="e">
        <f t="shared" si="6"/>
        <v>#NAME?</v>
      </c>
      <c r="L25" s="18" t="e">
        <f t="shared" si="7"/>
        <v>#NAME?</v>
      </c>
      <c r="M25" s="19" t="e">
        <f t="shared" si="2"/>
        <v>#NAME?</v>
      </c>
      <c r="N25" s="25"/>
      <c r="O25" s="25"/>
      <c r="P25" s="21" t="e">
        <f t="shared" si="8"/>
        <v>#NAME?</v>
      </c>
      <c r="Q25" s="22" t="e">
        <f t="shared" si="0"/>
        <v>#NAME?</v>
      </c>
      <c r="R25" s="22" t="e">
        <f t="shared" si="3"/>
        <v>#NAME?</v>
      </c>
      <c r="S25" s="26"/>
      <c r="T25" s="7"/>
    </row>
    <row r="26" spans="1:20" ht="48.6" customHeight="1">
      <c r="A26" s="1" t="str">
        <f>COUNTIF($B$6:B26,B26)&amp;B26</f>
        <v>1d15</v>
      </c>
      <c r="B26" s="7" t="s">
        <v>34</v>
      </c>
      <c r="C26" s="14">
        <f t="shared" si="1"/>
        <v>20</v>
      </c>
      <c r="D26" s="15" t="e">
        <f t="shared" si="4"/>
        <v>#NAME?</v>
      </c>
      <c r="E26" s="14" t="s">
        <v>190</v>
      </c>
      <c r="F26" s="42">
        <v>15</v>
      </c>
      <c r="G26" s="14" t="e">
        <f t="shared" si="5"/>
        <v>#NAME?</v>
      </c>
      <c r="H26" s="14">
        <v>8</v>
      </c>
      <c r="I26" s="16"/>
      <c r="J26" s="16"/>
      <c r="K26" s="17" t="e">
        <f t="shared" si="6"/>
        <v>#NAME?</v>
      </c>
      <c r="L26" s="18" t="e">
        <f t="shared" si="7"/>
        <v>#NAME?</v>
      </c>
      <c r="M26" s="19" t="e">
        <f t="shared" si="2"/>
        <v>#NAME?</v>
      </c>
      <c r="N26" s="20"/>
      <c r="O26" s="20"/>
      <c r="P26" s="21" t="e">
        <f t="shared" si="8"/>
        <v>#NAME?</v>
      </c>
      <c r="Q26" s="22" t="e">
        <f t="shared" si="0"/>
        <v>#NAME?</v>
      </c>
      <c r="R26" s="22" t="e">
        <f t="shared" si="3"/>
        <v>#NAME?</v>
      </c>
      <c r="S26" s="23"/>
      <c r="T26" s="7"/>
    </row>
    <row r="27" spans="1:20" ht="48.6" customHeight="1">
      <c r="A27" s="1" t="str">
        <f>COUNTIF($B$6:B27,B27)&amp;B27</f>
        <v>2d15</v>
      </c>
      <c r="B27" s="7" t="s">
        <v>34</v>
      </c>
      <c r="C27" s="14">
        <f t="shared" si="1"/>
        <v>21</v>
      </c>
      <c r="D27" s="15" t="e">
        <f t="shared" si="4"/>
        <v>#NAME?</v>
      </c>
      <c r="E27" s="14" t="s">
        <v>190</v>
      </c>
      <c r="F27" s="42"/>
      <c r="G27" s="14" t="e">
        <f t="shared" si="5"/>
        <v>#NAME?</v>
      </c>
      <c r="H27" s="14">
        <v>7</v>
      </c>
      <c r="I27" s="16"/>
      <c r="J27" s="16"/>
      <c r="K27" s="17" t="e">
        <f t="shared" si="6"/>
        <v>#NAME?</v>
      </c>
      <c r="L27" s="18" t="e">
        <f t="shared" si="7"/>
        <v>#NAME?</v>
      </c>
      <c r="M27" s="19" t="e">
        <f t="shared" si="2"/>
        <v>#NAME?</v>
      </c>
      <c r="N27" s="20"/>
      <c r="O27" s="20"/>
      <c r="P27" s="21" t="e">
        <f t="shared" si="8"/>
        <v>#NAME?</v>
      </c>
      <c r="Q27" s="22" t="e">
        <f t="shared" si="0"/>
        <v>#NAME?</v>
      </c>
      <c r="R27" s="22" t="e">
        <f t="shared" si="3"/>
        <v>#NAME?</v>
      </c>
      <c r="S27" s="23"/>
      <c r="T27" s="7"/>
    </row>
    <row r="28" spans="1:20" ht="48.6" customHeight="1">
      <c r="A28" s="1" t="str">
        <f>COUNTIF($B$1:B28,B28)&amp;B28</f>
        <v>1ltd6</v>
      </c>
      <c r="B28" s="7" t="s">
        <v>35</v>
      </c>
      <c r="C28" s="14">
        <f t="shared" si="1"/>
        <v>22</v>
      </c>
      <c r="D28" s="15" t="s">
        <v>439</v>
      </c>
      <c r="E28" s="14" t="s">
        <v>190</v>
      </c>
      <c r="F28" s="14">
        <v>3</v>
      </c>
      <c r="G28" s="14">
        <v>3</v>
      </c>
      <c r="H28" s="14">
        <v>3</v>
      </c>
      <c r="I28" s="16"/>
      <c r="J28" s="16"/>
      <c r="K28" s="17" t="s">
        <v>446</v>
      </c>
      <c r="L28" s="18">
        <v>43720</v>
      </c>
      <c r="M28" s="19">
        <f t="shared" si="2"/>
        <v>0</v>
      </c>
      <c r="N28" s="20"/>
      <c r="O28" s="20"/>
      <c r="P28" s="21">
        <v>2273000</v>
      </c>
      <c r="Q28" s="22">
        <f t="shared" si="0"/>
        <v>6819000</v>
      </c>
      <c r="R28" s="22">
        <f t="shared" si="3"/>
        <v>0</v>
      </c>
      <c r="S28" s="23"/>
      <c r="T28" s="7"/>
    </row>
    <row r="29" spans="1:20" ht="48.6" customHeight="1">
      <c r="A29" s="1" t="str">
        <f>COUNTIF($B$6:B29,B29)&amp;B29</f>
        <v>1d200</v>
      </c>
      <c r="B29" s="7" t="s">
        <v>36</v>
      </c>
      <c r="C29" s="14">
        <f t="shared" si="1"/>
        <v>23</v>
      </c>
      <c r="D29" s="15" t="e">
        <f t="shared" si="4"/>
        <v>#NAME?</v>
      </c>
      <c r="E29" s="14" t="s">
        <v>449</v>
      </c>
      <c r="F29" s="14">
        <v>167</v>
      </c>
      <c r="G29" s="14" t="e">
        <f t="shared" si="5"/>
        <v>#NAME?</v>
      </c>
      <c r="H29" s="14">
        <v>167</v>
      </c>
      <c r="I29" s="16"/>
      <c r="J29" s="16"/>
      <c r="K29" s="17" t="e">
        <f t="shared" si="6"/>
        <v>#NAME?</v>
      </c>
      <c r="L29" s="18" t="e">
        <f t="shared" si="7"/>
        <v>#NAME?</v>
      </c>
      <c r="M29" s="19" t="e">
        <f t="shared" si="2"/>
        <v>#NAME?</v>
      </c>
      <c r="N29" s="20"/>
      <c r="O29" s="20"/>
      <c r="P29" s="21" t="e">
        <f t="shared" si="8"/>
        <v>#NAME?</v>
      </c>
      <c r="Q29" s="22" t="e">
        <f t="shared" si="0"/>
        <v>#NAME?</v>
      </c>
      <c r="R29" s="22" t="e">
        <f t="shared" si="3"/>
        <v>#NAME?</v>
      </c>
      <c r="S29" s="23"/>
      <c r="T29" s="7"/>
    </row>
    <row r="30" spans="1:20" ht="48.6" customHeight="1">
      <c r="A30" s="1" t="str">
        <f>COUNTIF($B$6:B35,B30)&amp;B30</f>
        <v>1t115</v>
      </c>
      <c r="B30" s="7" t="s">
        <v>37</v>
      </c>
      <c r="C30" s="14">
        <f t="shared" si="1"/>
        <v>24</v>
      </c>
      <c r="D30" s="15" t="e">
        <f t="shared" si="4"/>
        <v>#NAME?</v>
      </c>
      <c r="E30" s="14" t="s">
        <v>449</v>
      </c>
      <c r="F30" s="14">
        <v>167</v>
      </c>
      <c r="G30" s="14" t="e">
        <f t="shared" si="5"/>
        <v>#NAME?</v>
      </c>
      <c r="H30" s="14">
        <v>167</v>
      </c>
      <c r="I30" s="16"/>
      <c r="J30" s="16"/>
      <c r="K30" s="17" t="e">
        <f t="shared" si="6"/>
        <v>#NAME?</v>
      </c>
      <c r="L30" s="18" t="e">
        <f t="shared" si="7"/>
        <v>#NAME?</v>
      </c>
      <c r="M30" s="19" t="e">
        <f t="shared" si="2"/>
        <v>#NAME?</v>
      </c>
      <c r="N30" s="20"/>
      <c r="O30" s="20"/>
      <c r="P30" s="21" t="e">
        <f t="shared" si="8"/>
        <v>#NAME?</v>
      </c>
      <c r="Q30" s="22" t="e">
        <f t="shared" si="0"/>
        <v>#NAME?</v>
      </c>
      <c r="R30" s="22" t="e">
        <f t="shared" si="3"/>
        <v>#NAME?</v>
      </c>
      <c r="S30" s="23"/>
      <c r="T30" s="7"/>
    </row>
    <row r="31" spans="1:20" ht="48.6" customHeight="1">
      <c r="A31" s="1" t="str">
        <f>COUNTIF($B$6:B36,B31)&amp;B31</f>
        <v>1d22</v>
      </c>
      <c r="B31" s="7" t="s">
        <v>38</v>
      </c>
      <c r="C31" s="14">
        <f t="shared" si="1"/>
        <v>25</v>
      </c>
      <c r="D31" s="15" t="s">
        <v>437</v>
      </c>
      <c r="E31" s="14" t="s">
        <v>449</v>
      </c>
      <c r="F31" s="14">
        <v>30</v>
      </c>
      <c r="G31" s="14">
        <v>26</v>
      </c>
      <c r="H31" s="43">
        <v>26</v>
      </c>
      <c r="I31" s="16"/>
      <c r="J31" s="16"/>
      <c r="K31" s="17" t="s">
        <v>446</v>
      </c>
      <c r="L31" s="18">
        <v>43720</v>
      </c>
      <c r="M31" s="19"/>
      <c r="N31" s="20"/>
      <c r="O31" s="20"/>
      <c r="P31" s="21">
        <v>660000</v>
      </c>
      <c r="Q31" s="22">
        <f t="shared" si="0"/>
        <v>17160000</v>
      </c>
      <c r="R31" s="22">
        <f t="shared" si="3"/>
        <v>0</v>
      </c>
      <c r="S31" s="44" t="s">
        <v>39</v>
      </c>
      <c r="T31" s="7"/>
    </row>
    <row r="32" spans="1:20" ht="48.6" customHeight="1">
      <c r="A32" s="1" t="str">
        <f>COUNTIF($B$6:B37,B32)&amp;B32</f>
        <v>1t81</v>
      </c>
      <c r="B32" s="7" t="s">
        <v>40</v>
      </c>
      <c r="C32" s="14">
        <f t="shared" si="1"/>
        <v>26</v>
      </c>
      <c r="D32" s="15" t="s">
        <v>438</v>
      </c>
      <c r="E32" s="14" t="s">
        <v>449</v>
      </c>
      <c r="F32" s="14">
        <v>60</v>
      </c>
      <c r="G32" s="14">
        <v>52</v>
      </c>
      <c r="H32" s="43">
        <v>52</v>
      </c>
      <c r="I32" s="16"/>
      <c r="J32" s="16"/>
      <c r="K32" s="17" t="s">
        <v>446</v>
      </c>
      <c r="L32" s="18">
        <v>43720</v>
      </c>
      <c r="M32" s="19"/>
      <c r="N32" s="20"/>
      <c r="O32" s="20"/>
      <c r="P32" s="21">
        <v>100000</v>
      </c>
      <c r="Q32" s="22">
        <f t="shared" si="0"/>
        <v>5200000</v>
      </c>
      <c r="R32" s="22">
        <f t="shared" si="3"/>
        <v>0</v>
      </c>
      <c r="S32" s="44" t="s">
        <v>41</v>
      </c>
      <c r="T32" s="7"/>
    </row>
    <row r="33" spans="1:20" ht="48.6" customHeight="1">
      <c r="A33" s="1" t="str">
        <f>COUNTIF($B$6:B33,B33)&amp;B33</f>
        <v>1Duplex 216</v>
      </c>
      <c r="B33" s="7" t="s">
        <v>42</v>
      </c>
      <c r="C33" s="14">
        <f t="shared" si="1"/>
        <v>27</v>
      </c>
      <c r="D33" s="15" t="e">
        <f t="shared" si="4"/>
        <v>#NAME?</v>
      </c>
      <c r="E33" s="14" t="s">
        <v>450</v>
      </c>
      <c r="F33" s="14">
        <v>174</v>
      </c>
      <c r="G33" s="14" t="e">
        <f t="shared" si="5"/>
        <v>#NAME?</v>
      </c>
      <c r="H33" s="14">
        <v>174</v>
      </c>
      <c r="I33" s="16"/>
      <c r="J33" s="16"/>
      <c r="K33" s="17" t="e">
        <f t="shared" si="6"/>
        <v>#NAME?</v>
      </c>
      <c r="L33" s="18" t="e">
        <f t="shared" si="7"/>
        <v>#NAME?</v>
      </c>
      <c r="M33" s="19" t="e">
        <f t="shared" si="2"/>
        <v>#NAME?</v>
      </c>
      <c r="N33" s="20"/>
      <c r="O33" s="20"/>
      <c r="P33" s="21" t="e">
        <f t="shared" si="8"/>
        <v>#NAME?</v>
      </c>
      <c r="Q33" s="22" t="e">
        <f t="shared" si="0"/>
        <v>#NAME?</v>
      </c>
      <c r="R33" s="22" t="e">
        <f t="shared" si="3"/>
        <v>#NAME?</v>
      </c>
      <c r="S33" s="23"/>
      <c r="T33" s="7"/>
    </row>
    <row r="34" spans="1:20" ht="48.6" customHeight="1">
      <c r="A34" s="1" t="str">
        <f>COUNTIF($B$6:B34,B34)&amp;B34</f>
        <v>1SN</v>
      </c>
      <c r="B34" s="7" t="s">
        <v>43</v>
      </c>
      <c r="C34" s="14">
        <f t="shared" si="1"/>
        <v>28</v>
      </c>
      <c r="D34" s="15" t="s">
        <v>435</v>
      </c>
      <c r="E34" s="14" t="s">
        <v>190</v>
      </c>
      <c r="F34" s="42">
        <v>18</v>
      </c>
      <c r="G34" s="14">
        <v>12</v>
      </c>
      <c r="H34" s="14">
        <v>12</v>
      </c>
      <c r="I34" s="16"/>
      <c r="J34" s="16"/>
      <c r="K34" s="17" t="s">
        <v>443</v>
      </c>
      <c r="L34" s="18">
        <v>43705</v>
      </c>
      <c r="M34" s="19">
        <f t="shared" si="2"/>
        <v>0</v>
      </c>
      <c r="N34" s="20"/>
      <c r="O34" s="20"/>
      <c r="P34" s="21">
        <v>72364.33</v>
      </c>
      <c r="Q34" s="22">
        <f t="shared" si="0"/>
        <v>868372</v>
      </c>
      <c r="R34" s="22">
        <f t="shared" si="3"/>
        <v>0</v>
      </c>
      <c r="S34" s="23"/>
      <c r="T34" s="7"/>
    </row>
    <row r="35" spans="1:20" ht="48.6" customHeight="1">
      <c r="A35" s="1" t="str">
        <f>COUNTIF($B$6:B35,B35)&amp;B35</f>
        <v>2SN</v>
      </c>
      <c r="B35" s="7" t="s">
        <v>43</v>
      </c>
      <c r="C35" s="14">
        <f t="shared" si="1"/>
        <v>29</v>
      </c>
      <c r="D35" s="15" t="s">
        <v>435</v>
      </c>
      <c r="E35" s="14" t="s">
        <v>190</v>
      </c>
      <c r="F35" s="42"/>
      <c r="G35" s="14">
        <v>6</v>
      </c>
      <c r="H35" s="14">
        <v>3</v>
      </c>
      <c r="I35" s="16"/>
      <c r="J35" s="16"/>
      <c r="K35" s="17" t="s">
        <v>444</v>
      </c>
      <c r="L35" s="18">
        <v>43727</v>
      </c>
      <c r="M35" s="19">
        <f t="shared" si="2"/>
        <v>3</v>
      </c>
      <c r="N35" s="20"/>
      <c r="O35" s="20"/>
      <c r="P35" s="21">
        <v>66000</v>
      </c>
      <c r="Q35" s="22">
        <f t="shared" si="0"/>
        <v>198000</v>
      </c>
      <c r="R35" s="22">
        <f t="shared" si="3"/>
        <v>198000</v>
      </c>
      <c r="S35" s="23"/>
      <c r="T35" s="7"/>
    </row>
    <row r="36" spans="1:20" ht="30" customHeight="1">
      <c r="B36" s="7"/>
      <c r="C36" s="14"/>
      <c r="D36" s="15"/>
      <c r="E36" s="14"/>
      <c r="F36" s="14"/>
      <c r="G36" s="41"/>
      <c r="H36" s="45"/>
      <c r="I36" s="46"/>
      <c r="J36" s="46"/>
      <c r="K36" s="17"/>
      <c r="L36" s="18"/>
      <c r="M36" s="14"/>
      <c r="N36" s="20"/>
      <c r="O36" s="20"/>
      <c r="P36" s="21"/>
      <c r="Q36" s="47" t="e">
        <f>SUM(Q7:Q35)</f>
        <v>#NAME?</v>
      </c>
      <c r="R36" s="47" t="e">
        <f>SUM(R7:R35)</f>
        <v>#NAME?</v>
      </c>
      <c r="S36" s="23"/>
      <c r="T36" s="7"/>
    </row>
    <row r="37" spans="1:20">
      <c r="G37" s="50"/>
      <c r="H37" s="50"/>
      <c r="I37" s="51"/>
      <c r="J37" s="51"/>
      <c r="M37" s="1"/>
      <c r="N37" s="1"/>
      <c r="O37" s="1"/>
    </row>
    <row r="38" spans="1:20" s="52" customFormat="1" ht="17.399999999999999">
      <c r="C38" s="53"/>
      <c r="D38" s="54" t="s">
        <v>44</v>
      </c>
      <c r="E38" s="54"/>
      <c r="F38" s="53"/>
      <c r="G38" s="53"/>
      <c r="H38" s="53"/>
      <c r="I38" s="53"/>
      <c r="J38" s="55"/>
      <c r="K38" s="55"/>
      <c r="L38" s="56"/>
      <c r="M38" s="53"/>
      <c r="N38" s="53"/>
      <c r="O38" s="53"/>
      <c r="P38" s="54" t="s">
        <v>45</v>
      </c>
      <c r="Q38" s="54"/>
      <c r="R38" s="53"/>
      <c r="S38" s="53"/>
    </row>
    <row r="39" spans="1:20" s="52" customFormat="1" ht="18.899999999999999" customHeight="1">
      <c r="C39" s="53"/>
      <c r="D39" s="57"/>
      <c r="E39" s="53"/>
      <c r="F39" s="53"/>
      <c r="G39" s="53"/>
      <c r="H39" s="53"/>
      <c r="I39" s="53"/>
      <c r="J39" s="53"/>
      <c r="K39" s="53"/>
      <c r="L39" s="56"/>
      <c r="M39" s="53"/>
      <c r="N39" s="53"/>
      <c r="O39" s="53"/>
      <c r="P39" s="58"/>
      <c r="Q39" s="53"/>
      <c r="R39" s="53"/>
      <c r="S39" s="53"/>
    </row>
    <row r="40" spans="1:20" s="52" customFormat="1" ht="17.399999999999999">
      <c r="C40" s="53"/>
      <c r="D40" s="57"/>
      <c r="E40" s="53"/>
      <c r="F40" s="53"/>
      <c r="G40" s="53"/>
      <c r="H40" s="53"/>
      <c r="I40" s="53"/>
      <c r="J40" s="53"/>
      <c r="K40" s="53"/>
      <c r="L40" s="56"/>
      <c r="M40" s="53"/>
      <c r="N40" s="53"/>
      <c r="O40" s="53"/>
      <c r="P40" s="58"/>
      <c r="Q40" s="53"/>
      <c r="R40" s="53"/>
      <c r="S40" s="53"/>
    </row>
    <row r="41" spans="1:20" s="52" customFormat="1" ht="17.399999999999999">
      <c r="C41" s="53"/>
      <c r="D41" s="57"/>
      <c r="E41" s="53"/>
      <c r="F41" s="53"/>
      <c r="G41" s="53"/>
      <c r="H41" s="53"/>
      <c r="I41" s="53"/>
      <c r="J41" s="53"/>
      <c r="K41" s="53"/>
      <c r="L41" s="56"/>
      <c r="M41" s="53"/>
      <c r="N41" s="53"/>
      <c r="O41" s="53"/>
      <c r="P41" s="58"/>
      <c r="Q41" s="53"/>
      <c r="R41" s="53"/>
      <c r="S41" s="53"/>
    </row>
    <row r="42" spans="1:20" s="52" customFormat="1" ht="15.75" customHeight="1">
      <c r="C42" s="59"/>
      <c r="D42" s="60" t="s">
        <v>593</v>
      </c>
      <c r="E42" s="60"/>
      <c r="F42" s="61"/>
      <c r="G42" s="61"/>
      <c r="H42" s="53"/>
      <c r="I42" s="53"/>
      <c r="J42" s="53"/>
      <c r="K42" s="53"/>
      <c r="L42" s="56"/>
      <c r="M42" s="53"/>
      <c r="N42" s="53"/>
      <c r="O42" s="53"/>
      <c r="P42" s="54" t="s">
        <v>46</v>
      </c>
      <c r="Q42" s="54"/>
      <c r="R42" s="53"/>
      <c r="S42" s="53"/>
    </row>
    <row r="43" spans="1:20" s="52" customFormat="1" ht="18">
      <c r="C43" s="53"/>
      <c r="D43" s="62"/>
      <c r="E43" s="53"/>
      <c r="F43" s="53"/>
      <c r="G43" s="53"/>
      <c r="H43" s="58"/>
      <c r="I43" s="53"/>
      <c r="J43" s="53"/>
      <c r="K43" s="53"/>
      <c r="L43" s="56"/>
      <c r="M43" s="53"/>
      <c r="N43" s="53"/>
      <c r="O43" s="53"/>
      <c r="P43" s="53"/>
      <c r="Q43" s="53"/>
      <c r="R43" s="53"/>
      <c r="S43" s="53"/>
    </row>
    <row r="44" spans="1:20" s="52" customFormat="1" ht="16.5" customHeight="1">
      <c r="C44" s="54" t="s">
        <v>47</v>
      </c>
      <c r="D44" s="54"/>
      <c r="E44" s="53"/>
      <c r="F44" s="54" t="s">
        <v>48</v>
      </c>
      <c r="G44" s="54"/>
      <c r="H44" s="54"/>
      <c r="I44" s="54"/>
      <c r="J44" s="54"/>
      <c r="K44" s="54"/>
      <c r="L44" s="54"/>
      <c r="M44" s="54"/>
      <c r="N44" s="54"/>
      <c r="O44" s="55"/>
      <c r="P44" s="54" t="s">
        <v>49</v>
      </c>
      <c r="Q44" s="54"/>
      <c r="R44" s="54"/>
      <c r="S44" s="53"/>
    </row>
    <row r="45" spans="1:20" s="52" customFormat="1" ht="15.75" customHeight="1">
      <c r="C45" s="54" t="s">
        <v>50</v>
      </c>
      <c r="D45" s="54"/>
      <c r="E45" s="53"/>
      <c r="F45" s="63" t="s">
        <v>594</v>
      </c>
      <c r="G45" s="63"/>
      <c r="H45" s="63"/>
      <c r="I45" s="63"/>
      <c r="J45" s="63"/>
      <c r="K45" s="63"/>
      <c r="L45" s="63"/>
      <c r="M45" s="63"/>
      <c r="N45" s="63"/>
      <c r="O45" s="55"/>
      <c r="P45" s="54" t="s">
        <v>51</v>
      </c>
      <c r="Q45" s="54"/>
      <c r="R45" s="54"/>
      <c r="S45" s="53"/>
    </row>
    <row r="46" spans="1:20" s="52" customFormat="1" ht="17.399999999999999">
      <c r="C46" s="54" t="s">
        <v>52</v>
      </c>
      <c r="D46" s="54"/>
      <c r="E46" s="53"/>
      <c r="F46" s="54" t="s">
        <v>52</v>
      </c>
      <c r="G46" s="54"/>
      <c r="H46" s="54"/>
      <c r="I46" s="54"/>
      <c r="J46" s="54"/>
      <c r="K46" s="54"/>
      <c r="L46" s="54"/>
      <c r="M46" s="54"/>
      <c r="N46" s="54"/>
      <c r="O46" s="55"/>
      <c r="P46" s="54" t="s">
        <v>52</v>
      </c>
      <c r="Q46" s="54"/>
      <c r="R46" s="54"/>
      <c r="S46" s="53"/>
    </row>
    <row r="47" spans="1:20" s="52" customFormat="1" ht="15.75" customHeight="1">
      <c r="C47" s="53"/>
      <c r="D47" s="57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5"/>
      <c r="Q47" s="53"/>
      <c r="R47" s="55"/>
      <c r="S47" s="53"/>
    </row>
    <row r="48" spans="1:20" s="39" customFormat="1" ht="30.6" customHeight="1">
      <c r="C48" s="64"/>
      <c r="D48" s="62"/>
      <c r="E48" s="64"/>
      <c r="F48" s="64"/>
      <c r="G48" s="64"/>
      <c r="H48" s="64"/>
      <c r="I48" s="64"/>
      <c r="J48" s="64"/>
      <c r="K48" s="64"/>
      <c r="L48" s="64"/>
      <c r="M48" s="65"/>
      <c r="N48" s="64"/>
      <c r="O48" s="65"/>
      <c r="P48" s="65"/>
      <c r="Q48" s="64"/>
      <c r="R48" s="65"/>
      <c r="S48" s="64"/>
    </row>
    <row r="49" spans="3:19" s="39" customFormat="1" ht="18">
      <c r="C49" s="64"/>
      <c r="D49" s="62"/>
      <c r="E49" s="64"/>
      <c r="F49" s="64"/>
      <c r="G49" s="64"/>
      <c r="H49" s="64"/>
      <c r="I49" s="64"/>
      <c r="J49" s="64"/>
      <c r="K49" s="64"/>
      <c r="L49" s="64"/>
      <c r="M49" s="65"/>
      <c r="N49" s="64"/>
      <c r="O49" s="65"/>
      <c r="P49" s="65"/>
      <c r="Q49" s="64"/>
      <c r="R49" s="65"/>
      <c r="S49" s="64"/>
    </row>
    <row r="50" spans="3:19" s="39" customFormat="1" ht="18">
      <c r="C50" s="64"/>
      <c r="D50" s="62"/>
      <c r="E50" s="64"/>
      <c r="F50" s="64"/>
      <c r="G50" s="64"/>
      <c r="H50" s="64"/>
      <c r="I50" s="64"/>
      <c r="J50" s="64"/>
      <c r="K50" s="64"/>
      <c r="L50" s="64"/>
      <c r="M50" s="65"/>
      <c r="N50" s="64"/>
      <c r="O50" s="65"/>
      <c r="P50" s="65"/>
      <c r="Q50" s="64"/>
      <c r="R50" s="65"/>
      <c r="S50" s="64"/>
    </row>
    <row r="51" spans="3:19" s="39" customFormat="1" ht="18">
      <c r="C51" s="64"/>
      <c r="D51" s="64"/>
      <c r="E51" s="64"/>
      <c r="F51" s="64"/>
      <c r="G51" s="64"/>
      <c r="H51" s="64"/>
      <c r="I51" s="64"/>
      <c r="J51" s="64"/>
      <c r="K51" s="53"/>
      <c r="L51" s="64"/>
      <c r="M51" s="64"/>
      <c r="N51" s="64"/>
      <c r="O51" s="64"/>
      <c r="P51" s="64"/>
      <c r="Q51" s="64"/>
      <c r="R51" s="64"/>
      <c r="S51" s="64"/>
    </row>
    <row r="52" spans="3:19" ht="17.399999999999999">
      <c r="C52" s="54" t="s">
        <v>53</v>
      </c>
      <c r="D52" s="54"/>
      <c r="E52" s="66"/>
      <c r="F52" s="54" t="s">
        <v>164</v>
      </c>
      <c r="G52" s="54"/>
      <c r="H52" s="54"/>
      <c r="I52" s="54"/>
      <c r="J52" s="54"/>
      <c r="K52" s="54"/>
      <c r="L52" s="54"/>
      <c r="M52" s="54"/>
      <c r="N52" s="54"/>
      <c r="O52" s="53"/>
      <c r="P52" s="54" t="s">
        <v>54</v>
      </c>
      <c r="Q52" s="54"/>
      <c r="R52" s="54"/>
      <c r="S52" s="67"/>
    </row>
    <row r="53" spans="3:19">
      <c r="G53" s="50"/>
      <c r="H53" s="50"/>
      <c r="I53" s="51"/>
      <c r="J53" s="51"/>
      <c r="M53" s="1"/>
      <c r="N53" s="1"/>
      <c r="O53" s="1"/>
    </row>
    <row r="54" spans="3:19">
      <c r="G54" s="50"/>
      <c r="H54" s="50"/>
      <c r="I54" s="51"/>
      <c r="J54" s="51"/>
      <c r="M54" s="1"/>
      <c r="N54" s="1"/>
      <c r="O54" s="1"/>
    </row>
    <row r="55" spans="3:19" ht="14.25" customHeight="1">
      <c r="G55" s="50"/>
      <c r="H55" s="50"/>
      <c r="I55" s="51"/>
      <c r="J55" s="51"/>
      <c r="M55" s="1"/>
      <c r="N55" s="1"/>
      <c r="O55" s="1"/>
    </row>
    <row r="56" spans="3:19" ht="14.25" customHeight="1">
      <c r="G56" s="50"/>
      <c r="H56" s="50"/>
      <c r="I56" s="51"/>
      <c r="J56" s="51"/>
      <c r="M56" s="1"/>
      <c r="N56" s="1"/>
      <c r="O56" s="1"/>
    </row>
    <row r="57" spans="3:19" ht="15.75" customHeight="1">
      <c r="G57" s="50"/>
      <c r="H57" s="50"/>
      <c r="I57" s="51"/>
      <c r="J57" s="51"/>
      <c r="M57" s="1"/>
      <c r="N57" s="1"/>
      <c r="O57" s="1"/>
    </row>
    <row r="58" spans="3:19">
      <c r="G58" s="50"/>
      <c r="H58" s="50"/>
      <c r="I58" s="51"/>
      <c r="J58" s="51"/>
      <c r="M58" s="1"/>
      <c r="N58" s="1"/>
      <c r="O58" s="1"/>
    </row>
    <row r="59" spans="3:19">
      <c r="G59" s="50"/>
      <c r="H59" s="50"/>
      <c r="I59" s="51"/>
      <c r="J59" s="51"/>
      <c r="M59" s="1"/>
      <c r="N59" s="1"/>
      <c r="O59" s="1"/>
    </row>
    <row r="60" spans="3:19">
      <c r="G60" s="50"/>
      <c r="H60" s="50"/>
      <c r="I60" s="51"/>
      <c r="J60" s="51"/>
      <c r="M60" s="1"/>
      <c r="N60" s="1"/>
      <c r="O60" s="1"/>
    </row>
    <row r="61" spans="3:19">
      <c r="G61" s="50"/>
      <c r="H61" s="50"/>
      <c r="I61" s="51"/>
      <c r="J61" s="51"/>
      <c r="M61" s="1"/>
      <c r="N61" s="1"/>
      <c r="O61" s="1"/>
    </row>
    <row r="62" spans="3:19">
      <c r="G62" s="50"/>
      <c r="H62" s="50"/>
      <c r="I62" s="51"/>
      <c r="J62" s="51"/>
      <c r="M62" s="1"/>
      <c r="N62" s="1"/>
      <c r="O62" s="1"/>
    </row>
    <row r="63" spans="3:19">
      <c r="G63" s="50"/>
      <c r="H63" s="50"/>
      <c r="I63" s="51"/>
      <c r="J63" s="51"/>
      <c r="M63" s="1"/>
      <c r="N63" s="1"/>
      <c r="O63" s="1"/>
    </row>
    <row r="64" spans="3:19">
      <c r="G64" s="50"/>
      <c r="H64" s="50"/>
      <c r="I64" s="51"/>
      <c r="J64" s="51"/>
      <c r="M64" s="1"/>
      <c r="N64" s="1"/>
      <c r="O64" s="1"/>
    </row>
    <row r="65" spans="7:15">
      <c r="G65" s="50"/>
      <c r="H65" s="50"/>
      <c r="I65" s="51"/>
      <c r="J65" s="51"/>
      <c r="M65" s="1"/>
      <c r="N65" s="1"/>
      <c r="O65" s="1"/>
    </row>
    <row r="66" spans="7:15">
      <c r="G66" s="50"/>
      <c r="H66" s="50"/>
      <c r="I66" s="51"/>
      <c r="J66" s="51"/>
      <c r="M66" s="1"/>
      <c r="N66" s="1"/>
      <c r="O66" s="1"/>
    </row>
    <row r="67" spans="7:15">
      <c r="G67" s="50"/>
      <c r="H67" s="50"/>
      <c r="I67" s="51"/>
      <c r="J67" s="51"/>
      <c r="M67" s="1"/>
      <c r="N67" s="1">
        <f>3010-F16</f>
        <v>-34.900000000000091</v>
      </c>
      <c r="O67" s="1"/>
    </row>
    <row r="68" spans="7:15">
      <c r="G68" s="50"/>
      <c r="H68" s="50"/>
      <c r="I68" s="51"/>
      <c r="J68" s="51"/>
      <c r="M68" s="1"/>
      <c r="N68" s="1"/>
      <c r="O68" s="1"/>
    </row>
    <row r="69" spans="7:15">
      <c r="G69" s="50"/>
      <c r="H69" s="50"/>
      <c r="I69" s="51"/>
      <c r="J69" s="51"/>
      <c r="M69" s="1"/>
      <c r="N69" s="1"/>
      <c r="O69" s="1"/>
    </row>
    <row r="70" spans="7:15">
      <c r="G70" s="50"/>
      <c r="H70" s="50"/>
      <c r="I70" s="51"/>
      <c r="J70" s="51"/>
      <c r="M70" s="1"/>
      <c r="N70" s="1"/>
      <c r="O70" s="1"/>
    </row>
    <row r="71" spans="7:15">
      <c r="G71" s="50"/>
      <c r="H71" s="50"/>
      <c r="I71" s="51"/>
      <c r="J71" s="51"/>
      <c r="M71" s="1"/>
      <c r="N71" s="1"/>
      <c r="O71" s="1"/>
    </row>
    <row r="72" spans="7:15">
      <c r="G72" s="50"/>
      <c r="H72" s="50"/>
      <c r="I72" s="51"/>
      <c r="J72" s="51"/>
      <c r="M72" s="1"/>
      <c r="N72" s="1"/>
      <c r="O72" s="1"/>
    </row>
    <row r="73" spans="7:15">
      <c r="G73" s="50"/>
      <c r="H73" s="50"/>
      <c r="I73" s="51"/>
      <c r="J73" s="51"/>
      <c r="M73" s="1"/>
      <c r="N73" s="1"/>
      <c r="O73" s="1"/>
    </row>
    <row r="74" spans="7:15">
      <c r="G74" s="50"/>
      <c r="H74" s="50"/>
      <c r="I74" s="51"/>
      <c r="J74" s="51"/>
      <c r="M74" s="1"/>
      <c r="N74" s="1"/>
      <c r="O74" s="1"/>
    </row>
    <row r="75" spans="7:15">
      <c r="G75" s="50"/>
      <c r="H75" s="50"/>
      <c r="I75" s="51"/>
      <c r="J75" s="51"/>
      <c r="M75" s="1"/>
      <c r="N75" s="1"/>
      <c r="O75" s="1"/>
    </row>
    <row r="76" spans="7:15">
      <c r="G76" s="50"/>
      <c r="H76" s="50"/>
      <c r="I76" s="51"/>
      <c r="J76" s="51"/>
      <c r="M76" s="1"/>
      <c r="N76" s="1"/>
      <c r="O76" s="1"/>
    </row>
    <row r="77" spans="7:15">
      <c r="G77" s="50"/>
      <c r="H77" s="50"/>
      <c r="I77" s="51"/>
      <c r="J77" s="51"/>
      <c r="M77" s="1"/>
      <c r="N77" s="1"/>
      <c r="O77" s="1"/>
    </row>
    <row r="78" spans="7:15">
      <c r="G78" s="50"/>
      <c r="H78" s="50"/>
      <c r="I78" s="51"/>
      <c r="J78" s="51"/>
      <c r="M78" s="1"/>
      <c r="N78" s="1"/>
      <c r="O78" s="1"/>
    </row>
    <row r="79" spans="7:15">
      <c r="G79" s="50"/>
      <c r="H79" s="50"/>
      <c r="I79" s="51"/>
      <c r="J79" s="51"/>
      <c r="M79" s="1"/>
      <c r="N79" s="1"/>
      <c r="O79" s="1"/>
    </row>
    <row r="80" spans="7:15">
      <c r="G80" s="50"/>
      <c r="H80" s="50"/>
      <c r="I80" s="51"/>
      <c r="J80" s="51"/>
      <c r="M80" s="1"/>
      <c r="N80" s="1"/>
      <c r="O80" s="1"/>
    </row>
    <row r="81" spans="7:15">
      <c r="G81" s="50"/>
      <c r="H81" s="50"/>
      <c r="I81" s="51"/>
      <c r="J81" s="51"/>
      <c r="M81" s="1"/>
      <c r="N81" s="1"/>
      <c r="O81" s="1"/>
    </row>
    <row r="82" spans="7:15">
      <c r="G82" s="50"/>
      <c r="H82" s="50"/>
      <c r="I82" s="51"/>
      <c r="J82" s="51"/>
      <c r="M82" s="1"/>
      <c r="N82" s="1"/>
      <c r="O82" s="1"/>
    </row>
    <row r="83" spans="7:15">
      <c r="G83" s="50"/>
      <c r="H83" s="50"/>
      <c r="I83" s="51"/>
      <c r="J83" s="51"/>
      <c r="M83" s="1"/>
      <c r="N83" s="1"/>
      <c r="O83" s="1"/>
    </row>
    <row r="84" spans="7:15">
      <c r="G84" s="50"/>
      <c r="H84" s="50"/>
      <c r="I84" s="51"/>
      <c r="J84" s="51"/>
      <c r="M84" s="1"/>
      <c r="N84" s="1"/>
      <c r="O84" s="1"/>
    </row>
    <row r="85" spans="7:15">
      <c r="G85" s="50"/>
      <c r="H85" s="50"/>
      <c r="I85" s="51"/>
      <c r="J85" s="51"/>
      <c r="M85" s="1"/>
      <c r="N85" s="1"/>
      <c r="O85" s="1"/>
    </row>
    <row r="86" spans="7:15">
      <c r="G86" s="50"/>
      <c r="H86" s="50"/>
      <c r="I86" s="51"/>
      <c r="J86" s="51"/>
      <c r="M86" s="1"/>
      <c r="N86" s="1"/>
      <c r="O86" s="1"/>
    </row>
    <row r="87" spans="7:15">
      <c r="G87" s="50"/>
      <c r="H87" s="50"/>
      <c r="I87" s="51"/>
      <c r="J87" s="51"/>
      <c r="M87" s="1"/>
      <c r="N87" s="1"/>
      <c r="O87" s="1"/>
    </row>
    <row r="88" spans="7:15">
      <c r="G88" s="50"/>
      <c r="H88" s="50"/>
      <c r="I88" s="51"/>
      <c r="J88" s="51"/>
      <c r="M88" s="1"/>
      <c r="N88" s="1"/>
      <c r="O88" s="1"/>
    </row>
    <row r="89" spans="7:15">
      <c r="G89" s="50"/>
      <c r="H89" s="50"/>
      <c r="I89" s="51"/>
      <c r="J89" s="51"/>
      <c r="M89" s="1"/>
      <c r="N89" s="1"/>
      <c r="O89" s="1"/>
    </row>
    <row r="90" spans="7:15">
      <c r="G90" s="50"/>
      <c r="H90" s="50"/>
      <c r="I90" s="51"/>
      <c r="J90" s="51"/>
      <c r="M90" s="1"/>
      <c r="N90" s="1"/>
      <c r="O90" s="1"/>
    </row>
    <row r="91" spans="7:15">
      <c r="G91" s="50"/>
      <c r="H91" s="50"/>
      <c r="I91" s="51"/>
      <c r="J91" s="51"/>
      <c r="M91" s="1"/>
      <c r="N91" s="1"/>
      <c r="O91" s="1"/>
    </row>
    <row r="92" spans="7:15">
      <c r="G92" s="50"/>
      <c r="H92" s="50"/>
      <c r="I92" s="51"/>
      <c r="J92" s="51"/>
      <c r="M92" s="1"/>
      <c r="N92" s="1"/>
      <c r="O92" s="1"/>
    </row>
    <row r="93" spans="7:15">
      <c r="G93" s="50"/>
      <c r="H93" s="50"/>
      <c r="I93" s="51"/>
      <c r="J93" s="51"/>
      <c r="M93" s="1"/>
      <c r="N93" s="1"/>
      <c r="O93" s="1"/>
    </row>
    <row r="94" spans="7:15">
      <c r="G94" s="50"/>
      <c r="H94" s="50"/>
      <c r="I94" s="51"/>
      <c r="J94" s="51"/>
      <c r="M94" s="1"/>
      <c r="N94" s="1"/>
      <c r="O94" s="1"/>
    </row>
    <row r="95" spans="7:15">
      <c r="G95" s="50"/>
      <c r="H95" s="50"/>
      <c r="I95" s="51"/>
      <c r="J95" s="51"/>
      <c r="M95" s="1"/>
      <c r="N95" s="1"/>
      <c r="O95" s="1"/>
    </row>
    <row r="96" spans="7:15">
      <c r="G96" s="50"/>
      <c r="H96" s="50"/>
      <c r="I96" s="51"/>
      <c r="J96" s="51"/>
      <c r="M96" s="1"/>
      <c r="N96" s="1"/>
      <c r="O96" s="1"/>
    </row>
    <row r="98" spans="3:17" s="52" customFormat="1">
      <c r="C98" s="68" t="s">
        <v>44</v>
      </c>
      <c r="D98" s="68"/>
      <c r="E98" s="68"/>
      <c r="H98" s="68"/>
      <c r="I98" s="68"/>
      <c r="J98" s="69"/>
      <c r="K98" s="69"/>
      <c r="L98" s="70"/>
      <c r="P98" s="52" t="s">
        <v>45</v>
      </c>
    </row>
    <row r="99" spans="3:17" s="52" customFormat="1">
      <c r="D99" s="71"/>
      <c r="H99" s="72"/>
      <c r="L99" s="70"/>
      <c r="P99" s="72"/>
    </row>
    <row r="100" spans="3:17" s="52" customFormat="1">
      <c r="D100" s="71"/>
      <c r="H100" s="72"/>
      <c r="L100" s="70"/>
      <c r="P100" s="72"/>
    </row>
    <row r="101" spans="3:17" s="52" customFormat="1">
      <c r="D101" s="71"/>
      <c r="H101" s="72"/>
      <c r="L101" s="70"/>
      <c r="P101" s="72"/>
    </row>
    <row r="102" spans="3:17" s="52" customFormat="1" ht="15.75" customHeight="1">
      <c r="C102" s="73" t="s">
        <v>55</v>
      </c>
      <c r="D102" s="73"/>
      <c r="E102" s="73"/>
      <c r="F102" s="74"/>
      <c r="G102" s="75"/>
      <c r="H102" s="68"/>
      <c r="I102" s="68"/>
      <c r="L102" s="70"/>
      <c r="P102" s="52" t="s">
        <v>46</v>
      </c>
    </row>
    <row r="103" spans="3:17" s="52" customFormat="1">
      <c r="D103" s="71"/>
      <c r="H103" s="72"/>
      <c r="L103" s="70"/>
    </row>
    <row r="104" spans="3:17" s="52" customFormat="1">
      <c r="C104" s="68" t="s">
        <v>47</v>
      </c>
      <c r="D104" s="68"/>
      <c r="G104" s="68" t="s">
        <v>56</v>
      </c>
      <c r="H104" s="68"/>
      <c r="I104" s="68"/>
      <c r="J104" s="68"/>
      <c r="K104" s="68"/>
      <c r="L104" s="69"/>
      <c r="N104" s="69"/>
      <c r="O104" s="68" t="s">
        <v>49</v>
      </c>
      <c r="P104" s="68"/>
      <c r="Q104" s="68"/>
    </row>
    <row r="105" spans="3:17" s="52" customFormat="1">
      <c r="C105" s="68" t="s">
        <v>50</v>
      </c>
      <c r="D105" s="68"/>
      <c r="G105" s="68" t="s">
        <v>57</v>
      </c>
      <c r="H105" s="68"/>
      <c r="I105" s="68"/>
      <c r="J105" s="68"/>
      <c r="K105" s="68"/>
      <c r="L105" s="69"/>
      <c r="N105" s="69"/>
      <c r="O105" s="68" t="s">
        <v>51</v>
      </c>
      <c r="P105" s="68"/>
      <c r="Q105" s="68"/>
    </row>
    <row r="106" spans="3:17" s="52" customFormat="1">
      <c r="C106" s="68" t="s">
        <v>52</v>
      </c>
      <c r="D106" s="68"/>
      <c r="G106" s="68" t="s">
        <v>52</v>
      </c>
      <c r="H106" s="68"/>
      <c r="I106" s="68"/>
      <c r="J106" s="68"/>
      <c r="K106" s="68"/>
      <c r="L106" s="69"/>
      <c r="N106" s="69"/>
      <c r="O106" s="68" t="s">
        <v>52</v>
      </c>
      <c r="P106" s="68"/>
      <c r="Q106" s="68"/>
    </row>
    <row r="107" spans="3:17" s="52" customFormat="1">
      <c r="D107" s="71"/>
      <c r="L107" s="70"/>
      <c r="O107" s="72"/>
    </row>
    <row r="108" spans="3:17" s="39" customFormat="1">
      <c r="D108" s="76"/>
      <c r="L108" s="77"/>
      <c r="O108" s="78"/>
    </row>
    <row r="109" spans="3:17" s="39" customFormat="1">
      <c r="D109" s="76"/>
      <c r="L109" s="77"/>
      <c r="O109" s="78"/>
    </row>
    <row r="110" spans="3:17" s="39" customFormat="1">
      <c r="D110" s="76"/>
      <c r="L110" s="77"/>
      <c r="O110" s="78"/>
    </row>
    <row r="111" spans="3:17" s="39" customFormat="1">
      <c r="C111" s="68" t="s">
        <v>53</v>
      </c>
      <c r="D111" s="68"/>
      <c r="G111" s="68" t="s">
        <v>58</v>
      </c>
      <c r="H111" s="68"/>
      <c r="I111" s="68"/>
      <c r="J111" s="68"/>
      <c r="K111" s="68"/>
      <c r="L111" s="69"/>
      <c r="N111" s="69"/>
      <c r="O111" s="68" t="s">
        <v>54</v>
      </c>
      <c r="P111" s="68"/>
      <c r="Q111" s="68"/>
    </row>
  </sheetData>
  <autoFilter ref="C6:T96" xr:uid="{00000000-0009-0000-0000-00000E000000}"/>
  <mergeCells count="50">
    <mergeCell ref="C106:D106"/>
    <mergeCell ref="G106:K106"/>
    <mergeCell ref="O106:Q106"/>
    <mergeCell ref="C111:D111"/>
    <mergeCell ref="G111:K111"/>
    <mergeCell ref="O111:Q111"/>
    <mergeCell ref="C102:E102"/>
    <mergeCell ref="H102:I102"/>
    <mergeCell ref="C104:D104"/>
    <mergeCell ref="G104:K104"/>
    <mergeCell ref="O104:Q104"/>
    <mergeCell ref="C105:D105"/>
    <mergeCell ref="G105:K105"/>
    <mergeCell ref="O105:Q105"/>
    <mergeCell ref="F47:N47"/>
    <mergeCell ref="C52:D52"/>
    <mergeCell ref="F52:N52"/>
    <mergeCell ref="P52:R52"/>
    <mergeCell ref="C98:E98"/>
    <mergeCell ref="H98:I98"/>
    <mergeCell ref="C45:D45"/>
    <mergeCell ref="F45:N45"/>
    <mergeCell ref="P45:R45"/>
    <mergeCell ref="C46:D46"/>
    <mergeCell ref="F46:N46"/>
    <mergeCell ref="P46:R46"/>
    <mergeCell ref="F34:F35"/>
    <mergeCell ref="D38:E38"/>
    <mergeCell ref="P38:Q38"/>
    <mergeCell ref="D42:E42"/>
    <mergeCell ref="P42:Q42"/>
    <mergeCell ref="C44:D44"/>
    <mergeCell ref="F44:N44"/>
    <mergeCell ref="P44:R44"/>
    <mergeCell ref="Q5:R5"/>
    <mergeCell ref="S5:S6"/>
    <mergeCell ref="F16:F18"/>
    <mergeCell ref="F19:F20"/>
    <mergeCell ref="F24:F25"/>
    <mergeCell ref="F26:F27"/>
    <mergeCell ref="C1:S1"/>
    <mergeCell ref="C2:S2"/>
    <mergeCell ref="C3:S3"/>
    <mergeCell ref="C5:C6"/>
    <mergeCell ref="D5:D6"/>
    <mergeCell ref="E5:E6"/>
    <mergeCell ref="F5:H5"/>
    <mergeCell ref="K5:L5"/>
    <mergeCell ref="M5:O5"/>
    <mergeCell ref="P5:P6"/>
  </mergeCells>
  <printOptions horizontalCentered="1"/>
  <pageMargins left="0.09" right="0.23622047244094499" top="0.49" bottom="0.43307086614173201" header="0.15748031496063" footer="0.15748031496063"/>
  <pageSetup paperSize="9" scale="76" orientation="landscape" blackAndWhite="1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A3E2-2EF6-4EC2-B889-A6D8A0A50409}">
  <sheetPr>
    <tabColor rgb="FF0000FF"/>
  </sheetPr>
  <dimension ref="B1:J32"/>
  <sheetViews>
    <sheetView topLeftCell="A10" workbookViewId="0">
      <selection activeCell="E22" sqref="E22"/>
    </sheetView>
  </sheetViews>
  <sheetFormatPr defaultColWidth="10.88671875" defaultRowHeight="12"/>
  <cols>
    <col min="1" max="2" width="10.88671875" style="79"/>
    <col min="3" max="3" width="9.21875" style="79" customWidth="1"/>
    <col min="4" max="4" width="41.44140625" style="79" customWidth="1"/>
    <col min="5" max="5" width="10.88671875" style="113"/>
    <col min="6" max="6" width="12.109375" style="79" customWidth="1"/>
    <col min="7" max="7" width="15.88671875" style="79" customWidth="1"/>
    <col min="8" max="8" width="15.88671875" style="114" customWidth="1"/>
    <col min="9" max="9" width="15.44140625" style="79" customWidth="1"/>
    <col min="10" max="10" width="14.109375" style="79" customWidth="1"/>
    <col min="11" max="16384" width="10.88671875" style="79"/>
  </cols>
  <sheetData>
    <row r="1" spans="2:10" ht="16.8">
      <c r="C1" s="80" t="s">
        <v>51</v>
      </c>
      <c r="D1" s="80"/>
      <c r="E1" s="80"/>
      <c r="F1" s="81" t="s">
        <v>59</v>
      </c>
      <c r="G1" s="81"/>
      <c r="H1" s="81"/>
      <c r="I1" s="81"/>
      <c r="J1" s="81"/>
    </row>
    <row r="2" spans="2:10" ht="17.399999999999999">
      <c r="C2" s="82"/>
      <c r="D2" s="83"/>
      <c r="E2" s="84"/>
      <c r="F2" s="85" t="s">
        <v>60</v>
      </c>
      <c r="G2" s="85"/>
      <c r="H2" s="85"/>
      <c r="I2" s="85"/>
      <c r="J2" s="85"/>
    </row>
    <row r="3" spans="2:10" ht="16.8">
      <c r="C3" s="82"/>
      <c r="D3" s="86"/>
      <c r="E3" s="84"/>
      <c r="F3" s="87"/>
      <c r="G3" s="87"/>
      <c r="H3" s="88"/>
      <c r="I3" s="84"/>
      <c r="J3" s="84"/>
    </row>
    <row r="4" spans="2:10" ht="16.8">
      <c r="C4" s="82"/>
      <c r="D4" s="89"/>
      <c r="E4" s="84"/>
      <c r="F4" s="90" t="s">
        <v>61</v>
      </c>
      <c r="G4" s="90"/>
      <c r="H4" s="90"/>
      <c r="I4" s="90"/>
      <c r="J4" s="90"/>
    </row>
    <row r="5" spans="2:10" ht="16.8">
      <c r="C5" s="82"/>
      <c r="D5" s="91"/>
      <c r="E5" s="86"/>
      <c r="F5" s="87"/>
      <c r="G5" s="87"/>
      <c r="H5" s="88"/>
      <c r="I5" s="87"/>
      <c r="J5" s="87"/>
    </row>
    <row r="6" spans="2:10" ht="20.399999999999999">
      <c r="C6" s="92" t="s">
        <v>62</v>
      </c>
      <c r="D6" s="92"/>
      <c r="E6" s="92"/>
      <c r="F6" s="92"/>
      <c r="G6" s="92"/>
      <c r="H6" s="92"/>
      <c r="I6" s="92"/>
      <c r="J6" s="92"/>
    </row>
    <row r="7" spans="2:10" ht="17.399999999999999">
      <c r="C7" s="93" t="str">
        <f>QuyetToanKLA!C2</f>
        <v>Công trình: Sửa chữa đường dây trung thế huyện Cẩm Mỹ năm 2020.</v>
      </c>
      <c r="D7" s="93"/>
      <c r="E7" s="93"/>
      <c r="F7" s="93"/>
      <c r="G7" s="93"/>
      <c r="H7" s="93"/>
      <c r="I7" s="93"/>
      <c r="J7" s="93"/>
    </row>
    <row r="8" spans="2:10" ht="15.6">
      <c r="C8" s="94"/>
      <c r="D8" s="87"/>
      <c r="E8" s="84"/>
      <c r="F8" s="87"/>
      <c r="G8" s="87"/>
      <c r="H8" s="88"/>
      <c r="I8" s="84"/>
      <c r="J8" s="84"/>
    </row>
    <row r="9" spans="2:10" ht="18">
      <c r="C9" s="95" t="s">
        <v>63</v>
      </c>
      <c r="D9" s="95"/>
      <c r="E9" s="95"/>
      <c r="F9" s="95"/>
      <c r="G9" s="95"/>
      <c r="H9" s="95"/>
      <c r="I9" s="95"/>
      <c r="J9" s="95"/>
    </row>
    <row r="10" spans="2:10" ht="18">
      <c r="C10" s="95" t="s">
        <v>64</v>
      </c>
      <c r="D10" s="95"/>
      <c r="E10" s="95"/>
      <c r="F10" s="95"/>
      <c r="G10" s="95"/>
      <c r="H10" s="95"/>
      <c r="I10" s="95"/>
      <c r="J10" s="95"/>
    </row>
    <row r="11" spans="2:10" ht="18">
      <c r="C11" s="95" t="s">
        <v>65</v>
      </c>
      <c r="D11" s="95"/>
      <c r="E11" s="95"/>
      <c r="F11" s="95"/>
      <c r="G11" s="95"/>
      <c r="H11" s="95"/>
      <c r="I11" s="95"/>
      <c r="J11" s="95"/>
    </row>
    <row r="12" spans="2:10" ht="37.5" customHeight="1">
      <c r="C12" s="96" t="str">
        <f>"         Căn cứ hợp đồng đã được ký kết giữa Điện lực Xuân Lộc và Công ty TNHH Thu Lộc  về việc giao nhận thầu thi công xây lắp "&amp;C7&amp;"."</f>
        <v xml:space="preserve">         Căn cứ hợp đồng đã được ký kết giữa Điện lực Xuân Lộc và Công ty TNHH Thu Lộc  về việc giao nhận thầu thi công xây lắp Công trình: Sửa chữa đường dây trung thế huyện Cẩm Mỹ năm 2020..</v>
      </c>
      <c r="D12" s="96"/>
      <c r="E12" s="96"/>
      <c r="F12" s="96"/>
      <c r="G12" s="96"/>
      <c r="H12" s="96"/>
      <c r="I12" s="96"/>
      <c r="J12" s="96"/>
    </row>
    <row r="13" spans="2:10" ht="41.4" customHeight="1">
      <c r="C13" s="96" t="s">
        <v>66</v>
      </c>
      <c r="D13" s="96"/>
      <c r="E13" s="96"/>
      <c r="F13" s="96"/>
      <c r="G13" s="96"/>
      <c r="H13" s="96"/>
      <c r="I13" s="96"/>
      <c r="J13" s="96"/>
    </row>
    <row r="15" spans="2:10" ht="33" customHeight="1">
      <c r="C15" s="97" t="s">
        <v>67</v>
      </c>
      <c r="D15" s="97" t="s">
        <v>68</v>
      </c>
      <c r="E15" s="97" t="s">
        <v>69</v>
      </c>
      <c r="F15" s="97" t="s">
        <v>70</v>
      </c>
      <c r="G15" s="97" t="s">
        <v>7</v>
      </c>
      <c r="H15" s="98" t="s">
        <v>71</v>
      </c>
      <c r="I15" s="99" t="s">
        <v>72</v>
      </c>
      <c r="J15" s="97" t="s">
        <v>73</v>
      </c>
    </row>
    <row r="16" spans="2:10" s="100" customFormat="1" ht="24" customHeight="1">
      <c r="B16" s="100" t="s">
        <v>74</v>
      </c>
      <c r="C16" s="101">
        <f>ROW()-ROW($C$15)</f>
        <v>1</v>
      </c>
      <c r="D16" s="102" t="str">
        <f>_a!C10</f>
        <v>Cáp ACX 50/8mm2 (24)KV: (1,02xCd)</v>
      </c>
      <c r="E16" s="103" t="str">
        <f>_a!D10</f>
        <v>mét</v>
      </c>
      <c r="F16" s="104">
        <f>VLOOKUP(B16,QuyetToanKLA!A:S,13,0)</f>
        <v>1</v>
      </c>
      <c r="G16" s="105">
        <f>VLOOKUP(B16,QuyetToanKLA!A:S,16,0)</f>
        <v>5910000</v>
      </c>
      <c r="H16" s="105">
        <f>ROUND(F16*G16,0)</f>
        <v>5910000</v>
      </c>
      <c r="I16" s="106"/>
      <c r="J16" s="107"/>
    </row>
    <row r="17" spans="2:10" s="100" customFormat="1" ht="24" customHeight="1">
      <c r="B17" s="100" t="s">
        <v>75</v>
      </c>
      <c r="C17" s="101">
        <f t="shared" ref="C17:C21" si="0">ROW()-ROW($C$15)</f>
        <v>2</v>
      </c>
      <c r="D17" s="102" t="str">
        <f>_a!C11</f>
        <v>Cáp chằng D5/8" mạ kẽm nhúng</v>
      </c>
      <c r="E17" s="103" t="str">
        <f>_a!D11</f>
        <v>mét</v>
      </c>
      <c r="F17" s="104">
        <f>VLOOKUP(B17,QuyetToanKLA!A:S,13,0)</f>
        <v>8</v>
      </c>
      <c r="G17" s="105">
        <f>VLOOKUP(B17,QuyetToanKLA!A:S,16,0)</f>
        <v>198000</v>
      </c>
      <c r="H17" s="105">
        <f t="shared" ref="H17:H21" si="1">ROUND(F17*G17,0)</f>
        <v>1584000</v>
      </c>
      <c r="I17" s="106"/>
      <c r="J17" s="107"/>
    </row>
    <row r="18" spans="2:10" s="100" customFormat="1" ht="24" customHeight="1">
      <c r="B18" s="100" t="s">
        <v>76</v>
      </c>
      <c r="C18" s="101">
        <f t="shared" si="0"/>
        <v>3</v>
      </c>
      <c r="D18" s="102" t="str">
        <f>_a!C18</f>
        <v>Chân sứ đỉnh cong dài 870</v>
      </c>
      <c r="E18" s="103" t="str">
        <f>_a!D18</f>
        <v>cái</v>
      </c>
      <c r="F18" s="104">
        <f>VLOOKUP(B18,QuyetToanKLA!A:S,13,0)</f>
        <v>8</v>
      </c>
      <c r="G18" s="105">
        <f>VLOOKUP(B18,QuyetToanKLA!A:S,16,0)</f>
        <v>66000</v>
      </c>
      <c r="H18" s="105">
        <f t="shared" si="1"/>
        <v>528000</v>
      </c>
      <c r="I18" s="106"/>
      <c r="J18" s="107"/>
    </row>
    <row r="19" spans="2:10" s="100" customFormat="1" ht="24" customHeight="1">
      <c r="B19" s="100" t="s">
        <v>77</v>
      </c>
      <c r="C19" s="101">
        <f t="shared" si="0"/>
        <v>4</v>
      </c>
      <c r="D19" s="102" t="str">
        <f>_a!C19</f>
        <v>Chân sứ đỉnh thẳng dài 870</v>
      </c>
      <c r="E19" s="103" t="str">
        <f>_a!D19</f>
        <v>cái</v>
      </c>
      <c r="F19" s="104">
        <f>VLOOKUP(B19,QuyetToanKLA!A:S,13,0)</f>
        <v>6</v>
      </c>
      <c r="G19" s="105">
        <f>VLOOKUP(B19,QuyetToanKLA!A:S,16,0)</f>
        <v>235000</v>
      </c>
      <c r="H19" s="105">
        <f t="shared" si="1"/>
        <v>1410000</v>
      </c>
      <c r="I19" s="106"/>
      <c r="J19" s="107"/>
    </row>
    <row r="20" spans="2:10" s="100" customFormat="1" ht="24" customHeight="1">
      <c r="B20" s="100" t="s">
        <v>78</v>
      </c>
      <c r="C20" s="101">
        <f t="shared" si="0"/>
        <v>5</v>
      </c>
      <c r="D20" s="102" t="str">
        <f>_a!$C$24</f>
        <v>Sứ chằng lớn (90N): 01 cái/ bộ</v>
      </c>
      <c r="E20" s="103" t="str">
        <f>_a!$D$24</f>
        <v>cái</v>
      </c>
      <c r="F20" s="104">
        <f>VLOOKUP(B20,QuyetToanKLA!A:S,13,0)</f>
        <v>5</v>
      </c>
      <c r="G20" s="105">
        <f>VLOOKUP(B20,QuyetToanKLA!A:S,16,0)</f>
        <v>20000</v>
      </c>
      <c r="H20" s="105">
        <f t="shared" si="1"/>
        <v>100000</v>
      </c>
      <c r="I20" s="106"/>
      <c r="J20" s="107"/>
    </row>
    <row r="21" spans="2:10" s="100" customFormat="1" ht="24" customHeight="1">
      <c r="B21" s="100" t="s">
        <v>79</v>
      </c>
      <c r="C21" s="101">
        <f t="shared" si="0"/>
        <v>6</v>
      </c>
      <c r="D21" s="102" t="str">
        <f>_a!$C$26</f>
        <v>Sứ đứng 24KV</v>
      </c>
      <c r="E21" s="103" t="str">
        <f>_a!$D$26</f>
        <v>cái</v>
      </c>
      <c r="F21" s="104">
        <f>VLOOKUP(B21,QuyetToanKLA!A:S,13,0)</f>
        <v>4.25</v>
      </c>
      <c r="G21" s="105">
        <f>VLOOKUP(B21,QuyetToanKLA!A:S,16,0)</f>
        <v>219600</v>
      </c>
      <c r="H21" s="105">
        <f t="shared" si="1"/>
        <v>933300</v>
      </c>
      <c r="I21" s="106"/>
      <c r="J21" s="107"/>
    </row>
    <row r="22" spans="2:10" ht="22.5" customHeight="1">
      <c r="C22" s="108"/>
      <c r="D22" s="109" t="s">
        <v>80</v>
      </c>
      <c r="E22" s="110"/>
      <c r="F22" s="108"/>
      <c r="G22" s="108"/>
      <c r="H22" s="111">
        <f>SUM(H16:H21)</f>
        <v>10465300</v>
      </c>
      <c r="I22" s="108"/>
      <c r="J22" s="108"/>
    </row>
    <row r="24" spans="2:10" ht="15.6">
      <c r="D24" s="112"/>
    </row>
    <row r="25" spans="2:10" ht="17.399999999999999">
      <c r="D25" s="112"/>
      <c r="H25" s="54" t="s">
        <v>49</v>
      </c>
      <c r="I25" s="54"/>
      <c r="J25" s="54"/>
    </row>
    <row r="26" spans="2:10" ht="17.399999999999999">
      <c r="D26" s="112"/>
      <c r="H26" s="54" t="s">
        <v>51</v>
      </c>
      <c r="I26" s="54"/>
      <c r="J26" s="54"/>
    </row>
    <row r="27" spans="2:10" ht="17.399999999999999">
      <c r="D27" s="112"/>
      <c r="H27" s="54" t="s">
        <v>52</v>
      </c>
      <c r="I27" s="54"/>
      <c r="J27" s="54"/>
    </row>
    <row r="28" spans="2:10" ht="17.399999999999999">
      <c r="H28" s="58"/>
      <c r="I28" s="53"/>
      <c r="J28" s="53"/>
    </row>
    <row r="29" spans="2:10" ht="18">
      <c r="H29" s="115"/>
      <c r="I29" s="64"/>
      <c r="J29" s="64"/>
    </row>
    <row r="30" spans="2:10" ht="18">
      <c r="H30" s="115"/>
      <c r="I30" s="64"/>
      <c r="J30" s="64"/>
    </row>
    <row r="31" spans="2:10" ht="18">
      <c r="H31" s="115"/>
      <c r="I31" s="64"/>
      <c r="J31" s="64"/>
    </row>
    <row r="32" spans="2:10" ht="17.399999999999999">
      <c r="H32" s="54" t="s">
        <v>54</v>
      </c>
      <c r="I32" s="54"/>
      <c r="J32" s="54"/>
    </row>
  </sheetData>
  <mergeCells count="15">
    <mergeCell ref="H26:J26"/>
    <mergeCell ref="H27:J27"/>
    <mergeCell ref="H32:J32"/>
    <mergeCell ref="C9:J9"/>
    <mergeCell ref="C10:J10"/>
    <mergeCell ref="C11:J11"/>
    <mergeCell ref="C12:J12"/>
    <mergeCell ref="C13:J13"/>
    <mergeCell ref="H25:J25"/>
    <mergeCell ref="C1:E1"/>
    <mergeCell ref="F1:J1"/>
    <mergeCell ref="F2:J2"/>
    <mergeCell ref="F4:J4"/>
    <mergeCell ref="C6:J6"/>
    <mergeCell ref="C7:J7"/>
  </mergeCells>
  <printOptions horizontalCentered="1"/>
  <pageMargins left="0.47244094488188998" right="0.47244094488188998" top="0.43307086614173201" bottom="0.55118110236220497" header="0.31496062992126" footer="0.21"/>
  <pageSetup paperSize="9" orientation="landscape" r:id="rId1"/>
  <headerFoot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A712-0486-4B54-9858-643F8A750084}">
  <sheetPr filterMode="1">
    <tabColor rgb="FF0000FF"/>
  </sheetPr>
  <dimension ref="A1:N75"/>
  <sheetViews>
    <sheetView topLeftCell="C2" workbookViewId="0">
      <selection activeCell="H79" sqref="H79"/>
    </sheetView>
  </sheetViews>
  <sheetFormatPr defaultColWidth="10.88671875" defaultRowHeight="15.6" outlineLevelCol="1"/>
  <cols>
    <col min="1" max="1" width="9.109375" style="165" customWidth="1" outlineLevel="1"/>
    <col min="2" max="2" width="33" style="165" customWidth="1" outlineLevel="1"/>
    <col min="3" max="3" width="7.33203125" style="165" customWidth="1"/>
    <col min="4" max="4" width="55.5546875" style="165" customWidth="1"/>
    <col min="5" max="5" width="14" style="166" customWidth="1"/>
    <col min="6" max="6" width="17.6640625" style="165" customWidth="1"/>
    <col min="7" max="7" width="16.6640625" style="167" customWidth="1"/>
    <col min="8" max="8" width="15.88671875" style="168" customWidth="1"/>
    <col min="9" max="9" width="14.5546875" style="162" hidden="1" customWidth="1" outlineLevel="1"/>
    <col min="10" max="10" width="17.5546875" style="163" hidden="1" customWidth="1" outlineLevel="1"/>
    <col min="11" max="11" width="40.88671875" style="162" customWidth="1" collapsed="1"/>
    <col min="12" max="12" width="19.6640625" style="162" customWidth="1"/>
    <col min="13" max="13" width="20.33203125" style="169" customWidth="1"/>
    <col min="14" max="14" width="20.88671875" style="142" customWidth="1"/>
    <col min="15" max="16384" width="10.88671875" style="165"/>
  </cols>
  <sheetData>
    <row r="1" spans="1:14" s="116" customFormat="1" ht="21" customHeight="1">
      <c r="C1" s="117" t="s">
        <v>81</v>
      </c>
      <c r="D1" s="117"/>
      <c r="E1" s="117"/>
      <c r="F1" s="117"/>
      <c r="G1" s="117"/>
      <c r="H1" s="117"/>
      <c r="I1" s="117"/>
      <c r="J1" s="117"/>
      <c r="K1" s="117"/>
      <c r="L1" s="118"/>
      <c r="M1" s="119"/>
    </row>
    <row r="2" spans="1:14" s="116" customFormat="1" ht="21" customHeight="1">
      <c r="C2" s="120" t="s">
        <v>595</v>
      </c>
      <c r="D2" s="120"/>
      <c r="E2" s="120"/>
      <c r="F2" s="120"/>
      <c r="G2" s="120"/>
      <c r="H2" s="120"/>
      <c r="I2" s="120"/>
      <c r="J2" s="120"/>
      <c r="K2" s="120"/>
      <c r="L2" s="121"/>
      <c r="M2" s="122"/>
      <c r="N2" s="123"/>
    </row>
    <row r="3" spans="1:14" s="671" customFormat="1" ht="21" customHeight="1">
      <c r="C3" s="672" t="s">
        <v>596</v>
      </c>
      <c r="D3" s="672"/>
      <c r="E3" s="672"/>
      <c r="F3" s="672"/>
      <c r="G3" s="672"/>
      <c r="H3" s="672"/>
      <c r="I3" s="672"/>
      <c r="J3" s="672"/>
      <c r="K3" s="672"/>
      <c r="L3" s="673"/>
      <c r="M3" s="674"/>
      <c r="N3" s="675"/>
    </row>
    <row r="4" spans="1:14" s="128" customFormat="1" ht="16.5" customHeight="1">
      <c r="C4" s="129" t="s">
        <v>67</v>
      </c>
      <c r="D4" s="130" t="s">
        <v>2</v>
      </c>
      <c r="E4" s="131" t="s">
        <v>82</v>
      </c>
      <c r="F4" s="131" t="s">
        <v>83</v>
      </c>
      <c r="G4" s="131"/>
      <c r="H4" s="131"/>
      <c r="I4" s="130" t="s">
        <v>7</v>
      </c>
      <c r="J4" s="132" t="s">
        <v>84</v>
      </c>
      <c r="K4" s="133" t="s">
        <v>85</v>
      </c>
      <c r="L4" s="134"/>
      <c r="M4" s="134"/>
      <c r="N4" s="135" t="s">
        <v>86</v>
      </c>
    </row>
    <row r="5" spans="1:14" s="128" customFormat="1" ht="31.35" customHeight="1">
      <c r="C5" s="129"/>
      <c r="D5" s="130"/>
      <c r="E5" s="131"/>
      <c r="F5" s="136" t="s">
        <v>87</v>
      </c>
      <c r="G5" s="136" t="s">
        <v>88</v>
      </c>
      <c r="H5" s="137" t="s">
        <v>89</v>
      </c>
      <c r="I5" s="130"/>
      <c r="J5" s="132"/>
      <c r="K5" s="133"/>
      <c r="L5" s="134"/>
      <c r="M5" s="134"/>
      <c r="N5" s="135"/>
    </row>
    <row r="6" spans="1:14" s="128" customFormat="1" ht="20.25" customHeight="1">
      <c r="C6" s="138" t="s">
        <v>90</v>
      </c>
      <c r="D6" s="139" t="s">
        <v>91</v>
      </c>
      <c r="E6" s="136"/>
      <c r="F6" s="136"/>
      <c r="G6" s="136"/>
      <c r="H6" s="137"/>
      <c r="I6" s="139"/>
      <c r="J6" s="140">
        <f>SUM(J7:J7)</f>
        <v>-27.5</v>
      </c>
      <c r="K6" s="141"/>
      <c r="L6" s="134" t="s">
        <v>492</v>
      </c>
      <c r="M6" s="135">
        <v>1</v>
      </c>
      <c r="N6" s="142"/>
    </row>
    <row r="7" spans="1:14" s="143" customFormat="1" ht="34.950000000000003" customHeight="1">
      <c r="A7" s="143">
        <v>15</v>
      </c>
      <c r="B7" s="143" t="s">
        <v>27</v>
      </c>
      <c r="C7" s="136"/>
      <c r="D7" s="144" t="str">
        <f>_chiTiet!C94</f>
        <v>Cáp CXV 25mm2</v>
      </c>
      <c r="E7" s="145" t="str">
        <f>_chiTiet!D94</f>
        <v>mét</v>
      </c>
      <c r="F7" s="146">
        <f>_chiTiet!E94</f>
        <v>6</v>
      </c>
      <c r="G7" s="147">
        <f>_chiTiet!F94</f>
        <v>27.5</v>
      </c>
      <c r="H7" s="147">
        <f>G7-F7</f>
        <v>21.5</v>
      </c>
      <c r="I7" s="147">
        <f t="shared" ref="I7:J7" si="0">H7-G7</f>
        <v>-6</v>
      </c>
      <c r="J7" s="147">
        <f t="shared" si="0"/>
        <v>-27.5</v>
      </c>
      <c r="K7" s="157" t="str">
        <f>_chiTiet!$I$94</f>
        <v>Vật tư thay thế</v>
      </c>
      <c r="L7" s="148" t="s">
        <v>492</v>
      </c>
      <c r="M7" s="148">
        <f>IF(H7&gt;0,1,0)</f>
        <v>1</v>
      </c>
      <c r="N7" s="149"/>
    </row>
    <row r="8" spans="1:14" s="128" customFormat="1" ht="20.25" customHeight="1">
      <c r="A8" s="143"/>
      <c r="C8" s="138" t="s">
        <v>92</v>
      </c>
      <c r="D8" s="139" t="s">
        <v>93</v>
      </c>
      <c r="E8" s="136"/>
      <c r="F8" s="136"/>
      <c r="G8" s="136"/>
      <c r="H8" s="137"/>
      <c r="I8" s="139"/>
      <c r="J8" s="153" t="e">
        <f>SUM(J10:J31)</f>
        <v>#NAME?</v>
      </c>
      <c r="K8" s="141"/>
      <c r="L8" s="134" t="s">
        <v>492</v>
      </c>
      <c r="M8" s="148">
        <v>1</v>
      </c>
      <c r="N8" s="142"/>
    </row>
    <row r="9" spans="1:14" s="143" customFormat="1" ht="20.25" hidden="1" customHeight="1">
      <c r="B9" s="143" t="s">
        <v>489</v>
      </c>
      <c r="C9" s="145"/>
      <c r="D9" s="154"/>
      <c r="E9" s="155"/>
      <c r="F9" s="155"/>
      <c r="G9" s="156"/>
      <c r="H9" s="155"/>
      <c r="I9" s="151">
        <v>0</v>
      </c>
      <c r="J9" s="152" t="str">
        <f t="shared" ref="J9:J17" si="1">IF(I9&gt;0,I9*H9,"")</f>
        <v/>
      </c>
      <c r="K9" s="157"/>
      <c r="L9" s="148"/>
      <c r="M9" s="148">
        <f t="shared" ref="M9:M54" si="2">IF(H9&gt;0,1,0)</f>
        <v>0</v>
      </c>
      <c r="N9" s="149"/>
    </row>
    <row r="10" spans="1:14" s="143" customFormat="1" ht="20.25" hidden="1" customHeight="1">
      <c r="B10" s="143" t="s">
        <v>490</v>
      </c>
      <c r="C10" s="150"/>
      <c r="D10" s="144"/>
      <c r="E10" s="158"/>
      <c r="F10" s="158"/>
      <c r="G10" s="158"/>
      <c r="H10" s="158">
        <f>G10-F10</f>
        <v>0</v>
      </c>
      <c r="I10" s="151">
        <v>152700</v>
      </c>
      <c r="J10" s="152">
        <f t="shared" si="1"/>
        <v>0</v>
      </c>
      <c r="K10" s="157"/>
      <c r="L10" s="148"/>
      <c r="M10" s="148">
        <f t="shared" si="2"/>
        <v>0</v>
      </c>
      <c r="N10" s="149"/>
    </row>
    <row r="11" spans="1:14" s="143" customFormat="1" ht="20.25" hidden="1" customHeight="1">
      <c r="B11" s="143" t="s">
        <v>491</v>
      </c>
      <c r="C11" s="150"/>
      <c r="D11" s="144"/>
      <c r="E11" s="158"/>
      <c r="F11" s="158"/>
      <c r="G11" s="158"/>
      <c r="H11" s="158">
        <f t="shared" ref="H11" si="3">G11-F11</f>
        <v>0</v>
      </c>
      <c r="I11" s="151">
        <v>45500</v>
      </c>
      <c r="J11" s="152">
        <f t="shared" si="1"/>
        <v>0</v>
      </c>
      <c r="K11" s="157"/>
      <c r="L11" s="148"/>
      <c r="M11" s="148">
        <f t="shared" si="2"/>
        <v>0</v>
      </c>
      <c r="N11" s="149"/>
    </row>
    <row r="12" spans="1:14" s="143" customFormat="1" ht="18.75" hidden="1" customHeight="1">
      <c r="C12" s="150"/>
      <c r="D12" s="159"/>
      <c r="E12" s="158"/>
      <c r="F12" s="158"/>
      <c r="G12" s="158"/>
      <c r="H12" s="158"/>
      <c r="I12" s="151"/>
      <c r="J12" s="152"/>
      <c r="K12" s="157"/>
      <c r="L12" s="148"/>
      <c r="M12" s="148">
        <v>1</v>
      </c>
      <c r="N12" s="149"/>
    </row>
    <row r="13" spans="1:14" s="143" customFormat="1" ht="18" hidden="1" customHeight="1">
      <c r="B13" s="160" t="s">
        <v>96</v>
      </c>
      <c r="C13" s="150"/>
      <c r="D13" s="144"/>
      <c r="E13" s="158"/>
      <c r="F13" s="158"/>
      <c r="G13" s="161"/>
      <c r="H13" s="158">
        <f>IF(G13&gt;F13,G13-F13,0)</f>
        <v>0</v>
      </c>
      <c r="I13" s="151" t="e">
        <f t="shared" ref="I9:I16" si="4">VLOOKUP(B13,HopDong,16,0)</f>
        <v>#NAME?</v>
      </c>
      <c r="J13" s="152" t="e">
        <f t="shared" si="1"/>
        <v>#NAME?</v>
      </c>
      <c r="K13" s="157"/>
      <c r="L13" s="148"/>
      <c r="M13" s="148">
        <f t="shared" si="2"/>
        <v>0</v>
      </c>
      <c r="N13" s="149"/>
    </row>
    <row r="14" spans="1:14" s="143" customFormat="1" ht="18" hidden="1" customHeight="1">
      <c r="B14" s="160" t="s">
        <v>97</v>
      </c>
      <c r="C14" s="150"/>
      <c r="D14" s="144"/>
      <c r="E14" s="158"/>
      <c r="F14" s="158"/>
      <c r="G14" s="161"/>
      <c r="H14" s="158">
        <f t="shared" ref="H14:H38" si="5">IF(G14&gt;F14,G14-F14,0)</f>
        <v>0</v>
      </c>
      <c r="I14" s="151" t="e">
        <f t="shared" si="4"/>
        <v>#NAME?</v>
      </c>
      <c r="J14" s="152" t="e">
        <f t="shared" si="1"/>
        <v>#NAME?</v>
      </c>
      <c r="K14" s="157"/>
      <c r="L14" s="148"/>
      <c r="M14" s="148">
        <f t="shared" si="2"/>
        <v>0</v>
      </c>
      <c r="N14" s="149"/>
    </row>
    <row r="15" spans="1:14" s="143" customFormat="1" ht="29.4" hidden="1" customHeight="1">
      <c r="B15" s="160" t="s">
        <v>98</v>
      </c>
      <c r="C15" s="150"/>
      <c r="D15" s="144"/>
      <c r="E15" s="158"/>
      <c r="F15" s="158"/>
      <c r="G15" s="161"/>
      <c r="H15" s="158">
        <f t="shared" si="5"/>
        <v>0</v>
      </c>
      <c r="I15" s="151" t="e">
        <f t="shared" si="4"/>
        <v>#NAME?</v>
      </c>
      <c r="J15" s="152" t="e">
        <f t="shared" si="1"/>
        <v>#NAME?</v>
      </c>
      <c r="K15" s="157"/>
      <c r="L15" s="148"/>
      <c r="M15" s="148">
        <f t="shared" si="2"/>
        <v>0</v>
      </c>
      <c r="N15" s="149"/>
    </row>
    <row r="16" spans="1:14" s="143" customFormat="1" ht="29.4" hidden="1" customHeight="1">
      <c r="B16" s="160" t="s">
        <v>99</v>
      </c>
      <c r="C16" s="150"/>
      <c r="D16" s="144"/>
      <c r="E16" s="158"/>
      <c r="F16" s="158"/>
      <c r="G16" s="161"/>
      <c r="H16" s="158">
        <f t="shared" si="5"/>
        <v>0</v>
      </c>
      <c r="I16" s="151" t="e">
        <f t="shared" si="4"/>
        <v>#NAME?</v>
      </c>
      <c r="J16" s="152" t="e">
        <f t="shared" si="1"/>
        <v>#NAME?</v>
      </c>
      <c r="K16" s="157"/>
      <c r="L16" s="148"/>
      <c r="M16" s="148">
        <f t="shared" si="2"/>
        <v>0</v>
      </c>
      <c r="N16" s="149"/>
    </row>
    <row r="17" spans="1:14" s="143" customFormat="1" ht="29.4" hidden="1" customHeight="1">
      <c r="B17" s="160" t="s">
        <v>100</v>
      </c>
      <c r="C17" s="150"/>
      <c r="D17" s="144"/>
      <c r="E17" s="158"/>
      <c r="F17" s="158"/>
      <c r="G17" s="161"/>
      <c r="H17" s="158">
        <f t="shared" si="5"/>
        <v>0</v>
      </c>
      <c r="I17" s="151">
        <v>94500</v>
      </c>
      <c r="J17" s="152">
        <f t="shared" si="1"/>
        <v>0</v>
      </c>
      <c r="K17" s="157"/>
      <c r="L17" s="148"/>
      <c r="M17" s="148">
        <f t="shared" si="2"/>
        <v>0</v>
      </c>
      <c r="N17" s="149"/>
    </row>
    <row r="18" spans="1:14" s="143" customFormat="1" ht="29.4" hidden="1" customHeight="1">
      <c r="B18" s="160" t="s">
        <v>101</v>
      </c>
      <c r="C18" s="150"/>
      <c r="D18" s="144"/>
      <c r="E18" s="158"/>
      <c r="F18" s="158"/>
      <c r="G18" s="161"/>
      <c r="H18" s="158">
        <f t="shared" si="5"/>
        <v>0</v>
      </c>
      <c r="I18" s="151"/>
      <c r="J18" s="152"/>
      <c r="K18" s="157"/>
      <c r="L18" s="148"/>
      <c r="M18" s="148">
        <f t="shared" si="2"/>
        <v>0</v>
      </c>
      <c r="N18" s="149"/>
    </row>
    <row r="19" spans="1:14" s="143" customFormat="1" ht="29.4" hidden="1" customHeight="1">
      <c r="B19" s="160" t="s">
        <v>102</v>
      </c>
      <c r="C19" s="150"/>
      <c r="D19" s="144"/>
      <c r="E19" s="158"/>
      <c r="F19" s="158"/>
      <c r="G19" s="161"/>
      <c r="H19" s="158">
        <f t="shared" si="5"/>
        <v>0</v>
      </c>
      <c r="I19" s="151"/>
      <c r="J19" s="152"/>
      <c r="K19" s="157"/>
      <c r="L19" s="148"/>
      <c r="M19" s="148">
        <f t="shared" si="2"/>
        <v>0</v>
      </c>
      <c r="N19" s="149"/>
    </row>
    <row r="20" spans="1:14" s="143" customFormat="1" ht="29.4" hidden="1" customHeight="1">
      <c r="B20" s="160" t="s">
        <v>103</v>
      </c>
      <c r="C20" s="150"/>
      <c r="D20" s="144"/>
      <c r="E20" s="158"/>
      <c r="F20" s="158"/>
      <c r="G20" s="161"/>
      <c r="H20" s="158">
        <f t="shared" si="5"/>
        <v>0</v>
      </c>
      <c r="I20" s="151"/>
      <c r="J20" s="152"/>
      <c r="K20" s="157"/>
      <c r="L20" s="148"/>
      <c r="M20" s="148">
        <f t="shared" si="2"/>
        <v>0</v>
      </c>
      <c r="N20" s="149"/>
    </row>
    <row r="21" spans="1:14" s="143" customFormat="1" ht="29.4" hidden="1" customHeight="1">
      <c r="B21" s="160" t="s">
        <v>104</v>
      </c>
      <c r="C21" s="150"/>
      <c r="D21" s="144"/>
      <c r="E21" s="158"/>
      <c r="F21" s="158"/>
      <c r="G21" s="161"/>
      <c r="H21" s="158">
        <f t="shared" si="5"/>
        <v>0</v>
      </c>
      <c r="I21" s="151"/>
      <c r="J21" s="152"/>
      <c r="K21" s="157"/>
      <c r="L21" s="148"/>
      <c r="M21" s="148">
        <f t="shared" si="2"/>
        <v>0</v>
      </c>
      <c r="N21" s="149"/>
    </row>
    <row r="22" spans="1:14" s="143" customFormat="1" ht="19.5" hidden="1" customHeight="1">
      <c r="B22" s="160" t="s">
        <v>105</v>
      </c>
      <c r="C22" s="150"/>
      <c r="D22" s="144"/>
      <c r="E22" s="158"/>
      <c r="F22" s="158"/>
      <c r="G22" s="161"/>
      <c r="H22" s="158">
        <f t="shared" si="5"/>
        <v>0</v>
      </c>
      <c r="I22" s="151"/>
      <c r="J22" s="152"/>
      <c r="K22" s="157"/>
      <c r="L22" s="148"/>
      <c r="M22" s="148">
        <f t="shared" si="2"/>
        <v>0</v>
      </c>
      <c r="N22" s="149"/>
    </row>
    <row r="23" spans="1:14" s="143" customFormat="1" ht="18" hidden="1" customHeight="1">
      <c r="B23" s="160" t="s">
        <v>106</v>
      </c>
      <c r="C23" s="150"/>
      <c r="D23" s="144"/>
      <c r="E23" s="158"/>
      <c r="F23" s="158"/>
      <c r="G23" s="161"/>
      <c r="H23" s="158">
        <f t="shared" si="5"/>
        <v>0</v>
      </c>
      <c r="I23" s="151"/>
      <c r="J23" s="152"/>
      <c r="K23" s="157"/>
      <c r="L23" s="148"/>
      <c r="M23" s="148">
        <f t="shared" si="2"/>
        <v>0</v>
      </c>
      <c r="N23" s="149"/>
    </row>
    <row r="24" spans="1:14" s="143" customFormat="1" ht="29.4" hidden="1" customHeight="1">
      <c r="B24" s="160" t="s">
        <v>107</v>
      </c>
      <c r="C24" s="150"/>
      <c r="D24" s="144"/>
      <c r="E24" s="158"/>
      <c r="F24" s="158"/>
      <c r="G24" s="161"/>
      <c r="H24" s="158">
        <f t="shared" si="5"/>
        <v>0</v>
      </c>
      <c r="I24" s="151"/>
      <c r="J24" s="152"/>
      <c r="K24" s="157"/>
      <c r="L24" s="148"/>
      <c r="M24" s="148">
        <f t="shared" si="2"/>
        <v>0</v>
      </c>
      <c r="N24" s="149"/>
    </row>
    <row r="25" spans="1:14" s="143" customFormat="1" ht="29.4" hidden="1" customHeight="1">
      <c r="B25" s="160" t="s">
        <v>108</v>
      </c>
      <c r="C25" s="150"/>
      <c r="D25" s="144"/>
      <c r="E25" s="158"/>
      <c r="F25" s="158"/>
      <c r="G25" s="161"/>
      <c r="H25" s="158">
        <f t="shared" si="5"/>
        <v>0</v>
      </c>
      <c r="I25" s="151"/>
      <c r="J25" s="152"/>
      <c r="K25" s="157"/>
      <c r="L25" s="148"/>
      <c r="M25" s="148">
        <f t="shared" si="2"/>
        <v>0</v>
      </c>
      <c r="N25" s="149"/>
    </row>
    <row r="26" spans="1:14" s="143" customFormat="1" ht="29.4" hidden="1" customHeight="1">
      <c r="B26" s="160" t="s">
        <v>109</v>
      </c>
      <c r="C26" s="150"/>
      <c r="D26" s="144"/>
      <c r="E26" s="158"/>
      <c r="F26" s="158"/>
      <c r="G26" s="161"/>
      <c r="H26" s="158">
        <f t="shared" si="5"/>
        <v>0</v>
      </c>
      <c r="I26" s="151"/>
      <c r="J26" s="152"/>
      <c r="K26" s="157"/>
      <c r="L26" s="148"/>
      <c r="M26" s="148">
        <f t="shared" si="2"/>
        <v>0</v>
      </c>
      <c r="N26" s="149"/>
    </row>
    <row r="27" spans="1:14" s="143" customFormat="1" ht="18.75" hidden="1" customHeight="1">
      <c r="B27" s="160" t="s">
        <v>110</v>
      </c>
      <c r="C27" s="150"/>
      <c r="D27" s="144"/>
      <c r="E27" s="158"/>
      <c r="F27" s="158"/>
      <c r="G27" s="161"/>
      <c r="H27" s="158">
        <f t="shared" si="5"/>
        <v>0</v>
      </c>
      <c r="I27" s="151"/>
      <c r="J27" s="152"/>
      <c r="K27" s="157"/>
      <c r="L27" s="148"/>
      <c r="M27" s="148">
        <f t="shared" si="2"/>
        <v>0</v>
      </c>
      <c r="N27" s="149"/>
    </row>
    <row r="28" spans="1:14" s="143" customFormat="1" ht="17.25" hidden="1" customHeight="1">
      <c r="B28" s="160" t="s">
        <v>111</v>
      </c>
      <c r="C28" s="150"/>
      <c r="D28" s="144"/>
      <c r="E28" s="158"/>
      <c r="F28" s="158"/>
      <c r="G28" s="161"/>
      <c r="H28" s="158">
        <f t="shared" si="5"/>
        <v>0</v>
      </c>
      <c r="I28" s="151"/>
      <c r="J28" s="152"/>
      <c r="K28" s="157"/>
      <c r="L28" s="148"/>
      <c r="M28" s="148">
        <f t="shared" si="2"/>
        <v>0</v>
      </c>
      <c r="N28" s="149"/>
    </row>
    <row r="29" spans="1:14" s="143" customFormat="1" ht="29.4" hidden="1" customHeight="1">
      <c r="B29" s="160" t="s">
        <v>112</v>
      </c>
      <c r="C29" s="150"/>
      <c r="D29" s="144"/>
      <c r="E29" s="158"/>
      <c r="F29" s="158"/>
      <c r="G29" s="161"/>
      <c r="H29" s="158">
        <f t="shared" si="5"/>
        <v>0</v>
      </c>
      <c r="I29" s="151"/>
      <c r="J29" s="152"/>
      <c r="K29" s="157"/>
      <c r="L29" s="148"/>
      <c r="M29" s="148">
        <f t="shared" si="2"/>
        <v>0</v>
      </c>
      <c r="N29" s="149"/>
    </row>
    <row r="30" spans="1:14" s="143" customFormat="1" ht="29.4" hidden="1" customHeight="1">
      <c r="B30" s="160" t="s">
        <v>113</v>
      </c>
      <c r="C30" s="150"/>
      <c r="D30" s="144"/>
      <c r="E30" s="158"/>
      <c r="F30" s="158"/>
      <c r="G30" s="161"/>
      <c r="H30" s="158">
        <f t="shared" si="5"/>
        <v>0</v>
      </c>
      <c r="I30" s="151"/>
      <c r="J30" s="152"/>
      <c r="K30" s="157"/>
      <c r="L30" s="148"/>
      <c r="M30" s="148">
        <f t="shared" si="2"/>
        <v>0</v>
      </c>
      <c r="N30" s="149"/>
    </row>
    <row r="31" spans="1:14" s="143" customFormat="1" ht="29.4" hidden="1" customHeight="1">
      <c r="B31" s="160" t="s">
        <v>114</v>
      </c>
      <c r="C31" s="150"/>
      <c r="D31" s="144"/>
      <c r="E31" s="158"/>
      <c r="F31" s="158"/>
      <c r="G31" s="161"/>
      <c r="H31" s="158">
        <f t="shared" si="5"/>
        <v>0</v>
      </c>
      <c r="I31" s="151"/>
      <c r="J31" s="152"/>
      <c r="K31" s="157"/>
      <c r="L31" s="148"/>
      <c r="M31" s="148">
        <f t="shared" si="2"/>
        <v>0</v>
      </c>
      <c r="N31" s="149"/>
    </row>
    <row r="32" spans="1:14" s="142" customFormat="1" ht="16.8" hidden="1">
      <c r="A32" s="165"/>
      <c r="B32" s="160" t="s">
        <v>115</v>
      </c>
      <c r="C32" s="150"/>
      <c r="D32" s="144"/>
      <c r="E32" s="158"/>
      <c r="F32" s="158"/>
      <c r="G32" s="161"/>
      <c r="H32" s="158">
        <f t="shared" si="5"/>
        <v>0</v>
      </c>
      <c r="I32" s="162"/>
      <c r="J32" s="163"/>
      <c r="K32" s="157"/>
      <c r="L32" s="162"/>
      <c r="M32" s="148">
        <f t="shared" si="2"/>
        <v>0</v>
      </c>
    </row>
    <row r="33" spans="1:13" s="142" customFormat="1" ht="16.8" hidden="1">
      <c r="A33" s="165"/>
      <c r="B33" s="160" t="s">
        <v>116</v>
      </c>
      <c r="C33" s="150"/>
      <c r="D33" s="144"/>
      <c r="E33" s="158"/>
      <c r="F33" s="158"/>
      <c r="G33" s="161"/>
      <c r="H33" s="158">
        <f t="shared" si="5"/>
        <v>0</v>
      </c>
      <c r="I33" s="162"/>
      <c r="J33" s="163"/>
      <c r="K33" s="157"/>
      <c r="L33" s="162"/>
      <c r="M33" s="148">
        <f t="shared" si="2"/>
        <v>0</v>
      </c>
    </row>
    <row r="34" spans="1:13" s="142" customFormat="1" ht="16.8" hidden="1">
      <c r="A34" s="165"/>
      <c r="B34" s="160" t="s">
        <v>117</v>
      </c>
      <c r="C34" s="150"/>
      <c r="D34" s="144"/>
      <c r="E34" s="158"/>
      <c r="F34" s="158"/>
      <c r="G34" s="161"/>
      <c r="H34" s="158">
        <f t="shared" si="5"/>
        <v>0</v>
      </c>
      <c r="I34" s="162"/>
      <c r="J34" s="163"/>
      <c r="K34" s="157"/>
      <c r="L34" s="162"/>
      <c r="M34" s="148">
        <f t="shared" si="2"/>
        <v>0</v>
      </c>
    </row>
    <row r="35" spans="1:13" s="142" customFormat="1" ht="16.8" hidden="1">
      <c r="A35" s="165"/>
      <c r="B35" s="160" t="s">
        <v>118</v>
      </c>
      <c r="C35" s="150"/>
      <c r="D35" s="144"/>
      <c r="E35" s="158"/>
      <c r="F35" s="158"/>
      <c r="G35" s="161"/>
      <c r="H35" s="158">
        <f t="shared" si="5"/>
        <v>0</v>
      </c>
      <c r="I35" s="162"/>
      <c r="J35" s="163"/>
      <c r="K35" s="157"/>
      <c r="L35" s="162"/>
      <c r="M35" s="148">
        <f t="shared" si="2"/>
        <v>0</v>
      </c>
    </row>
    <row r="36" spans="1:13" s="142" customFormat="1" ht="16.8" hidden="1">
      <c r="A36" s="165"/>
      <c r="B36" s="160" t="s">
        <v>119</v>
      </c>
      <c r="C36" s="150"/>
      <c r="D36" s="144"/>
      <c r="E36" s="158"/>
      <c r="F36" s="158"/>
      <c r="G36" s="161"/>
      <c r="H36" s="158">
        <f t="shared" si="5"/>
        <v>0</v>
      </c>
      <c r="I36" s="162"/>
      <c r="J36" s="163"/>
      <c r="K36" s="157"/>
      <c r="L36" s="162"/>
      <c r="M36" s="148">
        <f t="shared" si="2"/>
        <v>0</v>
      </c>
    </row>
    <row r="37" spans="1:13" s="142" customFormat="1" ht="16.8" hidden="1">
      <c r="A37" s="165"/>
      <c r="B37" s="160" t="s">
        <v>120</v>
      </c>
      <c r="C37" s="150"/>
      <c r="D37" s="144"/>
      <c r="E37" s="158"/>
      <c r="F37" s="158"/>
      <c r="G37" s="161"/>
      <c r="H37" s="158">
        <f t="shared" si="5"/>
        <v>0</v>
      </c>
      <c r="I37" s="162"/>
      <c r="J37" s="163"/>
      <c r="K37" s="157"/>
      <c r="L37" s="162"/>
      <c r="M37" s="148">
        <f t="shared" si="2"/>
        <v>0</v>
      </c>
    </row>
    <row r="38" spans="1:13" s="142" customFormat="1" ht="16.8" hidden="1">
      <c r="A38" s="165"/>
      <c r="B38" s="160" t="s">
        <v>121</v>
      </c>
      <c r="C38" s="150"/>
      <c r="D38" s="144"/>
      <c r="E38" s="158"/>
      <c r="F38" s="158"/>
      <c r="G38" s="161"/>
      <c r="H38" s="158">
        <f t="shared" si="5"/>
        <v>0</v>
      </c>
      <c r="I38" s="162"/>
      <c r="J38" s="163"/>
      <c r="K38" s="157"/>
      <c r="L38" s="162"/>
      <c r="M38" s="148">
        <f t="shared" si="2"/>
        <v>0</v>
      </c>
    </row>
    <row r="39" spans="1:13" s="142" customFormat="1" ht="16.8" hidden="1">
      <c r="A39" s="165"/>
      <c r="B39" s="160">
        <v>0</v>
      </c>
      <c r="C39" s="150"/>
      <c r="D39" s="159"/>
      <c r="E39" s="158"/>
      <c r="F39" s="158"/>
      <c r="G39" s="161"/>
      <c r="H39" s="158"/>
      <c r="I39" s="162"/>
      <c r="J39" s="163"/>
      <c r="K39" s="157"/>
      <c r="L39" s="162"/>
      <c r="M39" s="148">
        <v>1</v>
      </c>
    </row>
    <row r="40" spans="1:13" s="142" customFormat="1" ht="16.8" hidden="1">
      <c r="A40" s="165"/>
      <c r="B40" s="160" t="s">
        <v>122</v>
      </c>
      <c r="C40" s="150"/>
      <c r="D40" s="144"/>
      <c r="E40" s="158"/>
      <c r="F40" s="158"/>
      <c r="G40" s="161"/>
      <c r="H40" s="158">
        <f t="shared" ref="H40:H54" si="6">IF(G40&gt;F40,G40-F40,0)</f>
        <v>0</v>
      </c>
      <c r="I40" s="162"/>
      <c r="J40" s="163"/>
      <c r="K40" s="157"/>
      <c r="L40" s="162"/>
      <c r="M40" s="148">
        <f t="shared" si="2"/>
        <v>0</v>
      </c>
    </row>
    <row r="41" spans="1:13" s="142" customFormat="1" ht="16.8" hidden="1">
      <c r="A41" s="165"/>
      <c r="B41" s="160" t="s">
        <v>123</v>
      </c>
      <c r="C41" s="150"/>
      <c r="D41" s="144"/>
      <c r="E41" s="158"/>
      <c r="F41" s="158"/>
      <c r="G41" s="161"/>
      <c r="H41" s="158">
        <f t="shared" si="6"/>
        <v>0</v>
      </c>
      <c r="I41" s="162"/>
      <c r="J41" s="163"/>
      <c r="K41" s="157"/>
      <c r="L41" s="162"/>
      <c r="M41" s="148">
        <f t="shared" si="2"/>
        <v>0</v>
      </c>
    </row>
    <row r="42" spans="1:13" s="142" customFormat="1" ht="16.8" hidden="1">
      <c r="A42" s="165"/>
      <c r="B42" s="160" t="s">
        <v>124</v>
      </c>
      <c r="C42" s="150"/>
      <c r="D42" s="144"/>
      <c r="E42" s="158"/>
      <c r="F42" s="158"/>
      <c r="G42" s="161"/>
      <c r="H42" s="158">
        <f t="shared" si="6"/>
        <v>0</v>
      </c>
      <c r="I42" s="162"/>
      <c r="J42" s="163"/>
      <c r="K42" s="157"/>
      <c r="L42" s="162"/>
      <c r="M42" s="148">
        <f t="shared" si="2"/>
        <v>0</v>
      </c>
    </row>
    <row r="43" spans="1:13" s="142" customFormat="1" ht="16.8" hidden="1">
      <c r="A43" s="165"/>
      <c r="B43" s="160" t="s">
        <v>125</v>
      </c>
      <c r="C43" s="150"/>
      <c r="D43" s="144"/>
      <c r="E43" s="158"/>
      <c r="F43" s="158"/>
      <c r="G43" s="161"/>
      <c r="H43" s="158">
        <f t="shared" si="6"/>
        <v>0</v>
      </c>
      <c r="I43" s="162"/>
      <c r="J43" s="163"/>
      <c r="K43" s="157"/>
      <c r="L43" s="162"/>
      <c r="M43" s="148">
        <f t="shared" si="2"/>
        <v>0</v>
      </c>
    </row>
    <row r="44" spans="1:13" s="142" customFormat="1" ht="16.8" hidden="1">
      <c r="A44" s="165"/>
      <c r="B44" s="160" t="s">
        <v>126</v>
      </c>
      <c r="C44" s="150"/>
      <c r="D44" s="144"/>
      <c r="E44" s="158"/>
      <c r="F44" s="158"/>
      <c r="G44" s="158"/>
      <c r="H44" s="158">
        <f t="shared" si="6"/>
        <v>0</v>
      </c>
      <c r="I44" s="162"/>
      <c r="J44" s="163"/>
      <c r="K44" s="157"/>
      <c r="L44" s="162"/>
      <c r="M44" s="148">
        <f t="shared" si="2"/>
        <v>0</v>
      </c>
    </row>
    <row r="45" spans="1:13" s="142" customFormat="1" ht="16.8" hidden="1">
      <c r="A45" s="165"/>
      <c r="B45" s="160" t="s">
        <v>107</v>
      </c>
      <c r="C45" s="150"/>
      <c r="D45" s="144"/>
      <c r="E45" s="158"/>
      <c r="F45" s="158"/>
      <c r="G45" s="158"/>
      <c r="H45" s="158">
        <f t="shared" si="6"/>
        <v>0</v>
      </c>
      <c r="I45" s="162"/>
      <c r="J45" s="163"/>
      <c r="K45" s="157"/>
      <c r="L45" s="162"/>
      <c r="M45" s="148">
        <f t="shared" si="2"/>
        <v>0</v>
      </c>
    </row>
    <row r="46" spans="1:13" s="142" customFormat="1" ht="16.8" hidden="1">
      <c r="A46" s="165"/>
      <c r="B46" s="160" t="s">
        <v>127</v>
      </c>
      <c r="C46" s="150"/>
      <c r="D46" s="144"/>
      <c r="E46" s="158"/>
      <c r="F46" s="158"/>
      <c r="G46" s="158"/>
      <c r="H46" s="158">
        <f t="shared" si="6"/>
        <v>0</v>
      </c>
      <c r="I46" s="162"/>
      <c r="J46" s="163"/>
      <c r="K46" s="157"/>
      <c r="L46" s="162"/>
      <c r="M46" s="148">
        <f t="shared" si="2"/>
        <v>0</v>
      </c>
    </row>
    <row r="47" spans="1:13" s="142" customFormat="1" ht="16.8" hidden="1">
      <c r="A47" s="165"/>
      <c r="B47" s="160" t="s">
        <v>128</v>
      </c>
      <c r="C47" s="150"/>
      <c r="D47" s="144"/>
      <c r="E47" s="158"/>
      <c r="F47" s="158"/>
      <c r="G47" s="158"/>
      <c r="H47" s="158">
        <f t="shared" si="6"/>
        <v>0</v>
      </c>
      <c r="I47" s="162"/>
      <c r="J47" s="163"/>
      <c r="K47" s="157"/>
      <c r="L47" s="162"/>
      <c r="M47" s="148">
        <f t="shared" si="2"/>
        <v>0</v>
      </c>
    </row>
    <row r="48" spans="1:13" s="142" customFormat="1" ht="16.8" hidden="1">
      <c r="A48" s="165"/>
      <c r="B48" s="160" t="s">
        <v>116</v>
      </c>
      <c r="C48" s="150"/>
      <c r="D48" s="144"/>
      <c r="E48" s="158"/>
      <c r="F48" s="158"/>
      <c r="G48" s="158"/>
      <c r="H48" s="158">
        <f t="shared" si="6"/>
        <v>0</v>
      </c>
      <c r="I48" s="162"/>
      <c r="J48" s="163"/>
      <c r="K48" s="157"/>
      <c r="L48" s="162"/>
      <c r="M48" s="148">
        <f t="shared" si="2"/>
        <v>0</v>
      </c>
    </row>
    <row r="49" spans="1:14" s="142" customFormat="1" ht="16.8" hidden="1">
      <c r="A49" s="165"/>
      <c r="B49" s="160" t="s">
        <v>129</v>
      </c>
      <c r="C49" s="150"/>
      <c r="D49" s="144"/>
      <c r="E49" s="158"/>
      <c r="F49" s="158"/>
      <c r="G49" s="158"/>
      <c r="H49" s="158">
        <f t="shared" si="6"/>
        <v>0</v>
      </c>
      <c r="I49" s="162"/>
      <c r="J49" s="163"/>
      <c r="K49" s="157"/>
      <c r="L49" s="162"/>
      <c r="M49" s="148">
        <f t="shared" si="2"/>
        <v>0</v>
      </c>
    </row>
    <row r="50" spans="1:14" s="142" customFormat="1" ht="16.8" hidden="1">
      <c r="A50" s="165"/>
      <c r="B50" s="160" t="s">
        <v>130</v>
      </c>
      <c r="C50" s="150"/>
      <c r="D50" s="144"/>
      <c r="E50" s="158"/>
      <c r="F50" s="158"/>
      <c r="G50" s="158"/>
      <c r="H50" s="158">
        <f t="shared" si="6"/>
        <v>0</v>
      </c>
      <c r="I50" s="162"/>
      <c r="J50" s="163"/>
      <c r="K50" s="157"/>
      <c r="L50" s="162"/>
      <c r="M50" s="148">
        <f t="shared" si="2"/>
        <v>0</v>
      </c>
    </row>
    <row r="51" spans="1:14" s="142" customFormat="1" ht="16.8" hidden="1">
      <c r="A51" s="165"/>
      <c r="B51" s="160" t="s">
        <v>131</v>
      </c>
      <c r="C51" s="150"/>
      <c r="D51" s="144"/>
      <c r="E51" s="158"/>
      <c r="F51" s="158"/>
      <c r="G51" s="158"/>
      <c r="H51" s="158">
        <f t="shared" si="6"/>
        <v>0</v>
      </c>
      <c r="I51" s="162"/>
      <c r="J51" s="163"/>
      <c r="K51" s="157"/>
      <c r="L51" s="162"/>
      <c r="M51" s="148">
        <f t="shared" si="2"/>
        <v>0</v>
      </c>
    </row>
    <row r="52" spans="1:14" s="142" customFormat="1" ht="16.8" hidden="1">
      <c r="A52" s="165"/>
      <c r="B52" s="160" t="s">
        <v>132</v>
      </c>
      <c r="C52" s="150"/>
      <c r="D52" s="144"/>
      <c r="E52" s="158"/>
      <c r="F52" s="158"/>
      <c r="G52" s="158"/>
      <c r="H52" s="158">
        <f t="shared" si="6"/>
        <v>0</v>
      </c>
      <c r="I52" s="162"/>
      <c r="J52" s="163"/>
      <c r="K52" s="157"/>
      <c r="L52" s="162"/>
      <c r="M52" s="148">
        <f t="shared" si="2"/>
        <v>0</v>
      </c>
    </row>
    <row r="53" spans="1:14" s="142" customFormat="1" ht="16.8" hidden="1">
      <c r="A53" s="165"/>
      <c r="B53" s="160" t="s">
        <v>133</v>
      </c>
      <c r="C53" s="150"/>
      <c r="D53" s="144"/>
      <c r="E53" s="158"/>
      <c r="F53" s="158"/>
      <c r="G53" s="158"/>
      <c r="H53" s="158">
        <f t="shared" si="6"/>
        <v>0</v>
      </c>
      <c r="I53" s="162"/>
      <c r="J53" s="163"/>
      <c r="K53" s="157"/>
      <c r="L53" s="162"/>
      <c r="M53" s="148">
        <f t="shared" si="2"/>
        <v>0</v>
      </c>
    </row>
    <row r="54" spans="1:14" s="142" customFormat="1" ht="16.8" hidden="1">
      <c r="A54" s="165"/>
      <c r="B54" s="160" t="s">
        <v>133</v>
      </c>
      <c r="C54" s="150"/>
      <c r="D54" s="144"/>
      <c r="E54" s="158"/>
      <c r="F54" s="158"/>
      <c r="G54" s="158"/>
      <c r="H54" s="158">
        <f t="shared" si="6"/>
        <v>0</v>
      </c>
      <c r="I54" s="162"/>
      <c r="J54" s="163"/>
      <c r="K54" s="164"/>
      <c r="L54" s="162"/>
      <c r="M54" s="148">
        <f t="shared" si="2"/>
        <v>0</v>
      </c>
    </row>
    <row r="55" spans="1:14" s="142" customFormat="1" ht="7.5" customHeight="1">
      <c r="A55" s="165"/>
      <c r="B55" s="165"/>
      <c r="C55" s="165"/>
      <c r="D55" s="165"/>
      <c r="E55" s="166"/>
      <c r="F55" s="165"/>
      <c r="G55" s="167"/>
      <c r="H55" s="168"/>
      <c r="I55" s="162"/>
      <c r="J55" s="163"/>
      <c r="K55" s="162"/>
      <c r="L55" s="162"/>
      <c r="M55" s="169"/>
    </row>
    <row r="56" spans="1:14" s="142" customFormat="1" ht="16.8" hidden="1">
      <c r="A56" s="165"/>
      <c r="B56" s="165"/>
      <c r="C56" s="170" t="s">
        <v>47</v>
      </c>
      <c r="D56" s="170"/>
      <c r="E56" s="171"/>
      <c r="F56" s="172"/>
      <c r="G56" s="173" t="s">
        <v>49</v>
      </c>
      <c r="H56" s="171"/>
      <c r="I56" s="171"/>
      <c r="J56" s="171"/>
      <c r="K56" s="171"/>
      <c r="L56" s="162"/>
      <c r="M56" s="169"/>
    </row>
    <row r="57" spans="1:14" s="142" customFormat="1" ht="16.8" hidden="1">
      <c r="A57" s="165"/>
      <c r="B57" s="165"/>
      <c r="C57" s="170" t="s">
        <v>50</v>
      </c>
      <c r="D57" s="170"/>
      <c r="E57" s="171"/>
      <c r="F57" s="172"/>
      <c r="G57" s="173" t="s">
        <v>51</v>
      </c>
      <c r="H57" s="171"/>
      <c r="I57" s="171"/>
      <c r="J57" s="171"/>
      <c r="K57" s="171"/>
      <c r="L57" s="162"/>
      <c r="M57" s="169"/>
    </row>
    <row r="58" spans="1:14" s="142" customFormat="1" ht="16.8" hidden="1">
      <c r="A58" s="165"/>
      <c r="B58" s="165"/>
      <c r="C58" s="170" t="s">
        <v>52</v>
      </c>
      <c r="D58" s="170"/>
      <c r="E58" s="174"/>
      <c r="F58" s="175" t="s">
        <v>134</v>
      </c>
      <c r="G58" s="176"/>
      <c r="H58" s="175" t="s">
        <v>52</v>
      </c>
      <c r="I58" s="174"/>
      <c r="J58" s="174"/>
      <c r="K58" s="174"/>
      <c r="L58" s="162"/>
      <c r="M58" s="169"/>
    </row>
    <row r="59" spans="1:14" s="142" customFormat="1" ht="14.25" hidden="1" customHeight="1">
      <c r="A59" s="165"/>
      <c r="B59" s="165"/>
      <c r="C59" s="173"/>
      <c r="D59" s="173"/>
      <c r="E59" s="175"/>
      <c r="F59" s="173"/>
      <c r="G59" s="176"/>
      <c r="H59" s="176"/>
      <c r="I59" s="172"/>
      <c r="J59" s="172"/>
      <c r="K59" s="172"/>
      <c r="L59" s="162"/>
      <c r="M59" s="169"/>
    </row>
    <row r="60" spans="1:14" s="142" customFormat="1" ht="16.8" hidden="1">
      <c r="A60" s="165"/>
      <c r="B60" s="165"/>
      <c r="C60" s="173"/>
      <c r="D60" s="173"/>
      <c r="E60" s="175"/>
      <c r="F60" s="173"/>
      <c r="G60" s="176"/>
      <c r="H60" s="176"/>
      <c r="I60" s="172"/>
      <c r="J60" s="172"/>
      <c r="K60" s="172"/>
      <c r="L60" s="162"/>
      <c r="M60" s="169"/>
    </row>
    <row r="61" spans="1:14" s="142" customFormat="1" ht="16.8" hidden="1">
      <c r="A61" s="165"/>
      <c r="B61" s="165"/>
      <c r="C61" s="173"/>
      <c r="D61" s="173"/>
      <c r="E61" s="175"/>
      <c r="F61" s="173"/>
      <c r="G61" s="176"/>
      <c r="H61" s="176"/>
      <c r="I61" s="172"/>
      <c r="J61" s="172"/>
      <c r="K61" s="172"/>
      <c r="L61" s="162"/>
      <c r="M61" s="169"/>
    </row>
    <row r="62" spans="1:14" s="142" customFormat="1" ht="16.8" hidden="1">
      <c r="A62" s="165"/>
      <c r="B62" s="165"/>
      <c r="C62" s="173"/>
      <c r="D62" s="173"/>
      <c r="E62" s="175"/>
      <c r="F62" s="173"/>
      <c r="G62" s="176"/>
      <c r="H62" s="176"/>
      <c r="I62" s="172"/>
      <c r="J62" s="172"/>
      <c r="K62" s="172"/>
      <c r="L62" s="162"/>
      <c r="M62" s="169"/>
    </row>
    <row r="63" spans="1:14" s="142" customFormat="1" ht="16.8" hidden="1">
      <c r="A63" s="165"/>
      <c r="B63" s="165"/>
      <c r="C63" s="170" t="s">
        <v>53</v>
      </c>
      <c r="D63" s="170"/>
      <c r="E63" s="174"/>
      <c r="F63" s="175" t="s">
        <v>46</v>
      </c>
      <c r="G63" s="176"/>
      <c r="H63" s="175" t="s">
        <v>54</v>
      </c>
      <c r="I63" s="174"/>
      <c r="J63" s="174"/>
      <c r="K63" s="174"/>
      <c r="L63" s="162"/>
      <c r="M63" s="169"/>
    </row>
    <row r="64" spans="1:14" s="162" customFormat="1" ht="3.75" hidden="1" customHeight="1">
      <c r="A64" s="165"/>
      <c r="B64" s="165"/>
      <c r="C64" s="177"/>
      <c r="D64" s="178"/>
      <c r="E64" s="179"/>
      <c r="F64" s="178"/>
      <c r="G64" s="178"/>
      <c r="H64" s="178"/>
      <c r="I64" s="178"/>
      <c r="J64" s="178"/>
      <c r="K64" s="179"/>
      <c r="M64" s="169"/>
      <c r="N64" s="142"/>
    </row>
    <row r="65" spans="1:14" s="162" customFormat="1" ht="16.8" hidden="1">
      <c r="A65" s="165"/>
      <c r="B65" s="165"/>
      <c r="C65" s="170" t="s">
        <v>48</v>
      </c>
      <c r="D65" s="170"/>
      <c r="E65" s="170"/>
      <c r="F65" s="170"/>
      <c r="G65" s="180" t="s">
        <v>135</v>
      </c>
      <c r="H65" s="180"/>
      <c r="I65" s="180"/>
      <c r="J65" s="180"/>
      <c r="K65" s="180"/>
      <c r="M65" s="169"/>
      <c r="N65" s="142"/>
    </row>
    <row r="66" spans="1:14" s="162" customFormat="1" ht="36.75" hidden="1" customHeight="1">
      <c r="A66" s="165"/>
      <c r="B66" s="165"/>
      <c r="C66" s="181" t="s">
        <v>136</v>
      </c>
      <c r="D66" s="182"/>
      <c r="E66" s="182"/>
      <c r="F66" s="182"/>
      <c r="G66" s="182" t="s">
        <v>137</v>
      </c>
      <c r="H66" s="182"/>
      <c r="I66" s="182"/>
      <c r="J66" s="182"/>
      <c r="K66" s="182"/>
      <c r="M66" s="169"/>
      <c r="N66" s="142"/>
    </row>
    <row r="67" spans="1:14" s="162" customFormat="1" ht="16.8" hidden="1">
      <c r="A67" s="165"/>
      <c r="B67" s="165"/>
      <c r="C67" s="183" t="s">
        <v>138</v>
      </c>
      <c r="D67" s="183"/>
      <c r="E67" s="183"/>
      <c r="F67" s="183"/>
      <c r="G67" s="184" t="s">
        <v>52</v>
      </c>
      <c r="H67" s="184"/>
      <c r="I67" s="184"/>
      <c r="J67" s="184"/>
      <c r="K67" s="184"/>
      <c r="M67" s="169"/>
      <c r="N67" s="142"/>
    </row>
    <row r="68" spans="1:14" s="162" customFormat="1" ht="16.8" hidden="1">
      <c r="A68" s="165"/>
      <c r="B68" s="165"/>
      <c r="C68" s="185"/>
      <c r="D68" s="186"/>
      <c r="E68" s="172"/>
      <c r="F68" s="172"/>
      <c r="G68" s="172"/>
      <c r="H68" s="175"/>
      <c r="I68" s="175"/>
      <c r="J68" s="175"/>
      <c r="K68" s="178"/>
      <c r="M68" s="169"/>
      <c r="N68" s="142"/>
    </row>
    <row r="69" spans="1:14" s="162" customFormat="1" ht="16.8" hidden="1">
      <c r="A69" s="165"/>
      <c r="B69" s="165"/>
      <c r="C69" s="185"/>
      <c r="D69" s="186"/>
      <c r="E69" s="172"/>
      <c r="F69" s="172"/>
      <c r="G69" s="172"/>
      <c r="H69" s="175"/>
      <c r="I69" s="175"/>
      <c r="J69" s="175"/>
      <c r="K69" s="178"/>
      <c r="M69" s="169"/>
      <c r="N69" s="142"/>
    </row>
    <row r="70" spans="1:14" s="162" customFormat="1" ht="10.5" hidden="1" customHeight="1">
      <c r="A70" s="165"/>
      <c r="B70" s="165"/>
      <c r="C70" s="185"/>
      <c r="D70" s="186"/>
      <c r="E70" s="172"/>
      <c r="F70" s="172"/>
      <c r="G70" s="172"/>
      <c r="H70" s="179"/>
      <c r="I70" s="178"/>
      <c r="J70" s="173"/>
      <c r="K70" s="178"/>
      <c r="M70" s="169"/>
      <c r="N70" s="142"/>
    </row>
    <row r="71" spans="1:14" s="162" customFormat="1" ht="16.8" hidden="1">
      <c r="A71" s="165"/>
      <c r="B71" s="165"/>
      <c r="C71" s="185"/>
      <c r="D71" s="186"/>
      <c r="E71" s="172"/>
      <c r="F71" s="172"/>
      <c r="G71" s="172"/>
      <c r="H71" s="179"/>
      <c r="I71" s="178"/>
      <c r="J71" s="173"/>
      <c r="K71" s="178"/>
      <c r="M71" s="169"/>
      <c r="N71" s="142"/>
    </row>
    <row r="72" spans="1:14" s="162" customFormat="1" ht="16.8" hidden="1">
      <c r="A72" s="165"/>
      <c r="B72" s="165"/>
      <c r="C72" s="183" t="s">
        <v>139</v>
      </c>
      <c r="D72" s="183"/>
      <c r="E72" s="183"/>
      <c r="F72" s="183"/>
      <c r="G72" s="184" t="s">
        <v>58</v>
      </c>
      <c r="H72" s="184"/>
      <c r="I72" s="184"/>
      <c r="J72" s="184"/>
      <c r="K72" s="184"/>
      <c r="M72" s="169"/>
      <c r="N72" s="142"/>
    </row>
    <row r="73" spans="1:14" hidden="1"/>
    <row r="74" spans="1:14" hidden="1"/>
    <row r="75" spans="1:14" hidden="1"/>
  </sheetData>
  <autoFilter ref="A5:N54" xr:uid="{00000000-0009-0000-0000-000010000000}">
    <filterColumn colId="11">
      <customFilters>
        <customFilter operator="notEqual" val=" "/>
      </customFilters>
    </filterColumn>
  </autoFilter>
  <mergeCells count="22">
    <mergeCell ref="C66:F66"/>
    <mergeCell ref="G66:K66"/>
    <mergeCell ref="C67:F67"/>
    <mergeCell ref="G67:K67"/>
    <mergeCell ref="C72:F72"/>
    <mergeCell ref="G72:K72"/>
    <mergeCell ref="C56:D56"/>
    <mergeCell ref="C57:D57"/>
    <mergeCell ref="C58:D58"/>
    <mergeCell ref="C63:D63"/>
    <mergeCell ref="C65:F65"/>
    <mergeCell ref="G65:K65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69559055118110202" right="0.31496062992126" top="0.66" bottom="0.54" header="0.26" footer="0.19"/>
  <pageSetup scale="80" orientation="landscape" blackAndWhite="1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A4B2-B62D-4C13-B823-7494284872C8}">
  <sheetPr>
    <tabColor rgb="FF0000FF"/>
  </sheetPr>
  <dimension ref="A1:N26"/>
  <sheetViews>
    <sheetView topLeftCell="C1" workbookViewId="0">
      <selection activeCell="F10" sqref="F10:J10"/>
    </sheetView>
  </sheetViews>
  <sheetFormatPr defaultColWidth="9.109375" defaultRowHeight="15.6" outlineLevelCol="1"/>
  <cols>
    <col min="1" max="1" width="9.109375" style="165" customWidth="1" outlineLevel="1"/>
    <col min="2" max="2" width="26.44140625" style="165" customWidth="1" outlineLevel="1"/>
    <col min="3" max="3" width="7.33203125" style="165" customWidth="1"/>
    <col min="4" max="4" width="44.5546875" style="165" customWidth="1"/>
    <col min="5" max="5" width="13.33203125" style="166" customWidth="1"/>
    <col min="6" max="6" width="13.44140625" style="165" customWidth="1"/>
    <col min="7" max="7" width="13.44140625" style="167" customWidth="1"/>
    <col min="8" max="8" width="11.109375" style="168" customWidth="1"/>
    <col min="9" max="9" width="14.5546875" style="162" customWidth="1" outlineLevel="1"/>
    <col min="10" max="10" width="17.5546875" style="163" customWidth="1" outlineLevel="1"/>
    <col min="11" max="11" width="23.21875" style="162" customWidth="1"/>
    <col min="12" max="12" width="19.6640625" style="162" customWidth="1"/>
    <col min="13" max="13" width="20.33203125" style="169" customWidth="1"/>
    <col min="14" max="14" width="20.88671875" style="142" customWidth="1"/>
    <col min="15" max="16384" width="9.109375" style="165"/>
  </cols>
  <sheetData>
    <row r="1" spans="1:14" s="116" customFormat="1" ht="17.25" customHeight="1">
      <c r="C1" s="117" t="s">
        <v>140</v>
      </c>
      <c r="D1" s="117"/>
      <c r="E1" s="117"/>
      <c r="F1" s="117"/>
      <c r="G1" s="117"/>
      <c r="H1" s="117"/>
      <c r="I1" s="117"/>
      <c r="J1" s="117"/>
      <c r="K1" s="117"/>
      <c r="L1" s="118"/>
      <c r="M1" s="119"/>
    </row>
    <row r="2" spans="1:14" s="116" customFormat="1" ht="18.75" customHeight="1">
      <c r="C2" s="120" t="str">
        <f>KLTang!C2</f>
        <v>Công trình: Sửa chữa đường dây trung thế huyện Cẩm Mỹ năm 2020.</v>
      </c>
      <c r="D2" s="120"/>
      <c r="E2" s="120"/>
      <c r="F2" s="120"/>
      <c r="G2" s="120"/>
      <c r="H2" s="120"/>
      <c r="I2" s="120"/>
      <c r="J2" s="120"/>
      <c r="K2" s="120"/>
      <c r="L2" s="121"/>
      <c r="M2" s="122"/>
      <c r="N2" s="123"/>
    </row>
    <row r="3" spans="1:14" s="116" customFormat="1" ht="19.5" customHeight="1">
      <c r="C3" s="124" t="str">
        <f>KLTang!C3</f>
        <v>Địa điểm: Huyện Cẩm Mỹ - Tỉnh Đồng Nai</v>
      </c>
      <c r="D3" s="124"/>
      <c r="E3" s="124"/>
      <c r="F3" s="124"/>
      <c r="G3" s="124"/>
      <c r="H3" s="124"/>
      <c r="I3" s="124"/>
      <c r="J3" s="124"/>
      <c r="K3" s="124"/>
      <c r="L3" s="125"/>
      <c r="M3" s="126"/>
      <c r="N3" s="127"/>
    </row>
    <row r="4" spans="1:14" s="128" customFormat="1" ht="18.75" customHeight="1">
      <c r="C4" s="129" t="s">
        <v>67</v>
      </c>
      <c r="D4" s="130" t="s">
        <v>2</v>
      </c>
      <c r="E4" s="131" t="s">
        <v>82</v>
      </c>
      <c r="F4" s="131" t="s">
        <v>83</v>
      </c>
      <c r="G4" s="131"/>
      <c r="H4" s="131"/>
      <c r="I4" s="130" t="s">
        <v>7</v>
      </c>
      <c r="J4" s="132" t="s">
        <v>84</v>
      </c>
      <c r="K4" s="133" t="s">
        <v>85</v>
      </c>
      <c r="L4" s="134"/>
      <c r="M4" s="134"/>
      <c r="N4" s="135" t="s">
        <v>86</v>
      </c>
    </row>
    <row r="5" spans="1:14" s="128" customFormat="1" ht="31.35" customHeight="1">
      <c r="C5" s="129"/>
      <c r="D5" s="130"/>
      <c r="E5" s="131"/>
      <c r="F5" s="136" t="s">
        <v>87</v>
      </c>
      <c r="G5" s="136" t="s">
        <v>88</v>
      </c>
      <c r="H5" s="137" t="s">
        <v>89</v>
      </c>
      <c r="I5" s="130"/>
      <c r="J5" s="132"/>
      <c r="K5" s="133"/>
      <c r="L5" s="134"/>
      <c r="M5" s="134"/>
      <c r="N5" s="135"/>
    </row>
    <row r="6" spans="1:14" s="128" customFormat="1" ht="19.5" customHeight="1">
      <c r="C6" s="138" t="s">
        <v>90</v>
      </c>
      <c r="D6" s="139" t="s">
        <v>91</v>
      </c>
      <c r="E6" s="136"/>
      <c r="F6" s="136"/>
      <c r="G6" s="136"/>
      <c r="H6" s="137"/>
      <c r="I6" s="139"/>
      <c r="J6" s="140">
        <f>SUM(J7:J7)</f>
        <v>1666881.885</v>
      </c>
      <c r="K6" s="141"/>
      <c r="L6" s="134"/>
      <c r="M6" s="135">
        <v>1</v>
      </c>
      <c r="N6" s="142"/>
    </row>
    <row r="7" spans="1:14" s="143" customFormat="1" ht="19.5" customHeight="1">
      <c r="A7" s="143">
        <v>15</v>
      </c>
      <c r="B7" s="143" t="s">
        <v>27</v>
      </c>
      <c r="C7" s="136"/>
      <c r="D7" s="144" t="str">
        <f>KLTang!D7</f>
        <v>Cáp CXV 25mm2</v>
      </c>
      <c r="E7" s="145" t="str">
        <f>KLTang!E7</f>
        <v>mét</v>
      </c>
      <c r="F7" s="146">
        <f>KLTang!F7</f>
        <v>6</v>
      </c>
      <c r="G7" s="147">
        <f>KLTang!G7</f>
        <v>27.5</v>
      </c>
      <c r="H7" s="147">
        <f>KLTang!H7</f>
        <v>21.5</v>
      </c>
      <c r="I7" s="678">
        <v>77529.39</v>
      </c>
      <c r="J7" s="187">
        <f>I7*H7</f>
        <v>1666881.885</v>
      </c>
      <c r="K7" s="677"/>
      <c r="L7" s="148"/>
      <c r="M7" s="148">
        <f>IF(J7&gt;0,1,0)</f>
        <v>1</v>
      </c>
      <c r="N7" s="149"/>
    </row>
    <row r="8" spans="1:14" s="128" customFormat="1" ht="21" customHeight="1">
      <c r="A8" s="143"/>
      <c r="C8" s="138" t="s">
        <v>92</v>
      </c>
      <c r="D8" s="139" t="s">
        <v>93</v>
      </c>
      <c r="E8" s="136"/>
      <c r="F8" s="136"/>
      <c r="G8" s="136"/>
      <c r="H8" s="137"/>
      <c r="I8" s="139"/>
      <c r="J8" s="153">
        <v>0</v>
      </c>
      <c r="K8" s="141"/>
      <c r="L8" s="134"/>
      <c r="M8" s="148">
        <f t="shared" ref="M8" si="0">IF(J8&gt;0,1,0)</f>
        <v>0</v>
      </c>
      <c r="N8" s="142"/>
    </row>
    <row r="9" spans="1:14" ht="6" customHeight="1"/>
    <row r="10" spans="1:14" ht="16.8">
      <c r="C10" s="170" t="s">
        <v>47</v>
      </c>
      <c r="D10" s="170"/>
      <c r="E10" s="171"/>
      <c r="F10" s="170" t="s">
        <v>49</v>
      </c>
      <c r="G10" s="170"/>
      <c r="H10" s="170"/>
      <c r="I10" s="170"/>
      <c r="J10" s="170"/>
      <c r="K10" s="171"/>
    </row>
    <row r="11" spans="1:14" ht="16.8">
      <c r="C11" s="170" t="s">
        <v>50</v>
      </c>
      <c r="D11" s="170"/>
      <c r="E11" s="171"/>
      <c r="F11" s="170" t="s">
        <v>51</v>
      </c>
      <c r="G11" s="170"/>
      <c r="H11" s="170"/>
      <c r="I11" s="170"/>
      <c r="J11" s="170"/>
      <c r="K11" s="171"/>
    </row>
    <row r="12" spans="1:14" ht="16.8">
      <c r="C12" s="170" t="s">
        <v>52</v>
      </c>
      <c r="D12" s="170"/>
      <c r="E12" s="174"/>
      <c r="F12" s="184" t="s">
        <v>134</v>
      </c>
      <c r="G12" s="184"/>
      <c r="H12" s="184" t="s">
        <v>52</v>
      </c>
      <c r="I12" s="184"/>
      <c r="J12" s="184"/>
      <c r="K12" s="174"/>
    </row>
    <row r="13" spans="1:14" ht="16.8">
      <c r="C13" s="173"/>
      <c r="D13" s="173"/>
      <c r="E13" s="175"/>
      <c r="F13" s="173"/>
      <c r="G13" s="176"/>
      <c r="H13" s="176"/>
      <c r="I13" s="172"/>
      <c r="J13" s="172"/>
      <c r="K13" s="172"/>
    </row>
    <row r="14" spans="1:14" ht="16.8">
      <c r="C14" s="173"/>
      <c r="D14" s="173"/>
      <c r="E14" s="175"/>
      <c r="F14" s="173"/>
      <c r="G14" s="176"/>
      <c r="H14" s="176"/>
      <c r="I14" s="172"/>
      <c r="J14" s="172"/>
      <c r="K14" s="172"/>
    </row>
    <row r="15" spans="1:14" ht="8.25" customHeight="1">
      <c r="C15" s="173"/>
      <c r="D15" s="173"/>
      <c r="E15" s="175"/>
      <c r="F15" s="173"/>
      <c r="G15" s="176"/>
      <c r="H15" s="176"/>
      <c r="I15" s="172"/>
      <c r="J15" s="172"/>
      <c r="K15" s="172"/>
    </row>
    <row r="16" spans="1:14" ht="8.25" customHeight="1">
      <c r="C16" s="173"/>
      <c r="D16" s="173"/>
      <c r="E16" s="175"/>
      <c r="F16" s="173"/>
      <c r="G16" s="176"/>
      <c r="H16" s="176"/>
      <c r="I16" s="172"/>
      <c r="J16" s="172"/>
      <c r="K16" s="172"/>
    </row>
    <row r="17" spans="1:14" ht="16.8">
      <c r="C17" s="170" t="s">
        <v>53</v>
      </c>
      <c r="D17" s="170"/>
      <c r="E17" s="174"/>
      <c r="F17" s="184" t="s">
        <v>46</v>
      </c>
      <c r="G17" s="184"/>
      <c r="H17" s="184" t="s">
        <v>54</v>
      </c>
      <c r="I17" s="184"/>
      <c r="J17" s="184"/>
      <c r="K17" s="174"/>
    </row>
    <row r="18" spans="1:14" ht="3" customHeight="1">
      <c r="C18" s="177"/>
      <c r="D18" s="178"/>
      <c r="E18" s="179"/>
      <c r="F18" s="178"/>
      <c r="G18" s="178"/>
      <c r="H18" s="178"/>
      <c r="I18" s="178"/>
      <c r="J18" s="178"/>
      <c r="K18" s="179"/>
    </row>
    <row r="19" spans="1:14" s="162" customFormat="1" ht="16.8">
      <c r="A19" s="165"/>
      <c r="B19" s="165"/>
      <c r="C19" s="170" t="s">
        <v>48</v>
      </c>
      <c r="D19" s="170"/>
      <c r="E19" s="170"/>
      <c r="F19" s="170"/>
      <c r="G19" s="180" t="s">
        <v>135</v>
      </c>
      <c r="H19" s="180"/>
      <c r="I19" s="180"/>
      <c r="J19" s="180"/>
      <c r="K19" s="191"/>
      <c r="M19" s="169"/>
      <c r="N19" s="142"/>
    </row>
    <row r="20" spans="1:14" s="162" customFormat="1" ht="36" customHeight="1">
      <c r="A20" s="165"/>
      <c r="B20" s="165"/>
      <c r="C20" s="181" t="s">
        <v>136</v>
      </c>
      <c r="D20" s="182"/>
      <c r="E20" s="182"/>
      <c r="F20" s="182"/>
      <c r="G20" s="182" t="s">
        <v>137</v>
      </c>
      <c r="H20" s="182"/>
      <c r="I20" s="182"/>
      <c r="J20" s="182"/>
      <c r="K20" s="192"/>
      <c r="M20" s="169"/>
      <c r="N20" s="142"/>
    </row>
    <row r="21" spans="1:14" s="162" customFormat="1" ht="16.8">
      <c r="A21" s="165"/>
      <c r="B21" s="165"/>
      <c r="C21" s="183" t="s">
        <v>138</v>
      </c>
      <c r="D21" s="183"/>
      <c r="E21" s="183"/>
      <c r="F21" s="183"/>
      <c r="G21" s="184" t="s">
        <v>52</v>
      </c>
      <c r="H21" s="184"/>
      <c r="I21" s="184"/>
      <c r="J21" s="184"/>
      <c r="K21" s="174"/>
      <c r="M21" s="169"/>
      <c r="N21" s="142"/>
    </row>
    <row r="22" spans="1:14" s="162" customFormat="1" ht="16.8">
      <c r="A22" s="165"/>
      <c r="B22" s="165"/>
      <c r="C22" s="185"/>
      <c r="D22" s="186"/>
      <c r="E22" s="172"/>
      <c r="F22" s="172"/>
      <c r="G22" s="172"/>
      <c r="H22" s="175"/>
      <c r="I22" s="175"/>
      <c r="J22" s="175"/>
      <c r="K22" s="178"/>
      <c r="M22" s="169"/>
      <c r="N22" s="142"/>
    </row>
    <row r="23" spans="1:14" s="162" customFormat="1" ht="16.8">
      <c r="A23" s="165"/>
      <c r="B23" s="165"/>
      <c r="C23" s="185"/>
      <c r="D23" s="186"/>
      <c r="E23" s="172"/>
      <c r="F23" s="172"/>
      <c r="G23" s="172"/>
      <c r="H23" s="175"/>
      <c r="I23" s="175"/>
      <c r="J23" s="175"/>
      <c r="K23" s="178"/>
      <c r="M23" s="169"/>
      <c r="N23" s="142"/>
    </row>
    <row r="24" spans="1:14" s="162" customFormat="1" ht="16.8">
      <c r="A24" s="165"/>
      <c r="B24" s="165"/>
      <c r="C24" s="185"/>
      <c r="D24" s="186"/>
      <c r="E24" s="172"/>
      <c r="F24" s="172"/>
      <c r="G24" s="172"/>
      <c r="H24" s="179"/>
      <c r="I24" s="178"/>
      <c r="J24" s="173"/>
      <c r="K24" s="178"/>
      <c r="M24" s="169"/>
      <c r="N24" s="142"/>
    </row>
    <row r="25" spans="1:14" s="162" customFormat="1" ht="16.8">
      <c r="A25" s="165"/>
      <c r="B25" s="165"/>
      <c r="C25" s="185"/>
      <c r="D25" s="186"/>
      <c r="E25" s="172"/>
      <c r="F25" s="172"/>
      <c r="G25" s="172"/>
      <c r="H25" s="179"/>
      <c r="I25" s="178"/>
      <c r="J25" s="173"/>
      <c r="K25" s="178"/>
      <c r="M25" s="169"/>
      <c r="N25" s="142"/>
    </row>
    <row r="26" spans="1:14" s="162" customFormat="1" ht="16.8">
      <c r="A26" s="165"/>
      <c r="B26" s="165"/>
      <c r="C26" s="183" t="s">
        <v>139</v>
      </c>
      <c r="D26" s="183"/>
      <c r="E26" s="183"/>
      <c r="F26" s="183"/>
      <c r="G26" s="184" t="s">
        <v>58</v>
      </c>
      <c r="H26" s="184"/>
      <c r="I26" s="184"/>
      <c r="J26" s="184"/>
      <c r="K26" s="174"/>
      <c r="M26" s="169"/>
      <c r="N26" s="142"/>
    </row>
  </sheetData>
  <autoFilter ref="A5:N8" xr:uid="{00000000-0009-0000-0000-000011000000}"/>
  <mergeCells count="28">
    <mergeCell ref="C21:F21"/>
    <mergeCell ref="G21:J21"/>
    <mergeCell ref="C26:F26"/>
    <mergeCell ref="G26:J26"/>
    <mergeCell ref="C17:D17"/>
    <mergeCell ref="F17:G17"/>
    <mergeCell ref="H17:J17"/>
    <mergeCell ref="C19:F19"/>
    <mergeCell ref="G19:J19"/>
    <mergeCell ref="C20:F20"/>
    <mergeCell ref="G20:J20"/>
    <mergeCell ref="C10:D10"/>
    <mergeCell ref="F10:J10"/>
    <mergeCell ref="C11:D11"/>
    <mergeCell ref="F11:J11"/>
    <mergeCell ref="C12:D12"/>
    <mergeCell ref="F12:G12"/>
    <mergeCell ref="H12:J12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66" bottom="0.54" header="0.26" footer="0.19"/>
  <pageSetup paperSize="9" scale="87" orientation="landscape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681-4EBC-4823-804B-04C3A9B27FCE}">
  <sheetPr filterMode="1">
    <tabColor rgb="FF0000FF"/>
  </sheetPr>
  <dimension ref="A1:N148"/>
  <sheetViews>
    <sheetView workbookViewId="0">
      <selection activeCell="F7" sqref="F7:G17"/>
    </sheetView>
  </sheetViews>
  <sheetFormatPr defaultColWidth="10.88671875" defaultRowHeight="15.6" outlineLevelCol="1"/>
  <cols>
    <col min="1" max="1" width="10.88671875" style="165"/>
    <col min="2" max="2" width="22.44140625" style="165" customWidth="1"/>
    <col min="3" max="3" width="7.33203125" style="165" customWidth="1"/>
    <col min="4" max="4" width="56.6640625" style="165" customWidth="1"/>
    <col min="5" max="5" width="11" style="166" customWidth="1"/>
    <col min="6" max="6" width="13.6640625" style="165" customWidth="1"/>
    <col min="7" max="7" width="14.44140625" style="167" customWidth="1"/>
    <col min="8" max="8" width="14" style="168" customWidth="1"/>
    <col min="9" max="9" width="13.88671875" style="162" hidden="1" customWidth="1" outlineLevel="1"/>
    <col min="10" max="10" width="13.88671875" style="163" hidden="1" customWidth="1" outlineLevel="1"/>
    <col min="11" max="11" width="19.44140625" style="162" customWidth="1" collapsed="1"/>
    <col min="12" max="12" width="19.6640625" style="162" customWidth="1"/>
    <col min="13" max="13" width="20.33203125" style="169" customWidth="1"/>
    <col min="14" max="14" width="20.88671875" style="142" customWidth="1"/>
    <col min="15" max="16384" width="10.88671875" style="165"/>
  </cols>
  <sheetData>
    <row r="1" spans="1:14" s="116" customFormat="1" ht="21" customHeight="1">
      <c r="C1" s="193" t="s">
        <v>141</v>
      </c>
      <c r="D1" s="193"/>
      <c r="E1" s="193"/>
      <c r="F1" s="193"/>
      <c r="G1" s="193"/>
      <c r="H1" s="193"/>
      <c r="I1" s="117"/>
      <c r="J1" s="117"/>
      <c r="K1" s="193"/>
      <c r="L1" s="118"/>
      <c r="M1" s="119"/>
    </row>
    <row r="2" spans="1:14" s="671" customFormat="1" ht="21" customHeight="1">
      <c r="C2" s="194" t="str">
        <f>KLTang!C2</f>
        <v>Công trình: Sửa chữa đường dây trung thế huyện Cẩm Mỹ năm 2020.</v>
      </c>
      <c r="D2" s="194"/>
      <c r="E2" s="194"/>
      <c r="F2" s="194"/>
      <c r="G2" s="194"/>
      <c r="H2" s="194"/>
      <c r="I2" s="120"/>
      <c r="J2" s="120"/>
      <c r="K2" s="194"/>
      <c r="L2" s="121"/>
      <c r="M2" s="122"/>
      <c r="N2" s="123"/>
    </row>
    <row r="3" spans="1:14" s="671" customFormat="1" ht="21" customHeight="1">
      <c r="C3" s="676" t="str">
        <f>KLTang!C3</f>
        <v>Địa điểm: Huyện Cẩm Mỹ - Tỉnh Đồng Nai</v>
      </c>
      <c r="D3" s="676"/>
      <c r="E3" s="676"/>
      <c r="F3" s="676"/>
      <c r="G3" s="676"/>
      <c r="H3" s="676"/>
      <c r="I3" s="124"/>
      <c r="J3" s="124"/>
      <c r="K3" s="676"/>
      <c r="L3" s="673"/>
      <c r="M3" s="674"/>
      <c r="N3" s="675"/>
    </row>
    <row r="4" spans="1:14" s="128" customFormat="1" ht="18" customHeight="1">
      <c r="C4" s="195" t="s">
        <v>67</v>
      </c>
      <c r="D4" s="196" t="s">
        <v>2</v>
      </c>
      <c r="E4" s="197" t="s">
        <v>82</v>
      </c>
      <c r="F4" s="197" t="s">
        <v>83</v>
      </c>
      <c r="G4" s="197"/>
      <c r="H4" s="197"/>
      <c r="I4" s="130" t="s">
        <v>7</v>
      </c>
      <c r="J4" s="132" t="s">
        <v>84</v>
      </c>
      <c r="K4" s="198" t="s">
        <v>85</v>
      </c>
      <c r="L4" s="134"/>
      <c r="M4" s="134"/>
      <c r="N4" s="135" t="s">
        <v>86</v>
      </c>
    </row>
    <row r="5" spans="1:14" s="128" customFormat="1" ht="31.35" customHeight="1">
      <c r="C5" s="195"/>
      <c r="D5" s="196"/>
      <c r="E5" s="197"/>
      <c r="F5" s="199" t="s">
        <v>87</v>
      </c>
      <c r="G5" s="199" t="s">
        <v>88</v>
      </c>
      <c r="H5" s="200" t="s">
        <v>142</v>
      </c>
      <c r="I5" s="130"/>
      <c r="J5" s="132"/>
      <c r="K5" s="198"/>
      <c r="L5" s="134"/>
      <c r="M5" s="134"/>
      <c r="N5" s="135"/>
    </row>
    <row r="6" spans="1:14" s="128" customFormat="1" ht="18.600000000000001" customHeight="1">
      <c r="C6" s="201" t="s">
        <v>90</v>
      </c>
      <c r="D6" s="202" t="s">
        <v>91</v>
      </c>
      <c r="E6" s="199"/>
      <c r="F6" s="199"/>
      <c r="G6" s="199"/>
      <c r="H6" s="200"/>
      <c r="I6" s="139"/>
      <c r="J6" s="140" t="e">
        <f>SUM(J7:J30)</f>
        <v>#NAME?</v>
      </c>
      <c r="K6" s="203"/>
      <c r="L6" s="134"/>
      <c r="M6" s="135">
        <v>1</v>
      </c>
      <c r="N6" s="142"/>
    </row>
    <row r="7" spans="1:14" s="143" customFormat="1" ht="18.600000000000001" customHeight="1">
      <c r="B7" s="143" t="s">
        <v>493</v>
      </c>
      <c r="C7" s="199"/>
      <c r="D7" s="679" t="str">
        <f>_chiTiet!C28</f>
        <v>Đà hộp composite 110x80x5-800</v>
      </c>
      <c r="E7" s="680" t="str">
        <f>_chiTiet!D28</f>
        <v>cái</v>
      </c>
      <c r="F7" s="680">
        <f>_chiTiet!E28</f>
        <v>10</v>
      </c>
      <c r="G7" s="680">
        <f>_chiTiet!F28</f>
        <v>6</v>
      </c>
      <c r="H7" s="206">
        <f>F7-G7</f>
        <v>4</v>
      </c>
      <c r="I7" s="151">
        <v>0</v>
      </c>
      <c r="J7" s="152" t="str">
        <f t="shared" ref="J7:J30" si="0">IF(I7&gt;0,H7*I7,"")</f>
        <v/>
      </c>
      <c r="K7" s="207"/>
      <c r="L7" s="148"/>
      <c r="M7" s="148">
        <f>IF(H7&gt;0,1,0)</f>
        <v>1</v>
      </c>
      <c r="N7" s="149"/>
    </row>
    <row r="8" spans="1:14" s="143" customFormat="1" ht="18.600000000000001" customHeight="1">
      <c r="B8" s="143" t="s">
        <v>33</v>
      </c>
      <c r="C8" s="208"/>
      <c r="D8" s="679" t="str">
        <f>_chiTiet!C30</f>
        <v>Thanh chống composite 10x40x720</v>
      </c>
      <c r="E8" s="680" t="str">
        <f>_chiTiet!D30</f>
        <v>cái</v>
      </c>
      <c r="F8" s="680">
        <f>_chiTiet!E30</f>
        <v>10</v>
      </c>
      <c r="G8" s="680">
        <f>_chiTiet!F30</f>
        <v>7</v>
      </c>
      <c r="H8" s="211">
        <f t="shared" ref="H8:H71" si="1">F8-G8</f>
        <v>3</v>
      </c>
      <c r="I8" s="151">
        <v>300000</v>
      </c>
      <c r="J8" s="152">
        <f t="shared" si="0"/>
        <v>900000</v>
      </c>
      <c r="K8" s="207"/>
      <c r="L8" s="148"/>
      <c r="M8" s="148">
        <f t="shared" ref="M8:M71" si="2">IF(H8&gt;0,1,0)</f>
        <v>1</v>
      </c>
      <c r="N8" s="149"/>
    </row>
    <row r="9" spans="1:14" s="212" customFormat="1" ht="18.600000000000001" customHeight="1">
      <c r="A9" s="143"/>
      <c r="B9" s="212" t="s">
        <v>496</v>
      </c>
      <c r="C9" s="213"/>
      <c r="D9" s="679" t="str">
        <f>_chiTiet!C36</f>
        <v>Cáp chằng D5/8" mạ kẽm nhúng</v>
      </c>
      <c r="E9" s="680" t="str">
        <f>_chiTiet!D36</f>
        <v>mét</v>
      </c>
      <c r="F9" s="680">
        <f>_chiTiet!E36</f>
        <v>1665</v>
      </c>
      <c r="G9" s="680">
        <f>_chiTiet!F36</f>
        <v>1635</v>
      </c>
      <c r="H9" s="211">
        <f t="shared" si="1"/>
        <v>30</v>
      </c>
      <c r="I9" s="151">
        <v>0</v>
      </c>
      <c r="J9" s="152" t="str">
        <f t="shared" si="0"/>
        <v/>
      </c>
      <c r="K9" s="207"/>
      <c r="L9" s="148"/>
      <c r="M9" s="148">
        <f t="shared" si="2"/>
        <v>1</v>
      </c>
      <c r="N9" s="149"/>
    </row>
    <row r="10" spans="1:14" s="212" customFormat="1" ht="18.600000000000001" customHeight="1">
      <c r="A10" s="143"/>
      <c r="B10" s="212" t="s">
        <v>26</v>
      </c>
      <c r="C10" s="213"/>
      <c r="D10" s="679" t="str">
        <f>_chiTiet!C37</f>
        <v>Sứ chằng lớn (90N): 01 cái/ bộ</v>
      </c>
      <c r="E10" s="680" t="str">
        <f>_chiTiet!D37</f>
        <v>cái</v>
      </c>
      <c r="F10" s="680">
        <f>_chiTiet!E37</f>
        <v>111</v>
      </c>
      <c r="G10" s="680">
        <f>_chiTiet!F37</f>
        <v>109</v>
      </c>
      <c r="H10" s="214">
        <f t="shared" si="1"/>
        <v>2</v>
      </c>
      <c r="I10" s="151">
        <v>219600</v>
      </c>
      <c r="J10" s="152">
        <f t="shared" si="0"/>
        <v>439200</v>
      </c>
      <c r="K10" s="215"/>
      <c r="L10" s="148"/>
      <c r="M10" s="148">
        <f t="shared" si="2"/>
        <v>1</v>
      </c>
      <c r="N10" s="149"/>
    </row>
    <row r="11" spans="1:14" s="212" customFormat="1" ht="18.600000000000001" customHeight="1">
      <c r="A11" s="143"/>
      <c r="B11" s="212" t="s">
        <v>499</v>
      </c>
      <c r="C11" s="213"/>
      <c r="D11" s="679" t="str">
        <f>_chiTiet!C61</f>
        <v>Cáp ACX 50/8mm2 (24)KV: (1,02xCd)</v>
      </c>
      <c r="E11" s="680" t="str">
        <f>_chiTiet!D61</f>
        <v>mét</v>
      </c>
      <c r="F11" s="680">
        <f>_chiTiet!E61</f>
        <v>12162</v>
      </c>
      <c r="G11" s="680">
        <f>_chiTiet!F61</f>
        <v>12144</v>
      </c>
      <c r="H11" s="211">
        <f t="shared" si="1"/>
        <v>18</v>
      </c>
      <c r="I11" s="151">
        <v>0</v>
      </c>
      <c r="J11" s="152" t="str">
        <f t="shared" si="0"/>
        <v/>
      </c>
      <c r="K11" s="215"/>
      <c r="L11" s="148"/>
      <c r="M11" s="148">
        <f t="shared" si="2"/>
        <v>1</v>
      </c>
      <c r="N11" s="149"/>
    </row>
    <row r="12" spans="1:14" s="212" customFormat="1" ht="18.600000000000001" customHeight="1">
      <c r="A12" s="143"/>
      <c r="B12" s="212" t="s">
        <v>26</v>
      </c>
      <c r="C12" s="213"/>
      <c r="D12" s="679" t="str">
        <f>_chiTiet!C70</f>
        <v>Sứ đứng 24KV ĐR540mm (không bọc chì)</v>
      </c>
      <c r="E12" s="680" t="str">
        <f>_chiTiet!D70</f>
        <v>cái</v>
      </c>
      <c r="F12" s="680">
        <f>_chiTiet!E70</f>
        <v>29</v>
      </c>
      <c r="G12" s="680">
        <f>_chiTiet!F70</f>
        <v>22</v>
      </c>
      <c r="H12" s="216">
        <f t="shared" si="1"/>
        <v>7</v>
      </c>
      <c r="I12" s="151">
        <v>219600</v>
      </c>
      <c r="J12" s="152">
        <f t="shared" si="0"/>
        <v>1537200</v>
      </c>
      <c r="K12" s="215"/>
      <c r="L12" s="148"/>
      <c r="M12" s="148">
        <f t="shared" si="2"/>
        <v>1</v>
      </c>
      <c r="N12" s="149"/>
    </row>
    <row r="13" spans="1:14" s="212" customFormat="1" ht="18.600000000000001" customHeight="1">
      <c r="A13" s="143"/>
      <c r="B13" s="212" t="s">
        <v>502</v>
      </c>
      <c r="C13" s="213"/>
      <c r="D13" s="679" t="str">
        <f>_chiTiet!C71</f>
        <v>Chân sứ đỉnh thẳng dài 870 - 4 ly sứ 24kV (không bọc chì)</v>
      </c>
      <c r="E13" s="680" t="str">
        <f>_chiTiet!D71</f>
        <v>cái</v>
      </c>
      <c r="F13" s="680">
        <f>_chiTiet!E71</f>
        <v>29</v>
      </c>
      <c r="G13" s="680">
        <f>_chiTiet!F71</f>
        <v>22</v>
      </c>
      <c r="H13" s="211">
        <f t="shared" si="1"/>
        <v>7</v>
      </c>
      <c r="I13" s="151">
        <v>0</v>
      </c>
      <c r="J13" s="152" t="str">
        <f t="shared" si="0"/>
        <v/>
      </c>
      <c r="K13" s="215"/>
      <c r="L13" s="148"/>
      <c r="M13" s="148">
        <f t="shared" si="2"/>
        <v>1</v>
      </c>
      <c r="N13" s="149"/>
    </row>
    <row r="14" spans="1:14" s="212" customFormat="1" ht="18.600000000000001" customHeight="1">
      <c r="A14" s="143"/>
      <c r="B14" s="212" t="s">
        <v>18</v>
      </c>
      <c r="C14" s="213"/>
      <c r="D14" s="679" t="str">
        <f>_chiTiet!C74</f>
        <v>Sứ đứng 24KV ĐR540mm (không bọc chì)</v>
      </c>
      <c r="E14" s="680" t="str">
        <f>_chiTiet!D74</f>
        <v>cái</v>
      </c>
      <c r="F14" s="680">
        <f>_chiTiet!E74</f>
        <v>12</v>
      </c>
      <c r="G14" s="680">
        <f>_chiTiet!F74</f>
        <v>10</v>
      </c>
      <c r="H14" s="211">
        <f t="shared" si="1"/>
        <v>2</v>
      </c>
      <c r="I14" s="151">
        <v>5910000</v>
      </c>
      <c r="J14" s="152">
        <f t="shared" si="0"/>
        <v>11820000</v>
      </c>
      <c r="K14" s="215"/>
      <c r="L14" s="148"/>
      <c r="M14" s="148">
        <f t="shared" si="2"/>
        <v>1</v>
      </c>
      <c r="N14" s="149"/>
    </row>
    <row r="15" spans="1:14" s="212" customFormat="1" ht="18.600000000000001" customHeight="1">
      <c r="A15" s="143"/>
      <c r="B15" s="212" t="s">
        <v>505</v>
      </c>
      <c r="C15" s="213"/>
      <c r="D15" s="679" t="str">
        <f>_chiTiet!C75</f>
        <v>Chân sứ đỉnh cong dài 870 - 4 ly  sứ 24kV (không bọc chì)</v>
      </c>
      <c r="E15" s="680" t="str">
        <f>_chiTiet!D75</f>
        <v>cái</v>
      </c>
      <c r="F15" s="680">
        <f>_chiTiet!E75</f>
        <v>12</v>
      </c>
      <c r="G15" s="680">
        <f>_chiTiet!F75</f>
        <v>10</v>
      </c>
      <c r="H15" s="211">
        <f t="shared" si="1"/>
        <v>2</v>
      </c>
      <c r="I15" s="151">
        <v>0</v>
      </c>
      <c r="J15" s="152" t="str">
        <f t="shared" si="0"/>
        <v/>
      </c>
      <c r="K15" s="215"/>
      <c r="L15" s="148"/>
      <c r="M15" s="148">
        <f t="shared" si="2"/>
        <v>1</v>
      </c>
      <c r="N15" s="149"/>
    </row>
    <row r="16" spans="1:14" s="212" customFormat="1" ht="18.600000000000001" customHeight="1">
      <c r="A16" s="143"/>
      <c r="B16" s="212" t="s">
        <v>43</v>
      </c>
      <c r="C16" s="213"/>
      <c r="D16" s="679" t="str">
        <f>_chiTiet!C84</f>
        <v>Sứ treo polymer 24kV</v>
      </c>
      <c r="E16" s="680" t="str">
        <f>_chiTiet!D84</f>
        <v>chuỗi</v>
      </c>
      <c r="F16" s="680">
        <f>_chiTiet!E84</f>
        <v>70</v>
      </c>
      <c r="G16" s="680">
        <f>_chiTiet!F84</f>
        <v>50</v>
      </c>
      <c r="H16" s="211">
        <f t="shared" si="1"/>
        <v>20</v>
      </c>
      <c r="I16" s="151">
        <v>66000</v>
      </c>
      <c r="J16" s="152">
        <f t="shared" si="0"/>
        <v>1320000</v>
      </c>
      <c r="K16" s="215"/>
      <c r="L16" s="148"/>
      <c r="M16" s="148">
        <f t="shared" si="2"/>
        <v>1</v>
      </c>
      <c r="N16" s="149"/>
    </row>
    <row r="17" spans="1:14" s="212" customFormat="1" ht="18.600000000000001" customHeight="1">
      <c r="A17" s="143"/>
      <c r="B17" s="212" t="s">
        <v>29</v>
      </c>
      <c r="C17" s="213"/>
      <c r="D17" s="679" t="str">
        <f>_chiTiet!C95</f>
        <v>Cáp CXV 50mm2</v>
      </c>
      <c r="E17" s="680" t="str">
        <f>_chiTiet!D95</f>
        <v>mét</v>
      </c>
      <c r="F17" s="680">
        <f>_chiTiet!E95</f>
        <v>21.5</v>
      </c>
      <c r="G17" s="680">
        <f>_chiTiet!F95</f>
        <v>0</v>
      </c>
      <c r="H17" s="211">
        <f t="shared" si="1"/>
        <v>21.5</v>
      </c>
      <c r="I17" s="151">
        <v>15350</v>
      </c>
      <c r="J17" s="152">
        <f t="shared" si="0"/>
        <v>330025</v>
      </c>
      <c r="K17" s="215"/>
      <c r="L17" s="148"/>
      <c r="M17" s="148">
        <f t="shared" si="2"/>
        <v>1</v>
      </c>
      <c r="N17" s="149"/>
    </row>
    <row r="18" spans="1:14" s="212" customFormat="1" ht="18.600000000000001" customHeight="1">
      <c r="A18" s="143"/>
      <c r="B18" s="212" t="s">
        <v>508</v>
      </c>
      <c r="C18" s="213"/>
      <c r="D18" s="204"/>
      <c r="E18" s="205"/>
      <c r="F18" s="205"/>
      <c r="G18" s="205"/>
      <c r="H18" s="211">
        <f t="shared" si="1"/>
        <v>0</v>
      </c>
      <c r="I18" s="151">
        <v>0</v>
      </c>
      <c r="J18" s="152" t="str">
        <f t="shared" si="0"/>
        <v/>
      </c>
      <c r="K18" s="215"/>
      <c r="L18" s="148"/>
      <c r="M18" s="148">
        <f t="shared" si="2"/>
        <v>0</v>
      </c>
      <c r="N18" s="149"/>
    </row>
    <row r="19" spans="1:14" s="212" customFormat="1" ht="18.600000000000001" customHeight="1">
      <c r="A19" s="143"/>
      <c r="B19" s="212" t="s">
        <v>43</v>
      </c>
      <c r="C19" s="213"/>
      <c r="D19" s="209"/>
      <c r="E19" s="210"/>
      <c r="F19" s="210"/>
      <c r="G19" s="210"/>
      <c r="H19" s="211">
        <f t="shared" si="1"/>
        <v>0</v>
      </c>
      <c r="I19" s="151">
        <v>66000</v>
      </c>
      <c r="J19" s="152">
        <f t="shared" si="0"/>
        <v>0</v>
      </c>
      <c r="K19" s="215"/>
      <c r="L19" s="148"/>
      <c r="M19" s="148">
        <f t="shared" si="2"/>
        <v>0</v>
      </c>
      <c r="N19" s="149"/>
    </row>
    <row r="20" spans="1:14" s="212" customFormat="1" ht="18.600000000000001" customHeight="1">
      <c r="A20" s="143"/>
      <c r="B20" s="212" t="s">
        <v>29</v>
      </c>
      <c r="C20" s="213"/>
      <c r="D20" s="209"/>
      <c r="E20" s="210"/>
      <c r="F20" s="210"/>
      <c r="G20" s="210"/>
      <c r="H20" s="211">
        <f t="shared" si="1"/>
        <v>0</v>
      </c>
      <c r="I20" s="151">
        <v>15350</v>
      </c>
      <c r="J20" s="152">
        <f t="shared" si="0"/>
        <v>0</v>
      </c>
      <c r="K20" s="215"/>
      <c r="L20" s="148"/>
      <c r="M20" s="148">
        <f t="shared" si="2"/>
        <v>0</v>
      </c>
      <c r="N20" s="149"/>
    </row>
    <row r="21" spans="1:14" s="212" customFormat="1" ht="18.600000000000001" customHeight="1">
      <c r="A21" s="143"/>
      <c r="B21" s="212" t="s">
        <v>32</v>
      </c>
      <c r="C21" s="213"/>
      <c r="D21" s="217"/>
      <c r="E21" s="218"/>
      <c r="F21" s="210"/>
      <c r="G21" s="219"/>
      <c r="H21" s="211">
        <f t="shared" si="1"/>
        <v>0</v>
      </c>
      <c r="I21" s="151">
        <v>41160</v>
      </c>
      <c r="J21" s="152">
        <f t="shared" si="0"/>
        <v>0</v>
      </c>
      <c r="K21" s="215"/>
      <c r="L21" s="148"/>
      <c r="M21" s="148">
        <f t="shared" si="2"/>
        <v>0</v>
      </c>
      <c r="N21" s="149"/>
    </row>
    <row r="22" spans="1:14" s="212" customFormat="1" ht="18.600000000000001" customHeight="1">
      <c r="A22" s="143"/>
      <c r="B22" s="212" t="s">
        <v>143</v>
      </c>
      <c r="C22" s="213">
        <v>7</v>
      </c>
      <c r="D22" s="220"/>
      <c r="E22" s="221"/>
      <c r="F22" s="222"/>
      <c r="G22" s="223"/>
      <c r="H22" s="224">
        <f t="shared" si="1"/>
        <v>0</v>
      </c>
      <c r="I22" s="151"/>
      <c r="J22" s="152"/>
      <c r="K22" s="215"/>
      <c r="L22" s="148"/>
      <c r="M22" s="148">
        <f t="shared" si="2"/>
        <v>0</v>
      </c>
      <c r="N22" s="149"/>
    </row>
    <row r="23" spans="1:14" s="212" customFormat="1" ht="18.600000000000001" customHeight="1">
      <c r="A23" s="143"/>
      <c r="B23" s="212" t="s">
        <v>23</v>
      </c>
      <c r="C23" s="213"/>
      <c r="D23" s="217"/>
      <c r="E23" s="218"/>
      <c r="F23" s="210"/>
      <c r="G23" s="219"/>
      <c r="H23" s="211">
        <f t="shared" si="1"/>
        <v>0</v>
      </c>
      <c r="I23" s="151"/>
      <c r="J23" s="152"/>
      <c r="K23" s="215"/>
      <c r="L23" s="148"/>
      <c r="M23" s="148">
        <f t="shared" si="2"/>
        <v>0</v>
      </c>
      <c r="N23" s="149"/>
    </row>
    <row r="24" spans="1:14" s="212" customFormat="1" ht="18.600000000000001" customHeight="1">
      <c r="A24" s="143"/>
      <c r="B24" s="212" t="s">
        <v>513</v>
      </c>
      <c r="C24" s="213">
        <v>8</v>
      </c>
      <c r="D24" s="225"/>
      <c r="E24" s="222"/>
      <c r="F24" s="222"/>
      <c r="G24" s="223"/>
      <c r="H24" s="211">
        <f t="shared" si="1"/>
        <v>0</v>
      </c>
      <c r="I24" s="151" t="e">
        <f t="shared" ref="I9:I29" si="3">VLOOKUP(B24,HopDong,16,0)</f>
        <v>#NAME?</v>
      </c>
      <c r="J24" s="152" t="e">
        <f t="shared" si="0"/>
        <v>#NAME?</v>
      </c>
      <c r="K24" s="215"/>
      <c r="L24" s="148"/>
      <c r="M24" s="148">
        <f t="shared" si="2"/>
        <v>0</v>
      </c>
      <c r="N24" s="149"/>
    </row>
    <row r="25" spans="1:14" s="212" customFormat="1" ht="18.600000000000001" customHeight="1">
      <c r="A25" s="143"/>
      <c r="B25" s="212" t="s">
        <v>20</v>
      </c>
      <c r="C25" s="213"/>
      <c r="D25" s="209"/>
      <c r="E25" s="210"/>
      <c r="F25" s="210"/>
      <c r="G25" s="210"/>
      <c r="H25" s="211">
        <f t="shared" si="1"/>
        <v>0</v>
      </c>
      <c r="I25" s="151" t="e">
        <f t="shared" si="3"/>
        <v>#NAME?</v>
      </c>
      <c r="J25" s="152" t="e">
        <f t="shared" si="0"/>
        <v>#NAME?</v>
      </c>
      <c r="K25" s="215"/>
      <c r="L25" s="148"/>
      <c r="M25" s="148">
        <f t="shared" si="2"/>
        <v>0</v>
      </c>
      <c r="N25" s="149"/>
    </row>
    <row r="26" spans="1:14" s="212" customFormat="1" ht="18.600000000000001" customHeight="1">
      <c r="A26" s="143"/>
      <c r="B26" s="212" t="s">
        <v>21</v>
      </c>
      <c r="C26" s="213"/>
      <c r="D26" s="209"/>
      <c r="E26" s="210"/>
      <c r="F26" s="210"/>
      <c r="G26" s="210"/>
      <c r="H26" s="211">
        <f t="shared" si="1"/>
        <v>0</v>
      </c>
      <c r="I26" s="151" t="e">
        <f t="shared" si="3"/>
        <v>#NAME?</v>
      </c>
      <c r="J26" s="152" t="e">
        <f t="shared" si="0"/>
        <v>#NAME?</v>
      </c>
      <c r="K26" s="215"/>
      <c r="L26" s="148"/>
      <c r="M26" s="148">
        <f t="shared" si="2"/>
        <v>0</v>
      </c>
      <c r="N26" s="149"/>
    </row>
    <row r="27" spans="1:14" s="212" customFormat="1" ht="18.600000000000001" customHeight="1">
      <c r="A27" s="143"/>
      <c r="B27" s="212" t="s">
        <v>517</v>
      </c>
      <c r="C27" s="213">
        <v>9</v>
      </c>
      <c r="D27" s="225"/>
      <c r="E27" s="222"/>
      <c r="F27" s="222"/>
      <c r="G27" s="223"/>
      <c r="H27" s="211">
        <f t="shared" si="1"/>
        <v>0</v>
      </c>
      <c r="I27" s="151" t="e">
        <f t="shared" si="3"/>
        <v>#NAME?</v>
      </c>
      <c r="J27" s="152" t="e">
        <f t="shared" si="0"/>
        <v>#NAME?</v>
      </c>
      <c r="K27" s="215"/>
      <c r="L27" s="148"/>
      <c r="M27" s="148">
        <f t="shared" si="2"/>
        <v>0</v>
      </c>
      <c r="N27" s="149"/>
    </row>
    <row r="28" spans="1:14" s="212" customFormat="1" ht="18.600000000000001" customHeight="1">
      <c r="A28" s="143"/>
      <c r="B28" s="212" t="s">
        <v>22</v>
      </c>
      <c r="C28" s="213"/>
      <c r="D28" s="209"/>
      <c r="E28" s="210"/>
      <c r="F28" s="210"/>
      <c r="G28" s="210"/>
      <c r="H28" s="211">
        <f t="shared" si="1"/>
        <v>0</v>
      </c>
      <c r="I28" s="151" t="e">
        <f t="shared" si="3"/>
        <v>#NAME?</v>
      </c>
      <c r="J28" s="152" t="e">
        <f t="shared" si="0"/>
        <v>#NAME?</v>
      </c>
      <c r="K28" s="215"/>
      <c r="L28" s="148"/>
      <c r="M28" s="148">
        <f t="shared" si="2"/>
        <v>0</v>
      </c>
      <c r="N28" s="149"/>
    </row>
    <row r="29" spans="1:14" s="212" customFormat="1" ht="18.600000000000001" hidden="1" customHeight="1">
      <c r="A29" s="143"/>
      <c r="C29" s="189"/>
      <c r="D29" s="144"/>
      <c r="E29" s="145"/>
      <c r="F29" s="145"/>
      <c r="G29" s="226"/>
      <c r="H29" s="226">
        <f t="shared" si="1"/>
        <v>0</v>
      </c>
      <c r="I29" s="151" t="e">
        <f t="shared" si="3"/>
        <v>#NAME?</v>
      </c>
      <c r="J29" s="152" t="e">
        <f t="shared" si="0"/>
        <v>#NAME?</v>
      </c>
      <c r="K29" s="227"/>
      <c r="L29" s="148"/>
      <c r="M29" s="148">
        <f t="shared" si="2"/>
        <v>0</v>
      </c>
      <c r="N29" s="149"/>
    </row>
    <row r="30" spans="1:14" s="212" customFormat="1" ht="18.600000000000001" hidden="1" customHeight="1">
      <c r="A30" s="143"/>
      <c r="C30" s="189"/>
      <c r="D30" s="144"/>
      <c r="E30" s="145"/>
      <c r="F30" s="145"/>
      <c r="G30" s="226"/>
      <c r="H30" s="226">
        <f t="shared" si="1"/>
        <v>0</v>
      </c>
      <c r="I30" s="151" t="e">
        <f t="shared" ref="I7:I35" si="4">VLOOKUP(B30,HopDong,16,0)</f>
        <v>#NAME?</v>
      </c>
      <c r="J30" s="152" t="e">
        <f t="shared" si="0"/>
        <v>#NAME?</v>
      </c>
      <c r="K30" s="227"/>
      <c r="L30" s="148"/>
      <c r="M30" s="148">
        <f t="shared" si="2"/>
        <v>0</v>
      </c>
      <c r="N30" s="149"/>
    </row>
    <row r="31" spans="1:14" s="128" customFormat="1" ht="18.600000000000001" customHeight="1">
      <c r="A31" s="143"/>
      <c r="C31" s="201" t="s">
        <v>92</v>
      </c>
      <c r="D31" s="202" t="s">
        <v>93</v>
      </c>
      <c r="E31" s="199"/>
      <c r="F31" s="199"/>
      <c r="G31" s="199"/>
      <c r="H31" s="200"/>
      <c r="I31" s="151" t="e">
        <f t="shared" si="4"/>
        <v>#NAME?</v>
      </c>
      <c r="J31" s="140" t="e">
        <f>SUM(J32:J130)</f>
        <v>#NAME?</v>
      </c>
      <c r="K31" s="203"/>
      <c r="L31" s="134"/>
      <c r="M31" s="148">
        <v>1</v>
      </c>
      <c r="N31" s="142"/>
    </row>
    <row r="32" spans="1:14" s="228" customFormat="1" ht="18.600000000000001" customHeight="1">
      <c r="B32" s="228" t="s">
        <v>493</v>
      </c>
      <c r="C32" s="199"/>
      <c r="D32" s="352" t="s">
        <v>205</v>
      </c>
      <c r="E32" s="351" t="s">
        <v>185</v>
      </c>
      <c r="F32" s="351">
        <v>10</v>
      </c>
      <c r="G32" s="362">
        <v>8</v>
      </c>
      <c r="H32" s="206">
        <f t="shared" si="1"/>
        <v>2</v>
      </c>
      <c r="I32" s="229" t="e">
        <f t="shared" si="4"/>
        <v>#NAME?</v>
      </c>
      <c r="J32" s="230" t="e">
        <f t="shared" ref="J32:J85" si="5">IF(I32&gt;0,H32*I32,"")</f>
        <v>#NAME?</v>
      </c>
      <c r="K32" s="205"/>
      <c r="L32" s="231" t="s">
        <v>492</v>
      </c>
      <c r="M32" s="148">
        <f t="shared" si="2"/>
        <v>1</v>
      </c>
      <c r="N32" s="149"/>
    </row>
    <row r="33" spans="2:14" s="143" customFormat="1" ht="18.600000000000001" customHeight="1">
      <c r="B33" s="143" t="s">
        <v>520</v>
      </c>
      <c r="C33" s="208"/>
      <c r="D33" s="358" t="s">
        <v>207</v>
      </c>
      <c r="E33" s="361" t="s">
        <v>190</v>
      </c>
      <c r="F33" s="361">
        <v>10</v>
      </c>
      <c r="G33" s="367">
        <v>6</v>
      </c>
      <c r="H33" s="211">
        <f t="shared" si="1"/>
        <v>4</v>
      </c>
      <c r="I33" s="151" t="e">
        <f t="shared" si="4"/>
        <v>#NAME?</v>
      </c>
      <c r="J33" s="152" t="e">
        <f t="shared" si="5"/>
        <v>#NAME?</v>
      </c>
      <c r="K33" s="210"/>
      <c r="L33" s="148" t="s">
        <v>92</v>
      </c>
      <c r="M33" s="148">
        <f t="shared" si="2"/>
        <v>1</v>
      </c>
      <c r="N33" s="149"/>
    </row>
    <row r="34" spans="2:14" s="143" customFormat="1" ht="18.600000000000001" customHeight="1">
      <c r="B34" s="143" t="s">
        <v>522</v>
      </c>
      <c r="C34" s="208"/>
      <c r="D34" s="358" t="s">
        <v>209</v>
      </c>
      <c r="E34" s="361" t="s">
        <v>190</v>
      </c>
      <c r="F34" s="361">
        <v>10</v>
      </c>
      <c r="G34" s="367">
        <v>7</v>
      </c>
      <c r="H34" s="211">
        <f t="shared" si="1"/>
        <v>3</v>
      </c>
      <c r="I34" s="151" t="e">
        <f t="shared" si="4"/>
        <v>#NAME?</v>
      </c>
      <c r="J34" s="152" t="e">
        <f t="shared" si="5"/>
        <v>#NAME?</v>
      </c>
      <c r="K34" s="210"/>
      <c r="L34" s="148" t="s">
        <v>92</v>
      </c>
      <c r="M34" s="148">
        <f t="shared" si="2"/>
        <v>1</v>
      </c>
      <c r="N34" s="149"/>
    </row>
    <row r="35" spans="2:14" s="143" customFormat="1" ht="18.600000000000001" customHeight="1">
      <c r="B35" s="143" t="s">
        <v>524</v>
      </c>
      <c r="C35" s="208"/>
      <c r="D35" s="358" t="s">
        <v>211</v>
      </c>
      <c r="E35" s="356" t="s">
        <v>212</v>
      </c>
      <c r="F35" s="356">
        <v>10</v>
      </c>
      <c r="G35" s="367">
        <v>8</v>
      </c>
      <c r="H35" s="211">
        <f t="shared" si="1"/>
        <v>2</v>
      </c>
      <c r="I35" s="151" t="e">
        <f t="shared" si="4"/>
        <v>#NAME?</v>
      </c>
      <c r="J35" s="152" t="e">
        <f t="shared" si="5"/>
        <v>#NAME?</v>
      </c>
      <c r="K35" s="210"/>
      <c r="L35" s="148" t="s">
        <v>492</v>
      </c>
      <c r="M35" s="148">
        <f t="shared" si="2"/>
        <v>1</v>
      </c>
      <c r="N35" s="149"/>
    </row>
    <row r="36" spans="2:14" s="143" customFormat="1" ht="18.600000000000001" customHeight="1">
      <c r="B36" s="143" t="s">
        <v>496</v>
      </c>
      <c r="C36" s="232"/>
      <c r="D36" s="358" t="s">
        <v>213</v>
      </c>
      <c r="E36" s="356" t="s">
        <v>212</v>
      </c>
      <c r="F36" s="356">
        <v>10</v>
      </c>
      <c r="G36" s="367">
        <v>4</v>
      </c>
      <c r="H36" s="233">
        <f t="shared" si="1"/>
        <v>6</v>
      </c>
      <c r="I36" s="151">
        <v>0</v>
      </c>
      <c r="J36" s="152" t="str">
        <f t="shared" si="5"/>
        <v/>
      </c>
      <c r="K36" s="234"/>
      <c r="L36" s="148" t="s">
        <v>92</v>
      </c>
      <c r="M36" s="148">
        <f t="shared" si="2"/>
        <v>1</v>
      </c>
      <c r="N36" s="149"/>
    </row>
    <row r="37" spans="2:14" s="143" customFormat="1" ht="18.600000000000001" customHeight="1">
      <c r="B37" s="143" t="s">
        <v>526</v>
      </c>
      <c r="C37" s="232"/>
      <c r="D37" s="358" t="s">
        <v>214</v>
      </c>
      <c r="E37" s="356" t="s">
        <v>212</v>
      </c>
      <c r="F37" s="356">
        <v>10</v>
      </c>
      <c r="G37" s="367">
        <v>5</v>
      </c>
      <c r="H37" s="233">
        <f t="shared" si="1"/>
        <v>5</v>
      </c>
      <c r="I37" s="151">
        <v>17100</v>
      </c>
      <c r="J37" s="152">
        <f t="shared" si="5"/>
        <v>85500</v>
      </c>
      <c r="K37" s="234"/>
      <c r="L37" s="148" t="s">
        <v>92</v>
      </c>
      <c r="M37" s="148">
        <f t="shared" si="2"/>
        <v>1</v>
      </c>
      <c r="N37" s="149"/>
    </row>
    <row r="38" spans="2:14" s="143" customFormat="1" ht="18.600000000000001" customHeight="1">
      <c r="B38" s="143" t="s">
        <v>528</v>
      </c>
      <c r="C38" s="232"/>
      <c r="D38" s="352" t="s">
        <v>216</v>
      </c>
      <c r="E38" s="351" t="s">
        <v>185</v>
      </c>
      <c r="F38" s="351">
        <v>111</v>
      </c>
      <c r="G38" s="351">
        <v>109</v>
      </c>
      <c r="H38" s="233">
        <f t="shared" si="1"/>
        <v>2</v>
      </c>
      <c r="I38" s="151">
        <v>20500</v>
      </c>
      <c r="J38" s="152">
        <f t="shared" si="5"/>
        <v>41000</v>
      </c>
      <c r="K38" s="234"/>
      <c r="L38" s="148" t="s">
        <v>92</v>
      </c>
      <c r="M38" s="148">
        <f t="shared" si="2"/>
        <v>1</v>
      </c>
      <c r="N38" s="149"/>
    </row>
    <row r="39" spans="2:14" s="143" customFormat="1" ht="18.600000000000001" customHeight="1">
      <c r="B39" s="143" t="s">
        <v>499</v>
      </c>
      <c r="C39" s="232"/>
      <c r="D39" s="371" t="s">
        <v>218</v>
      </c>
      <c r="E39" s="356" t="s">
        <v>219</v>
      </c>
      <c r="F39" s="367">
        <v>1665</v>
      </c>
      <c r="G39" s="367">
        <v>1635</v>
      </c>
      <c r="H39" s="233">
        <f t="shared" si="1"/>
        <v>30</v>
      </c>
      <c r="I39" s="151">
        <v>0</v>
      </c>
      <c r="J39" s="152" t="str">
        <f t="shared" si="5"/>
        <v/>
      </c>
      <c r="K39" s="234"/>
      <c r="L39" s="148" t="s">
        <v>92</v>
      </c>
      <c r="M39" s="148">
        <f t="shared" si="2"/>
        <v>1</v>
      </c>
      <c r="N39" s="149"/>
    </row>
    <row r="40" spans="2:14" s="143" customFormat="1" ht="18.600000000000001" customHeight="1">
      <c r="B40" s="143" t="s">
        <v>526</v>
      </c>
      <c r="C40" s="232"/>
      <c r="D40" s="371" t="s">
        <v>220</v>
      </c>
      <c r="E40" s="356" t="s">
        <v>190</v>
      </c>
      <c r="F40" s="367">
        <v>111</v>
      </c>
      <c r="G40" s="367">
        <v>109</v>
      </c>
      <c r="H40" s="233">
        <f t="shared" si="1"/>
        <v>2</v>
      </c>
      <c r="I40" s="151">
        <v>17100</v>
      </c>
      <c r="J40" s="152">
        <f t="shared" si="5"/>
        <v>34200</v>
      </c>
      <c r="K40" s="234"/>
      <c r="L40" s="148" t="s">
        <v>92</v>
      </c>
      <c r="M40" s="148">
        <f t="shared" si="2"/>
        <v>1</v>
      </c>
      <c r="N40" s="149"/>
    </row>
    <row r="41" spans="2:14" s="143" customFormat="1" ht="18.600000000000001" customHeight="1">
      <c r="B41" s="143" t="s">
        <v>528</v>
      </c>
      <c r="C41" s="232"/>
      <c r="D41" s="371" t="s">
        <v>221</v>
      </c>
      <c r="E41" s="356" t="s">
        <v>190</v>
      </c>
      <c r="F41" s="367">
        <v>888</v>
      </c>
      <c r="G41" s="367">
        <v>872</v>
      </c>
      <c r="H41" s="233">
        <f t="shared" si="1"/>
        <v>16</v>
      </c>
      <c r="I41" s="151">
        <v>20500</v>
      </c>
      <c r="J41" s="152">
        <f t="shared" si="5"/>
        <v>328000</v>
      </c>
      <c r="K41" s="234"/>
      <c r="L41" s="148" t="s">
        <v>92</v>
      </c>
      <c r="M41" s="148">
        <f t="shared" si="2"/>
        <v>1</v>
      </c>
      <c r="N41" s="149"/>
    </row>
    <row r="42" spans="2:14" s="143" customFormat="1" ht="18.600000000000001" customHeight="1">
      <c r="B42" s="143" t="s">
        <v>502</v>
      </c>
      <c r="C42" s="232"/>
      <c r="D42" s="358" t="s">
        <v>222</v>
      </c>
      <c r="E42" s="356" t="s">
        <v>212</v>
      </c>
      <c r="F42" s="367">
        <v>111</v>
      </c>
      <c r="G42" s="367">
        <v>109</v>
      </c>
      <c r="H42" s="233">
        <f t="shared" si="1"/>
        <v>2</v>
      </c>
      <c r="I42" s="151">
        <v>0</v>
      </c>
      <c r="J42" s="152" t="str">
        <f t="shared" si="5"/>
        <v/>
      </c>
      <c r="K42" s="234"/>
      <c r="L42" s="148" t="s">
        <v>92</v>
      </c>
      <c r="M42" s="148">
        <f t="shared" si="2"/>
        <v>1</v>
      </c>
      <c r="N42" s="149"/>
    </row>
    <row r="43" spans="2:14" s="143" customFormat="1" ht="18.600000000000001" customHeight="1">
      <c r="B43" s="143" t="s">
        <v>530</v>
      </c>
      <c r="C43" s="232"/>
      <c r="D43" s="358" t="s">
        <v>223</v>
      </c>
      <c r="E43" s="356" t="s">
        <v>190</v>
      </c>
      <c r="F43" s="367">
        <v>222</v>
      </c>
      <c r="G43" s="367">
        <v>218</v>
      </c>
      <c r="H43" s="233">
        <f t="shared" si="1"/>
        <v>4</v>
      </c>
      <c r="I43" s="151">
        <v>1216500</v>
      </c>
      <c r="J43" s="152">
        <f t="shared" si="5"/>
        <v>4866000</v>
      </c>
      <c r="K43" s="234"/>
      <c r="L43" s="148" t="s">
        <v>92</v>
      </c>
      <c r="M43" s="148">
        <f t="shared" si="2"/>
        <v>1</v>
      </c>
      <c r="N43" s="149"/>
    </row>
    <row r="44" spans="2:14" s="143" customFormat="1" ht="18.600000000000001" customHeight="1">
      <c r="B44" s="143" t="s">
        <v>532</v>
      </c>
      <c r="C44" s="232"/>
      <c r="D44" s="358" t="s">
        <v>224</v>
      </c>
      <c r="E44" s="356" t="s">
        <v>190</v>
      </c>
      <c r="F44" s="367">
        <v>111</v>
      </c>
      <c r="G44" s="367">
        <v>109</v>
      </c>
      <c r="H44" s="233">
        <f t="shared" si="1"/>
        <v>2</v>
      </c>
      <c r="I44" s="151">
        <v>0</v>
      </c>
      <c r="J44" s="152" t="str">
        <f t="shared" si="5"/>
        <v/>
      </c>
      <c r="K44" s="234"/>
      <c r="L44" s="148" t="s">
        <v>92</v>
      </c>
      <c r="M44" s="148">
        <f t="shared" si="2"/>
        <v>1</v>
      </c>
      <c r="N44" s="149"/>
    </row>
    <row r="45" spans="2:14" s="143" customFormat="1" ht="18.600000000000001" customHeight="1">
      <c r="B45" s="143" t="s">
        <v>38</v>
      </c>
      <c r="C45" s="232"/>
      <c r="D45" s="352" t="s">
        <v>230</v>
      </c>
      <c r="E45" s="351" t="s">
        <v>185</v>
      </c>
      <c r="F45" s="351">
        <v>5</v>
      </c>
      <c r="G45" s="351">
        <v>3</v>
      </c>
      <c r="H45" s="233">
        <f t="shared" si="1"/>
        <v>2</v>
      </c>
      <c r="I45" s="151">
        <v>1513000</v>
      </c>
      <c r="J45" s="152">
        <f t="shared" si="5"/>
        <v>3026000</v>
      </c>
      <c r="K45" s="234"/>
      <c r="L45" s="148" t="s">
        <v>92</v>
      </c>
      <c r="M45" s="148">
        <f t="shared" si="2"/>
        <v>1</v>
      </c>
      <c r="N45" s="149"/>
    </row>
    <row r="46" spans="2:14" s="143" customFormat="1" ht="18.600000000000001" customHeight="1">
      <c r="B46" s="143" t="s">
        <v>40</v>
      </c>
      <c r="C46" s="232"/>
      <c r="D46" s="358" t="s">
        <v>232</v>
      </c>
      <c r="E46" s="356" t="s">
        <v>190</v>
      </c>
      <c r="F46" s="356">
        <v>5</v>
      </c>
      <c r="G46" s="356">
        <v>3</v>
      </c>
      <c r="H46" s="233">
        <f t="shared" si="1"/>
        <v>2</v>
      </c>
      <c r="I46" s="151">
        <v>412900</v>
      </c>
      <c r="J46" s="152">
        <f t="shared" si="5"/>
        <v>825800</v>
      </c>
      <c r="K46" s="234"/>
      <c r="L46" s="148" t="s">
        <v>92</v>
      </c>
      <c r="M46" s="148">
        <f t="shared" si="2"/>
        <v>1</v>
      </c>
      <c r="N46" s="149"/>
    </row>
    <row r="47" spans="2:14" s="143" customFormat="1" ht="18.600000000000001" customHeight="1">
      <c r="B47" s="143" t="s">
        <v>534</v>
      </c>
      <c r="C47" s="232"/>
      <c r="D47" s="358" t="s">
        <v>233</v>
      </c>
      <c r="E47" s="356" t="s">
        <v>190</v>
      </c>
      <c r="F47" s="356">
        <v>5</v>
      </c>
      <c r="G47" s="356">
        <v>3</v>
      </c>
      <c r="H47" s="233">
        <f t="shared" si="1"/>
        <v>2</v>
      </c>
      <c r="I47" s="151">
        <v>35000</v>
      </c>
      <c r="J47" s="152">
        <f t="shared" si="5"/>
        <v>70000</v>
      </c>
      <c r="K47" s="234"/>
      <c r="L47" s="148" t="s">
        <v>92</v>
      </c>
      <c r="M47" s="148">
        <f t="shared" si="2"/>
        <v>1</v>
      </c>
      <c r="N47" s="149"/>
    </row>
    <row r="48" spans="2:14" s="143" customFormat="1" ht="18.600000000000001" customHeight="1">
      <c r="B48" s="143" t="s">
        <v>536</v>
      </c>
      <c r="C48" s="232"/>
      <c r="D48" s="358" t="s">
        <v>237</v>
      </c>
      <c r="E48" s="356" t="s">
        <v>30</v>
      </c>
      <c r="F48" s="367">
        <v>359</v>
      </c>
      <c r="G48" s="367">
        <v>351</v>
      </c>
      <c r="H48" s="233">
        <f t="shared" si="1"/>
        <v>8</v>
      </c>
      <c r="I48" s="151">
        <v>47800</v>
      </c>
      <c r="J48" s="152">
        <f t="shared" si="5"/>
        <v>382400</v>
      </c>
      <c r="K48" s="234"/>
      <c r="L48" s="148" t="s">
        <v>92</v>
      </c>
      <c r="M48" s="148">
        <f t="shared" si="2"/>
        <v>1</v>
      </c>
      <c r="N48" s="149"/>
    </row>
    <row r="49" spans="2:14" s="143" customFormat="1" ht="18.600000000000001" customHeight="1">
      <c r="B49" s="143" t="s">
        <v>538</v>
      </c>
      <c r="C49" s="232"/>
      <c r="D49" s="358" t="s">
        <v>239</v>
      </c>
      <c r="E49" s="356" t="s">
        <v>219</v>
      </c>
      <c r="F49" s="367">
        <v>12162</v>
      </c>
      <c r="G49" s="367">
        <v>12144</v>
      </c>
      <c r="H49" s="233">
        <f t="shared" si="1"/>
        <v>18</v>
      </c>
      <c r="I49" s="151">
        <v>19800</v>
      </c>
      <c r="J49" s="152">
        <f t="shared" si="5"/>
        <v>356400</v>
      </c>
      <c r="K49" s="234"/>
      <c r="L49" s="148" t="s">
        <v>92</v>
      </c>
      <c r="M49" s="148">
        <f t="shared" si="2"/>
        <v>1</v>
      </c>
      <c r="N49" s="149"/>
    </row>
    <row r="50" spans="2:14" s="143" customFormat="1" ht="18.600000000000001" customHeight="1">
      <c r="B50" s="143" t="s">
        <v>540</v>
      </c>
      <c r="C50" s="232"/>
      <c r="D50" s="352" t="s">
        <v>243</v>
      </c>
      <c r="E50" s="351" t="s">
        <v>185</v>
      </c>
      <c r="F50" s="351">
        <v>74</v>
      </c>
      <c r="G50" s="351">
        <v>72</v>
      </c>
      <c r="H50" s="233">
        <f t="shared" si="1"/>
        <v>2</v>
      </c>
      <c r="I50" s="151">
        <v>1042300</v>
      </c>
      <c r="J50" s="152">
        <f t="shared" si="5"/>
        <v>2084600</v>
      </c>
      <c r="K50" s="234"/>
      <c r="L50" s="148" t="s">
        <v>92</v>
      </c>
      <c r="M50" s="148">
        <f t="shared" si="2"/>
        <v>1</v>
      </c>
      <c r="N50" s="149"/>
    </row>
    <row r="51" spans="2:14" s="143" customFormat="1" ht="18.600000000000001" customHeight="1">
      <c r="B51" s="143" t="s">
        <v>505</v>
      </c>
      <c r="C51" s="232"/>
      <c r="D51" s="358" t="s">
        <v>245</v>
      </c>
      <c r="E51" s="356" t="s">
        <v>190</v>
      </c>
      <c r="F51" s="356">
        <v>74</v>
      </c>
      <c r="G51" s="356">
        <v>72</v>
      </c>
      <c r="H51" s="233">
        <f t="shared" si="1"/>
        <v>2</v>
      </c>
      <c r="I51" s="151">
        <v>0</v>
      </c>
      <c r="J51" s="152" t="str">
        <f t="shared" si="5"/>
        <v/>
      </c>
      <c r="K51" s="234"/>
      <c r="L51" s="148" t="s">
        <v>92</v>
      </c>
      <c r="M51" s="148">
        <f t="shared" si="2"/>
        <v>1</v>
      </c>
      <c r="N51" s="149"/>
    </row>
    <row r="52" spans="2:14" s="143" customFormat="1" ht="18.600000000000001" customHeight="1">
      <c r="B52" s="143" t="s">
        <v>491</v>
      </c>
      <c r="C52" s="232"/>
      <c r="D52" s="358" t="s">
        <v>246</v>
      </c>
      <c r="E52" s="356" t="s">
        <v>212</v>
      </c>
      <c r="F52" s="356">
        <v>74</v>
      </c>
      <c r="G52" s="356">
        <v>72</v>
      </c>
      <c r="H52" s="233">
        <f t="shared" si="1"/>
        <v>2</v>
      </c>
      <c r="I52" s="151">
        <v>45500</v>
      </c>
      <c r="J52" s="152">
        <f t="shared" si="5"/>
        <v>91000</v>
      </c>
      <c r="K52" s="234"/>
      <c r="L52" s="148" t="s">
        <v>92</v>
      </c>
      <c r="M52" s="148">
        <f t="shared" si="2"/>
        <v>1</v>
      </c>
      <c r="N52" s="149"/>
    </row>
    <row r="53" spans="2:14" s="143" customFormat="1" ht="18.600000000000001" customHeight="1">
      <c r="B53" s="143" t="s">
        <v>542</v>
      </c>
      <c r="C53" s="232"/>
      <c r="D53" s="352" t="s">
        <v>247</v>
      </c>
      <c r="E53" s="351" t="s">
        <v>185</v>
      </c>
      <c r="F53" s="351">
        <v>29</v>
      </c>
      <c r="G53" s="351">
        <v>22</v>
      </c>
      <c r="H53" s="233">
        <f t="shared" si="1"/>
        <v>7</v>
      </c>
      <c r="I53" s="151">
        <v>49000</v>
      </c>
      <c r="J53" s="152">
        <f t="shared" si="5"/>
        <v>343000</v>
      </c>
      <c r="K53" s="234"/>
      <c r="L53" s="148" t="s">
        <v>92</v>
      </c>
      <c r="M53" s="148">
        <f t="shared" si="2"/>
        <v>1</v>
      </c>
      <c r="N53" s="149"/>
    </row>
    <row r="54" spans="2:14" s="143" customFormat="1" ht="18.600000000000001" customHeight="1">
      <c r="B54" s="143" t="s">
        <v>544</v>
      </c>
      <c r="C54" s="232"/>
      <c r="D54" s="358" t="s">
        <v>249</v>
      </c>
      <c r="E54" s="356" t="s">
        <v>190</v>
      </c>
      <c r="F54" s="356">
        <v>29</v>
      </c>
      <c r="G54" s="356">
        <v>22</v>
      </c>
      <c r="H54" s="233">
        <f t="shared" si="1"/>
        <v>7</v>
      </c>
      <c r="I54" s="151">
        <v>396400</v>
      </c>
      <c r="J54" s="152">
        <f t="shared" si="5"/>
        <v>2774800</v>
      </c>
      <c r="K54" s="234"/>
      <c r="L54" s="148" t="s">
        <v>92</v>
      </c>
      <c r="M54" s="148">
        <f t="shared" si="2"/>
        <v>1</v>
      </c>
      <c r="N54" s="149"/>
    </row>
    <row r="55" spans="2:14" s="143" customFormat="1" ht="18.600000000000001" customHeight="1">
      <c r="B55" s="143" t="s">
        <v>546</v>
      </c>
      <c r="C55" s="232"/>
      <c r="D55" s="358" t="s">
        <v>201</v>
      </c>
      <c r="E55" s="356" t="s">
        <v>190</v>
      </c>
      <c r="F55" s="356">
        <v>29</v>
      </c>
      <c r="G55" s="356">
        <v>22</v>
      </c>
      <c r="H55" s="233">
        <f t="shared" si="1"/>
        <v>7</v>
      </c>
      <c r="I55" s="151">
        <v>8200</v>
      </c>
      <c r="J55" s="152">
        <f t="shared" si="5"/>
        <v>57400</v>
      </c>
      <c r="K55" s="234"/>
      <c r="L55" s="148" t="s">
        <v>92</v>
      </c>
      <c r="M55" s="148">
        <f t="shared" si="2"/>
        <v>1</v>
      </c>
      <c r="N55" s="149"/>
    </row>
    <row r="56" spans="2:14" s="143" customFormat="1" ht="18.600000000000001" customHeight="1">
      <c r="B56" s="143" t="s">
        <v>548</v>
      </c>
      <c r="C56" s="232"/>
      <c r="D56" s="358" t="s">
        <v>213</v>
      </c>
      <c r="E56" s="356" t="s">
        <v>212</v>
      </c>
      <c r="F56" s="356">
        <v>58</v>
      </c>
      <c r="G56" s="356">
        <v>44</v>
      </c>
      <c r="H56" s="233">
        <f t="shared" si="1"/>
        <v>14</v>
      </c>
      <c r="I56" s="151">
        <v>61800</v>
      </c>
      <c r="J56" s="152">
        <f t="shared" si="5"/>
        <v>865200</v>
      </c>
      <c r="K56" s="234"/>
      <c r="L56" s="148" t="s">
        <v>92</v>
      </c>
      <c r="M56" s="148">
        <f t="shared" si="2"/>
        <v>1</v>
      </c>
      <c r="N56" s="149"/>
    </row>
    <row r="57" spans="2:14" s="143" customFormat="1" ht="18.600000000000001" customHeight="1">
      <c r="B57" s="143" t="s">
        <v>550</v>
      </c>
      <c r="C57" s="232"/>
      <c r="D57" s="352" t="s">
        <v>250</v>
      </c>
      <c r="E57" s="351" t="s">
        <v>185</v>
      </c>
      <c r="F57" s="351">
        <v>6</v>
      </c>
      <c r="G57" s="351">
        <v>5</v>
      </c>
      <c r="H57" s="233">
        <f t="shared" si="1"/>
        <v>1</v>
      </c>
      <c r="I57" s="151">
        <v>208100</v>
      </c>
      <c r="J57" s="152">
        <f t="shared" si="5"/>
        <v>208100</v>
      </c>
      <c r="K57" s="234"/>
      <c r="L57" s="148" t="s">
        <v>92</v>
      </c>
      <c r="M57" s="148">
        <f t="shared" si="2"/>
        <v>1</v>
      </c>
      <c r="N57" s="149"/>
    </row>
    <row r="58" spans="2:14" s="143" customFormat="1" ht="18.600000000000001" customHeight="1">
      <c r="B58" s="143" t="s">
        <v>552</v>
      </c>
      <c r="C58" s="232"/>
      <c r="D58" s="358" t="s">
        <v>249</v>
      </c>
      <c r="E58" s="356" t="s">
        <v>190</v>
      </c>
      <c r="F58" s="356">
        <v>12</v>
      </c>
      <c r="G58" s="356">
        <v>10</v>
      </c>
      <c r="H58" s="233">
        <f t="shared" si="1"/>
        <v>2</v>
      </c>
      <c r="I58" s="151">
        <v>161800</v>
      </c>
      <c r="J58" s="152">
        <f t="shared" si="5"/>
        <v>323600</v>
      </c>
      <c r="K58" s="234"/>
      <c r="L58" s="148" t="s">
        <v>92</v>
      </c>
      <c r="M58" s="148">
        <f t="shared" si="2"/>
        <v>1</v>
      </c>
      <c r="N58" s="149"/>
    </row>
    <row r="59" spans="2:14" s="143" customFormat="1" ht="18.600000000000001" customHeight="1">
      <c r="B59" s="143" t="s">
        <v>508</v>
      </c>
      <c r="C59" s="232"/>
      <c r="D59" s="358" t="s">
        <v>252</v>
      </c>
      <c r="E59" s="356" t="s">
        <v>190</v>
      </c>
      <c r="F59" s="356">
        <v>12</v>
      </c>
      <c r="G59" s="356">
        <v>10</v>
      </c>
      <c r="H59" s="233">
        <f t="shared" si="1"/>
        <v>2</v>
      </c>
      <c r="I59" s="151">
        <v>0</v>
      </c>
      <c r="J59" s="152" t="str">
        <f t="shared" si="5"/>
        <v/>
      </c>
      <c r="K59" s="234"/>
      <c r="L59" s="148" t="s">
        <v>92</v>
      </c>
      <c r="M59" s="148">
        <f t="shared" si="2"/>
        <v>1</v>
      </c>
      <c r="N59" s="149"/>
    </row>
    <row r="60" spans="2:14" s="143" customFormat="1" ht="18.600000000000001" customHeight="1">
      <c r="B60" s="143" t="s">
        <v>491</v>
      </c>
      <c r="C60" s="232"/>
      <c r="D60" s="358" t="s">
        <v>253</v>
      </c>
      <c r="E60" s="356" t="s">
        <v>212</v>
      </c>
      <c r="F60" s="356">
        <v>12</v>
      </c>
      <c r="G60" s="356">
        <v>10</v>
      </c>
      <c r="H60" s="233">
        <f t="shared" si="1"/>
        <v>2</v>
      </c>
      <c r="I60" s="151">
        <v>45500</v>
      </c>
      <c r="J60" s="152">
        <f t="shared" si="5"/>
        <v>91000</v>
      </c>
      <c r="K60" s="234"/>
      <c r="L60" s="148" t="s">
        <v>92</v>
      </c>
      <c r="M60" s="148">
        <f t="shared" si="2"/>
        <v>1</v>
      </c>
      <c r="N60" s="149"/>
    </row>
    <row r="61" spans="2:14" s="143" customFormat="1" ht="18.600000000000001" customHeight="1">
      <c r="B61" s="143" t="s">
        <v>542</v>
      </c>
      <c r="C61" s="232"/>
      <c r="D61" s="358" t="s">
        <v>213</v>
      </c>
      <c r="E61" s="356" t="s">
        <v>212</v>
      </c>
      <c r="F61" s="356">
        <v>42</v>
      </c>
      <c r="G61" s="356">
        <v>41</v>
      </c>
      <c r="H61" s="233">
        <f t="shared" si="1"/>
        <v>1</v>
      </c>
      <c r="I61" s="151">
        <v>49000</v>
      </c>
      <c r="J61" s="152">
        <f t="shared" si="5"/>
        <v>49000</v>
      </c>
      <c r="K61" s="234"/>
      <c r="L61" s="148" t="s">
        <v>92</v>
      </c>
      <c r="M61" s="148">
        <f t="shared" si="2"/>
        <v>1</v>
      </c>
      <c r="N61" s="149"/>
    </row>
    <row r="62" spans="2:14" s="143" customFormat="1" ht="18.600000000000001" customHeight="1">
      <c r="B62" s="143" t="s">
        <v>546</v>
      </c>
      <c r="C62" s="232"/>
      <c r="D62" s="352" t="s">
        <v>257</v>
      </c>
      <c r="E62" s="351" t="s">
        <v>185</v>
      </c>
      <c r="F62" s="351">
        <v>70</v>
      </c>
      <c r="G62" s="362">
        <v>50</v>
      </c>
      <c r="H62" s="233">
        <f t="shared" si="1"/>
        <v>20</v>
      </c>
      <c r="I62" s="151">
        <v>8200</v>
      </c>
      <c r="J62" s="152">
        <f t="shared" si="5"/>
        <v>164000</v>
      </c>
      <c r="K62" s="234"/>
      <c r="L62" s="148" t="s">
        <v>92</v>
      </c>
      <c r="M62" s="148">
        <f t="shared" si="2"/>
        <v>1</v>
      </c>
      <c r="N62" s="149"/>
    </row>
    <row r="63" spans="2:14" s="143" customFormat="1" ht="18.600000000000001" customHeight="1">
      <c r="B63" s="143" t="s">
        <v>548</v>
      </c>
      <c r="C63" s="232"/>
      <c r="D63" s="389" t="s">
        <v>258</v>
      </c>
      <c r="E63" s="390" t="s">
        <v>259</v>
      </c>
      <c r="F63" s="390">
        <v>70</v>
      </c>
      <c r="G63" s="388">
        <v>50</v>
      </c>
      <c r="H63" s="233">
        <f t="shared" si="1"/>
        <v>20</v>
      </c>
      <c r="I63" s="151">
        <v>61800</v>
      </c>
      <c r="J63" s="152">
        <f t="shared" si="5"/>
        <v>1236000</v>
      </c>
      <c r="K63" s="234"/>
      <c r="L63" s="148" t="s">
        <v>92</v>
      </c>
      <c r="M63" s="148">
        <f t="shared" si="2"/>
        <v>1</v>
      </c>
      <c r="N63" s="149"/>
    </row>
    <row r="64" spans="2:14" s="143" customFormat="1" ht="18.600000000000001" customHeight="1">
      <c r="B64" s="143" t="s">
        <v>550</v>
      </c>
      <c r="C64" s="232"/>
      <c r="D64" s="358" t="s">
        <v>268</v>
      </c>
      <c r="E64" s="356" t="s">
        <v>219</v>
      </c>
      <c r="F64" s="356">
        <v>21.5</v>
      </c>
      <c r="G64" s="356">
        <v>0</v>
      </c>
      <c r="H64" s="233">
        <f t="shared" si="1"/>
        <v>21.5</v>
      </c>
      <c r="I64" s="151">
        <v>208100</v>
      </c>
      <c r="J64" s="152">
        <f t="shared" si="5"/>
        <v>4474150</v>
      </c>
      <c r="K64" s="234"/>
      <c r="L64" s="148" t="s">
        <v>92</v>
      </c>
      <c r="M64" s="148">
        <f t="shared" si="2"/>
        <v>1</v>
      </c>
      <c r="N64" s="149"/>
    </row>
    <row r="65" spans="2:14" s="143" customFormat="1" ht="18.600000000000001" customHeight="1">
      <c r="B65" s="143" t="s">
        <v>143</v>
      </c>
      <c r="C65" s="232"/>
      <c r="D65" s="358" t="s">
        <v>269</v>
      </c>
      <c r="E65" s="356" t="s">
        <v>212</v>
      </c>
      <c r="F65" s="356">
        <v>35</v>
      </c>
      <c r="G65" s="356">
        <v>34</v>
      </c>
      <c r="H65" s="235">
        <f t="shared" si="1"/>
        <v>1</v>
      </c>
      <c r="I65" s="151"/>
      <c r="J65" s="152"/>
      <c r="K65" s="234"/>
      <c r="L65" s="148"/>
      <c r="M65" s="148">
        <f t="shared" si="2"/>
        <v>1</v>
      </c>
      <c r="N65" s="149"/>
    </row>
    <row r="66" spans="2:14" s="143" customFormat="1" ht="18.600000000000001" customHeight="1">
      <c r="B66" s="143" t="s">
        <v>554</v>
      </c>
      <c r="C66" s="232"/>
      <c r="D66" s="401" t="s">
        <v>273</v>
      </c>
      <c r="E66" s="400" t="s">
        <v>190</v>
      </c>
      <c r="F66" s="356">
        <v>33</v>
      </c>
      <c r="G66" s="356">
        <v>31</v>
      </c>
      <c r="H66" s="233">
        <f t="shared" si="1"/>
        <v>2</v>
      </c>
      <c r="I66" s="151"/>
      <c r="J66" s="152"/>
      <c r="K66" s="234"/>
      <c r="L66" s="148"/>
      <c r="M66" s="148">
        <f t="shared" si="2"/>
        <v>1</v>
      </c>
      <c r="N66" s="149"/>
    </row>
    <row r="67" spans="2:14" s="143" customFormat="1" ht="18.600000000000001" customHeight="1">
      <c r="B67" s="143" t="s">
        <v>534</v>
      </c>
      <c r="C67" s="232"/>
      <c r="D67" s="401" t="s">
        <v>276</v>
      </c>
      <c r="E67" s="400" t="s">
        <v>190</v>
      </c>
      <c r="F67" s="356">
        <v>5</v>
      </c>
      <c r="G67" s="356">
        <v>4</v>
      </c>
      <c r="H67" s="233">
        <f t="shared" si="1"/>
        <v>1</v>
      </c>
      <c r="I67" s="151" t="e">
        <f t="shared" ref="I36:I85" si="6">VLOOKUP(B67,HopDong,16,0)</f>
        <v>#NAME?</v>
      </c>
      <c r="J67" s="152" t="e">
        <f t="shared" si="5"/>
        <v>#NAME?</v>
      </c>
      <c r="K67" s="234"/>
      <c r="L67" s="148" t="s">
        <v>92</v>
      </c>
      <c r="M67" s="148">
        <f t="shared" si="2"/>
        <v>1</v>
      </c>
      <c r="N67" s="149"/>
    </row>
    <row r="68" spans="2:14" s="143" customFormat="1" ht="18.600000000000001" customHeight="1">
      <c r="B68" s="143" t="s">
        <v>517</v>
      </c>
      <c r="C68" s="232"/>
      <c r="D68" s="401" t="s">
        <v>280</v>
      </c>
      <c r="E68" s="356" t="s">
        <v>190</v>
      </c>
      <c r="F68" s="356">
        <v>106</v>
      </c>
      <c r="G68" s="356">
        <v>99</v>
      </c>
      <c r="H68" s="233">
        <f t="shared" si="1"/>
        <v>7</v>
      </c>
      <c r="I68" s="151" t="e">
        <f t="shared" si="6"/>
        <v>#NAME?</v>
      </c>
      <c r="J68" s="152" t="e">
        <f t="shared" si="5"/>
        <v>#NAME?</v>
      </c>
      <c r="K68" s="234"/>
      <c r="L68" s="148" t="s">
        <v>92</v>
      </c>
      <c r="M68" s="148">
        <f t="shared" si="2"/>
        <v>1</v>
      </c>
      <c r="N68" s="149"/>
    </row>
    <row r="69" spans="2:14" s="143" customFormat="1" ht="18.600000000000001" customHeight="1">
      <c r="B69" s="143" t="s">
        <v>556</v>
      </c>
      <c r="C69" s="232"/>
      <c r="D69" s="401" t="s">
        <v>282</v>
      </c>
      <c r="E69" s="400" t="s">
        <v>190</v>
      </c>
      <c r="F69" s="356">
        <v>172</v>
      </c>
      <c r="G69" s="356">
        <v>170</v>
      </c>
      <c r="H69" s="233">
        <f t="shared" si="1"/>
        <v>2</v>
      </c>
      <c r="I69" s="151" t="e">
        <f t="shared" si="6"/>
        <v>#NAME?</v>
      </c>
      <c r="J69" s="152" t="e">
        <f t="shared" si="5"/>
        <v>#NAME?</v>
      </c>
      <c r="K69" s="234"/>
      <c r="L69" s="148" t="s">
        <v>92</v>
      </c>
      <c r="M69" s="148">
        <f t="shared" si="2"/>
        <v>1</v>
      </c>
      <c r="N69" s="149"/>
    </row>
    <row r="70" spans="2:14" s="143" customFormat="1" ht="18.600000000000001" customHeight="1">
      <c r="B70" s="143" t="s">
        <v>558</v>
      </c>
      <c r="C70" s="232"/>
      <c r="D70" s="358" t="s">
        <v>285</v>
      </c>
      <c r="E70" s="356" t="s">
        <v>284</v>
      </c>
      <c r="F70" s="356">
        <v>41</v>
      </c>
      <c r="G70" s="407">
        <v>20</v>
      </c>
      <c r="H70" s="233">
        <f t="shared" si="1"/>
        <v>21</v>
      </c>
      <c r="I70" s="151" t="e">
        <f t="shared" si="6"/>
        <v>#NAME?</v>
      </c>
      <c r="J70" s="152" t="e">
        <f t="shared" si="5"/>
        <v>#NAME?</v>
      </c>
      <c r="K70" s="234"/>
      <c r="L70" s="148" t="s">
        <v>92</v>
      </c>
      <c r="M70" s="148">
        <f t="shared" si="2"/>
        <v>1</v>
      </c>
      <c r="N70" s="149"/>
    </row>
    <row r="71" spans="2:14" s="143" customFormat="1" ht="18.600000000000001" customHeight="1">
      <c r="B71" s="143" t="s">
        <v>560</v>
      </c>
      <c r="C71" s="232"/>
      <c r="D71" s="358" t="s">
        <v>286</v>
      </c>
      <c r="E71" s="356" t="s">
        <v>219</v>
      </c>
      <c r="F71" s="356">
        <v>41</v>
      </c>
      <c r="G71" s="408">
        <v>20.5</v>
      </c>
      <c r="H71" s="233">
        <f t="shared" si="1"/>
        <v>20.5</v>
      </c>
      <c r="I71" s="151"/>
      <c r="J71" s="152"/>
      <c r="K71" s="234"/>
      <c r="L71" s="148"/>
      <c r="M71" s="148">
        <f t="shared" si="2"/>
        <v>1</v>
      </c>
      <c r="N71" s="149"/>
    </row>
    <row r="72" spans="2:14" s="143" customFormat="1" ht="18.600000000000001" customHeight="1">
      <c r="B72" s="143" t="s">
        <v>561</v>
      </c>
      <c r="C72" s="232"/>
      <c r="D72" s="418" t="s">
        <v>298</v>
      </c>
      <c r="E72" s="415" t="s">
        <v>212</v>
      </c>
      <c r="F72" s="419">
        <v>146</v>
      </c>
      <c r="G72" s="417">
        <v>144</v>
      </c>
      <c r="H72" s="233">
        <f t="shared" ref="H72:H124" si="7">F72-G72</f>
        <v>2</v>
      </c>
      <c r="I72" s="151"/>
      <c r="J72" s="152"/>
      <c r="K72" s="234"/>
      <c r="L72" s="148"/>
      <c r="M72" s="148">
        <f t="shared" ref="M72:M131" si="8">IF(H72&gt;0,1,0)</f>
        <v>1</v>
      </c>
      <c r="N72" s="149"/>
    </row>
    <row r="73" spans="2:14" s="143" customFormat="1" ht="18.600000000000001" customHeight="1">
      <c r="B73" s="143" t="s">
        <v>562</v>
      </c>
      <c r="C73" s="232"/>
      <c r="D73" s="418" t="s">
        <v>301</v>
      </c>
      <c r="E73" s="415" t="s">
        <v>212</v>
      </c>
      <c r="F73" s="419">
        <v>276</v>
      </c>
      <c r="G73" s="417">
        <v>267</v>
      </c>
      <c r="H73" s="233">
        <f t="shared" si="7"/>
        <v>9</v>
      </c>
      <c r="I73" s="151" t="e">
        <f t="shared" si="6"/>
        <v>#NAME?</v>
      </c>
      <c r="J73" s="152" t="e">
        <f t="shared" si="5"/>
        <v>#NAME?</v>
      </c>
      <c r="K73" s="234"/>
      <c r="L73" s="148" t="s">
        <v>92</v>
      </c>
      <c r="M73" s="148">
        <f t="shared" si="8"/>
        <v>1</v>
      </c>
      <c r="N73" s="149"/>
    </row>
    <row r="74" spans="2:14" s="143" customFormat="1" ht="18.600000000000001" customHeight="1">
      <c r="B74" s="143" t="s">
        <v>564</v>
      </c>
      <c r="C74" s="232"/>
      <c r="D74" s="418" t="s">
        <v>302</v>
      </c>
      <c r="E74" s="415" t="s">
        <v>212</v>
      </c>
      <c r="F74" s="419">
        <v>67</v>
      </c>
      <c r="G74" s="417">
        <v>51</v>
      </c>
      <c r="H74" s="233">
        <f t="shared" si="7"/>
        <v>16</v>
      </c>
      <c r="I74" s="151"/>
      <c r="J74" s="152"/>
      <c r="K74" s="234"/>
      <c r="L74" s="148"/>
      <c r="M74" s="148">
        <f t="shared" si="8"/>
        <v>1</v>
      </c>
      <c r="N74" s="149"/>
    </row>
    <row r="75" spans="2:14" s="143" customFormat="1" ht="18.600000000000001" customHeight="1">
      <c r="B75" s="143" t="s">
        <v>566</v>
      </c>
      <c r="C75" s="232"/>
      <c r="D75" s="418" t="s">
        <v>303</v>
      </c>
      <c r="E75" s="415" t="s">
        <v>212</v>
      </c>
      <c r="F75" s="419">
        <v>74</v>
      </c>
      <c r="G75" s="417">
        <v>54</v>
      </c>
      <c r="H75" s="233">
        <f t="shared" si="7"/>
        <v>20</v>
      </c>
      <c r="I75" s="151" t="e">
        <f t="shared" si="6"/>
        <v>#NAME?</v>
      </c>
      <c r="J75" s="152" t="e">
        <f t="shared" si="5"/>
        <v>#NAME?</v>
      </c>
      <c r="K75" s="234"/>
      <c r="L75" s="148" t="s">
        <v>92</v>
      </c>
      <c r="M75" s="148">
        <f t="shared" si="8"/>
        <v>1</v>
      </c>
      <c r="N75" s="149"/>
    </row>
    <row r="76" spans="2:14" s="143" customFormat="1" ht="18.600000000000001" customHeight="1">
      <c r="B76" s="143" t="s">
        <v>568</v>
      </c>
      <c r="C76" s="232"/>
      <c r="D76" s="418" t="s">
        <v>305</v>
      </c>
      <c r="E76" s="415" t="s">
        <v>212</v>
      </c>
      <c r="F76" s="419">
        <v>35</v>
      </c>
      <c r="G76" s="417">
        <v>34</v>
      </c>
      <c r="H76" s="233">
        <f t="shared" si="7"/>
        <v>1</v>
      </c>
      <c r="I76" s="151" t="e">
        <f t="shared" si="6"/>
        <v>#NAME?</v>
      </c>
      <c r="J76" s="152" t="e">
        <f t="shared" si="5"/>
        <v>#NAME?</v>
      </c>
      <c r="K76" s="234"/>
      <c r="L76" s="148" t="s">
        <v>92</v>
      </c>
      <c r="M76" s="148">
        <f t="shared" si="8"/>
        <v>1</v>
      </c>
      <c r="N76" s="149"/>
    </row>
    <row r="77" spans="2:14" s="143" customFormat="1" ht="18.600000000000001" customHeight="1">
      <c r="B77" s="143" t="s">
        <v>570</v>
      </c>
      <c r="C77" s="232"/>
      <c r="D77" s="418" t="s">
        <v>307</v>
      </c>
      <c r="E77" s="415" t="s">
        <v>212</v>
      </c>
      <c r="F77" s="419">
        <v>74</v>
      </c>
      <c r="G77" s="417">
        <v>72</v>
      </c>
      <c r="H77" s="236">
        <f t="shared" si="7"/>
        <v>2</v>
      </c>
      <c r="I77" s="151" t="e">
        <f t="shared" si="6"/>
        <v>#NAME?</v>
      </c>
      <c r="J77" s="152" t="e">
        <f t="shared" si="5"/>
        <v>#NAME?</v>
      </c>
      <c r="K77" s="234"/>
      <c r="L77" s="148" t="s">
        <v>92</v>
      </c>
      <c r="M77" s="148">
        <f t="shared" si="8"/>
        <v>1</v>
      </c>
      <c r="N77" s="149"/>
    </row>
    <row r="78" spans="2:14" s="143" customFormat="1" ht="18.600000000000001" customHeight="1">
      <c r="B78" s="237" t="s">
        <v>144</v>
      </c>
      <c r="C78" s="232"/>
      <c r="D78" s="418" t="s">
        <v>308</v>
      </c>
      <c r="E78" s="415" t="s">
        <v>309</v>
      </c>
      <c r="F78" s="420">
        <v>11.923999999999999</v>
      </c>
      <c r="G78" s="420">
        <v>11.906000000000001</v>
      </c>
      <c r="H78" s="233">
        <f t="shared" si="7"/>
        <v>1.7999999999998906E-2</v>
      </c>
      <c r="I78" s="151"/>
      <c r="J78" s="152"/>
      <c r="K78" s="234"/>
      <c r="L78" s="148"/>
      <c r="M78" s="148">
        <f t="shared" si="8"/>
        <v>1</v>
      </c>
      <c r="N78" s="149"/>
    </row>
    <row r="79" spans="2:14" s="143" customFormat="1" ht="18.600000000000001" hidden="1" customHeight="1">
      <c r="B79" s="143" t="s">
        <v>573</v>
      </c>
      <c r="C79" s="239">
        <v>18</v>
      </c>
      <c r="D79" s="418" t="s">
        <v>310</v>
      </c>
      <c r="E79" s="415" t="s">
        <v>309</v>
      </c>
      <c r="F79" s="420">
        <v>1.796</v>
      </c>
      <c r="G79" s="420">
        <v>1.792</v>
      </c>
      <c r="H79" s="241">
        <f t="shared" si="7"/>
        <v>4.0000000000000036E-3</v>
      </c>
      <c r="I79" s="151" t="e">
        <f t="shared" si="6"/>
        <v>#NAME?</v>
      </c>
      <c r="J79" s="152" t="e">
        <f t="shared" si="5"/>
        <v>#NAME?</v>
      </c>
      <c r="K79" s="242"/>
      <c r="L79" s="148" t="s">
        <v>92</v>
      </c>
      <c r="M79" s="148">
        <f t="shared" si="8"/>
        <v>1</v>
      </c>
      <c r="N79" s="149"/>
    </row>
    <row r="80" spans="2:14" s="143" customFormat="1" ht="18.600000000000001" customHeight="1">
      <c r="B80" s="143" t="s">
        <v>575</v>
      </c>
      <c r="C80" s="232"/>
      <c r="D80" s="418" t="s">
        <v>311</v>
      </c>
      <c r="E80" s="415" t="s">
        <v>309</v>
      </c>
      <c r="F80" s="420">
        <v>11.923999999999999</v>
      </c>
      <c r="G80" s="420">
        <v>11.912000000000001</v>
      </c>
      <c r="H80" s="233">
        <f t="shared" si="7"/>
        <v>1.1999999999998678E-2</v>
      </c>
      <c r="I80" s="151" t="e">
        <f t="shared" si="6"/>
        <v>#NAME?</v>
      </c>
      <c r="J80" s="152" t="e">
        <f t="shared" si="5"/>
        <v>#NAME?</v>
      </c>
      <c r="K80" s="234"/>
      <c r="L80" s="148" t="s">
        <v>92</v>
      </c>
      <c r="M80" s="148">
        <f t="shared" si="8"/>
        <v>1</v>
      </c>
      <c r="N80" s="149"/>
    </row>
    <row r="81" spans="2:14" s="143" customFormat="1" ht="18.600000000000001" hidden="1" customHeight="1">
      <c r="B81" s="143" t="s">
        <v>577</v>
      </c>
      <c r="C81" s="239">
        <v>20</v>
      </c>
      <c r="D81" s="240" t="s">
        <v>578</v>
      </c>
      <c r="E81" s="158" t="s">
        <v>212</v>
      </c>
      <c r="F81" s="158">
        <v>56</v>
      </c>
      <c r="G81" s="158">
        <v>56</v>
      </c>
      <c r="H81" s="241">
        <f t="shared" si="7"/>
        <v>0</v>
      </c>
      <c r="I81" s="151" t="e">
        <f t="shared" si="6"/>
        <v>#NAME?</v>
      </c>
      <c r="J81" s="152" t="e">
        <f t="shared" si="5"/>
        <v>#NAME?</v>
      </c>
      <c r="K81" s="242"/>
      <c r="L81" s="148" t="s">
        <v>92</v>
      </c>
      <c r="M81" s="148">
        <f t="shared" si="8"/>
        <v>0</v>
      </c>
      <c r="N81" s="149"/>
    </row>
    <row r="82" spans="2:14" s="143" customFormat="1" ht="18.600000000000001" customHeight="1">
      <c r="B82" s="143" t="s">
        <v>579</v>
      </c>
      <c r="C82" s="232"/>
      <c r="D82" s="209"/>
      <c r="E82" s="210"/>
      <c r="F82" s="210"/>
      <c r="G82" s="210"/>
      <c r="H82" s="233">
        <f t="shared" si="7"/>
        <v>0</v>
      </c>
      <c r="I82" s="151" t="e">
        <f t="shared" si="6"/>
        <v>#NAME?</v>
      </c>
      <c r="J82" s="152" t="e">
        <f t="shared" si="5"/>
        <v>#NAME?</v>
      </c>
      <c r="K82" s="234"/>
      <c r="L82" s="148" t="s">
        <v>92</v>
      </c>
      <c r="M82" s="148">
        <f t="shared" si="8"/>
        <v>0</v>
      </c>
      <c r="N82" s="149"/>
    </row>
    <row r="83" spans="2:14" s="143" customFormat="1" ht="18.600000000000001" customHeight="1">
      <c r="B83" s="143" t="s">
        <v>581</v>
      </c>
      <c r="C83" s="232"/>
      <c r="D83" s="209"/>
      <c r="E83" s="209"/>
      <c r="F83" s="238"/>
      <c r="G83" s="238"/>
      <c r="H83" s="243">
        <f>F83-G83</f>
        <v>0</v>
      </c>
      <c r="I83" s="151" t="e">
        <f t="shared" si="6"/>
        <v>#NAME?</v>
      </c>
      <c r="J83" s="152" t="e">
        <f t="shared" si="5"/>
        <v>#NAME?</v>
      </c>
      <c r="K83" s="234"/>
      <c r="L83" s="148" t="s">
        <v>92</v>
      </c>
      <c r="M83" s="148">
        <f t="shared" si="8"/>
        <v>0</v>
      </c>
      <c r="N83" s="149"/>
    </row>
    <row r="84" spans="2:14" s="143" customFormat="1" ht="18.600000000000001" hidden="1" customHeight="1">
      <c r="B84" s="143" t="s">
        <v>583</v>
      </c>
      <c r="C84" s="239">
        <v>23</v>
      </c>
      <c r="D84" s="240" t="s">
        <v>584</v>
      </c>
      <c r="E84" s="240" t="s">
        <v>309</v>
      </c>
      <c r="F84" s="244">
        <v>6.3380000000000001</v>
      </c>
      <c r="G84" s="244">
        <v>6.4647999999999985</v>
      </c>
      <c r="H84" s="245">
        <f t="shared" si="7"/>
        <v>-0.12679999999999847</v>
      </c>
      <c r="I84" s="151" t="e">
        <f t="shared" si="6"/>
        <v>#NAME?</v>
      </c>
      <c r="J84" s="152" t="e">
        <f t="shared" si="5"/>
        <v>#NAME?</v>
      </c>
      <c r="K84" s="242"/>
      <c r="L84" s="148" t="s">
        <v>92</v>
      </c>
      <c r="M84" s="148">
        <f t="shared" si="8"/>
        <v>0</v>
      </c>
      <c r="N84" s="149"/>
    </row>
    <row r="85" spans="2:14" s="143" customFormat="1" ht="18.600000000000001" hidden="1" customHeight="1">
      <c r="B85" s="143" t="s">
        <v>585</v>
      </c>
      <c r="C85" s="239">
        <v>24</v>
      </c>
      <c r="D85" s="240" t="s">
        <v>586</v>
      </c>
      <c r="E85" s="240" t="s">
        <v>309</v>
      </c>
      <c r="F85" s="244">
        <v>19.013999999999999</v>
      </c>
      <c r="G85" s="244">
        <v>19.394399999999994</v>
      </c>
      <c r="H85" s="245">
        <f t="shared" si="7"/>
        <v>-0.38039999999999452</v>
      </c>
      <c r="I85" s="151" t="e">
        <f t="shared" si="6"/>
        <v>#NAME?</v>
      </c>
      <c r="J85" s="152" t="e">
        <f t="shared" si="5"/>
        <v>#NAME?</v>
      </c>
      <c r="K85" s="242"/>
      <c r="L85" s="148" t="s">
        <v>92</v>
      </c>
      <c r="M85" s="148">
        <f t="shared" si="8"/>
        <v>0</v>
      </c>
      <c r="N85" s="149"/>
    </row>
    <row r="86" spans="2:14" s="143" customFormat="1" ht="18.600000000000001" customHeight="1">
      <c r="B86" s="143" t="s">
        <v>587</v>
      </c>
      <c r="C86" s="232"/>
      <c r="D86" s="209"/>
      <c r="E86" s="209"/>
      <c r="F86" s="238"/>
      <c r="G86" s="238"/>
      <c r="H86" s="233">
        <f t="shared" si="7"/>
        <v>0</v>
      </c>
      <c r="I86" s="151"/>
      <c r="J86" s="152"/>
      <c r="K86" s="234"/>
      <c r="L86" s="148"/>
      <c r="M86" s="148">
        <f t="shared" si="8"/>
        <v>0</v>
      </c>
      <c r="N86" s="149"/>
    </row>
    <row r="87" spans="2:14" s="143" customFormat="1" ht="18.600000000000001" customHeight="1">
      <c r="B87" s="143" t="s">
        <v>589</v>
      </c>
      <c r="C87" s="232"/>
      <c r="D87" s="209"/>
      <c r="E87" s="209"/>
      <c r="F87" s="238"/>
      <c r="G87" s="238"/>
      <c r="H87" s="233">
        <f t="shared" si="7"/>
        <v>0</v>
      </c>
      <c r="I87" s="151"/>
      <c r="J87" s="152"/>
      <c r="K87" s="234"/>
      <c r="L87" s="148"/>
      <c r="M87" s="148">
        <f t="shared" si="8"/>
        <v>0</v>
      </c>
      <c r="N87" s="149"/>
    </row>
    <row r="88" spans="2:14" s="143" customFormat="1" ht="18.600000000000001" customHeight="1">
      <c r="B88" s="143" t="s">
        <v>591</v>
      </c>
      <c r="C88" s="232"/>
      <c r="D88" s="209"/>
      <c r="E88" s="209"/>
      <c r="F88" s="238"/>
      <c r="G88" s="238"/>
      <c r="H88" s="233">
        <f t="shared" si="7"/>
        <v>0</v>
      </c>
      <c r="I88" s="151"/>
      <c r="J88" s="152"/>
      <c r="K88" s="234"/>
      <c r="L88" s="148"/>
      <c r="M88" s="148">
        <f t="shared" si="8"/>
        <v>0</v>
      </c>
      <c r="N88" s="149"/>
    </row>
    <row r="89" spans="2:14" s="143" customFormat="1" ht="18.600000000000001" customHeight="1">
      <c r="C89" s="232"/>
      <c r="D89" s="246"/>
      <c r="E89" s="234"/>
      <c r="F89" s="234"/>
      <c r="G89" s="247"/>
      <c r="H89" s="233"/>
      <c r="I89" s="151"/>
      <c r="J89" s="152"/>
      <c r="K89" s="234"/>
      <c r="L89" s="148"/>
      <c r="M89" s="148">
        <v>1</v>
      </c>
      <c r="N89" s="149"/>
    </row>
    <row r="90" spans="2:14" s="143" customFormat="1" ht="18.600000000000001" hidden="1" customHeight="1">
      <c r="B90" s="160" t="s">
        <v>96</v>
      </c>
      <c r="C90" s="150">
        <v>1</v>
      </c>
      <c r="D90" s="144" t="s">
        <v>452</v>
      </c>
      <c r="E90" s="158" t="s">
        <v>453</v>
      </c>
      <c r="F90" s="158">
        <v>190</v>
      </c>
      <c r="G90" s="248">
        <v>193</v>
      </c>
      <c r="H90" s="158">
        <f>IF((F90-G90)&gt;0, (F90-G90),0)</f>
        <v>0</v>
      </c>
      <c r="I90" s="151"/>
      <c r="J90" s="152"/>
      <c r="K90" s="242"/>
      <c r="L90" s="148"/>
      <c r="M90" s="148">
        <f t="shared" si="8"/>
        <v>0</v>
      </c>
      <c r="N90" s="149"/>
    </row>
    <row r="91" spans="2:14" s="143" customFormat="1" ht="18.600000000000001" hidden="1" customHeight="1">
      <c r="B91" s="160" t="s">
        <v>97</v>
      </c>
      <c r="C91" s="150">
        <f>IF(H91&gt;0,(C90+1),C90)</f>
        <v>1</v>
      </c>
      <c r="D91" s="144" t="s">
        <v>454</v>
      </c>
      <c r="E91" s="158" t="s">
        <v>453</v>
      </c>
      <c r="F91" s="158">
        <v>93</v>
      </c>
      <c r="G91" s="248">
        <v>95</v>
      </c>
      <c r="H91" s="158">
        <f t="shared" ref="H91:H130" si="9">IF((F91-G91)&gt;0, (F91-G91),0)</f>
        <v>0</v>
      </c>
      <c r="I91" s="151"/>
      <c r="J91" s="152"/>
      <c r="K91" s="242"/>
      <c r="L91" s="148"/>
      <c r="M91" s="148">
        <f t="shared" si="8"/>
        <v>0</v>
      </c>
      <c r="N91" s="149"/>
    </row>
    <row r="92" spans="2:14" s="143" customFormat="1" ht="18.600000000000001" customHeight="1">
      <c r="B92" s="160" t="s">
        <v>98</v>
      </c>
      <c r="C92" s="208"/>
      <c r="D92" s="249"/>
      <c r="E92" s="210"/>
      <c r="F92" s="210"/>
      <c r="G92" s="247"/>
      <c r="H92" s="210">
        <f t="shared" si="9"/>
        <v>0</v>
      </c>
      <c r="I92" s="151"/>
      <c r="J92" s="152"/>
      <c r="K92" s="234"/>
      <c r="L92" s="148"/>
      <c r="M92" s="148">
        <f t="shared" si="8"/>
        <v>0</v>
      </c>
      <c r="N92" s="149"/>
    </row>
    <row r="93" spans="2:14" s="143" customFormat="1" ht="18.600000000000001" hidden="1" customHeight="1">
      <c r="B93" s="160" t="s">
        <v>99</v>
      </c>
      <c r="C93" s="150">
        <f t="shared" ref="C92:C115" si="10">IF(H93&gt;0,(C92+1),C92)</f>
        <v>0</v>
      </c>
      <c r="D93" s="144" t="s">
        <v>456</v>
      </c>
      <c r="E93" s="158" t="s">
        <v>212</v>
      </c>
      <c r="F93" s="158">
        <v>30</v>
      </c>
      <c r="G93" s="248">
        <v>30</v>
      </c>
      <c r="H93" s="158">
        <f t="shared" si="9"/>
        <v>0</v>
      </c>
      <c r="I93" s="151"/>
      <c r="J93" s="152"/>
      <c r="K93" s="242"/>
      <c r="L93" s="148"/>
      <c r="M93" s="148">
        <f t="shared" si="8"/>
        <v>0</v>
      </c>
      <c r="N93" s="149"/>
    </row>
    <row r="94" spans="2:14" s="143" customFormat="1" ht="18.600000000000001" hidden="1" customHeight="1">
      <c r="B94" s="160" t="s">
        <v>100</v>
      </c>
      <c r="C94" s="150">
        <f t="shared" si="10"/>
        <v>0</v>
      </c>
      <c r="D94" s="144" t="s">
        <v>457</v>
      </c>
      <c r="E94" s="158" t="s">
        <v>212</v>
      </c>
      <c r="F94" s="158">
        <v>6</v>
      </c>
      <c r="G94" s="248">
        <v>6</v>
      </c>
      <c r="H94" s="158">
        <f t="shared" si="9"/>
        <v>0</v>
      </c>
      <c r="I94" s="151"/>
      <c r="J94" s="152"/>
      <c r="K94" s="242"/>
      <c r="L94" s="148"/>
      <c r="M94" s="148">
        <f t="shared" si="8"/>
        <v>0</v>
      </c>
      <c r="N94" s="149"/>
    </row>
    <row r="95" spans="2:14" s="143" customFormat="1" ht="18.600000000000001" hidden="1" customHeight="1">
      <c r="B95" s="160" t="s">
        <v>101</v>
      </c>
      <c r="C95" s="150">
        <f>IF(H95&gt;0,(C93+1),C93)</f>
        <v>0</v>
      </c>
      <c r="D95" s="144" t="s">
        <v>458</v>
      </c>
      <c r="E95" s="158" t="s">
        <v>212</v>
      </c>
      <c r="F95" s="158">
        <v>9</v>
      </c>
      <c r="G95" s="248">
        <v>9</v>
      </c>
      <c r="H95" s="158">
        <f t="shared" si="9"/>
        <v>0</v>
      </c>
      <c r="I95" s="151"/>
      <c r="J95" s="152"/>
      <c r="K95" s="242"/>
      <c r="L95" s="148"/>
      <c r="M95" s="148">
        <f t="shared" si="8"/>
        <v>0</v>
      </c>
      <c r="N95" s="149"/>
    </row>
    <row r="96" spans="2:14" s="143" customFormat="1" ht="18.600000000000001" customHeight="1">
      <c r="B96" s="160" t="s">
        <v>102</v>
      </c>
      <c r="C96" s="208"/>
      <c r="D96" s="249"/>
      <c r="E96" s="210"/>
      <c r="F96" s="210"/>
      <c r="G96" s="247"/>
      <c r="H96" s="210">
        <f t="shared" si="9"/>
        <v>0</v>
      </c>
      <c r="I96" s="151"/>
      <c r="J96" s="152"/>
      <c r="K96" s="234"/>
      <c r="L96" s="148"/>
      <c r="M96" s="148">
        <f t="shared" si="8"/>
        <v>0</v>
      </c>
      <c r="N96" s="149"/>
    </row>
    <row r="97" spans="2:14" s="143" customFormat="1" ht="18.600000000000001" customHeight="1">
      <c r="B97" s="160" t="s">
        <v>103</v>
      </c>
      <c r="C97" s="208"/>
      <c r="D97" s="249"/>
      <c r="E97" s="210"/>
      <c r="F97" s="210"/>
      <c r="G97" s="247"/>
      <c r="H97" s="210">
        <f t="shared" si="9"/>
        <v>0</v>
      </c>
      <c r="I97" s="151"/>
      <c r="J97" s="152"/>
      <c r="K97" s="234"/>
      <c r="L97" s="148"/>
      <c r="M97" s="148">
        <f t="shared" si="8"/>
        <v>0</v>
      </c>
      <c r="N97" s="149"/>
    </row>
    <row r="98" spans="2:14" s="143" customFormat="1" ht="18.600000000000001" customHeight="1">
      <c r="B98" s="160" t="s">
        <v>104</v>
      </c>
      <c r="C98" s="208"/>
      <c r="D98" s="249"/>
      <c r="E98" s="210"/>
      <c r="F98" s="210"/>
      <c r="G98" s="247"/>
      <c r="H98" s="210">
        <f t="shared" si="9"/>
        <v>0</v>
      </c>
      <c r="I98" s="151"/>
      <c r="J98" s="152"/>
      <c r="K98" s="234"/>
      <c r="L98" s="148"/>
      <c r="M98" s="148">
        <f t="shared" si="8"/>
        <v>0</v>
      </c>
      <c r="N98" s="149"/>
    </row>
    <row r="99" spans="2:14" s="143" customFormat="1" ht="18.600000000000001" hidden="1" customHeight="1">
      <c r="B99" s="160" t="s">
        <v>105</v>
      </c>
      <c r="C99" s="150">
        <f t="shared" si="10"/>
        <v>0</v>
      </c>
      <c r="D99" s="144" t="s">
        <v>462</v>
      </c>
      <c r="E99" s="158" t="s">
        <v>309</v>
      </c>
      <c r="F99" s="158">
        <v>3.15</v>
      </c>
      <c r="G99" s="248">
        <v>19.393999999999998</v>
      </c>
      <c r="H99" s="158">
        <f t="shared" si="9"/>
        <v>0</v>
      </c>
      <c r="I99" s="151"/>
      <c r="J99" s="152"/>
      <c r="K99" s="242"/>
      <c r="L99" s="148"/>
      <c r="M99" s="148">
        <f t="shared" si="8"/>
        <v>0</v>
      </c>
      <c r="N99" s="149"/>
    </row>
    <row r="100" spans="2:14" s="143" customFormat="1" ht="18.600000000000001" hidden="1" customHeight="1">
      <c r="B100" s="160" t="s">
        <v>106</v>
      </c>
      <c r="C100" s="150">
        <f t="shared" si="10"/>
        <v>0</v>
      </c>
      <c r="D100" s="144" t="s">
        <v>463</v>
      </c>
      <c r="E100" s="158" t="s">
        <v>309</v>
      </c>
      <c r="F100" s="158">
        <v>0.159</v>
      </c>
      <c r="G100" s="248">
        <v>4.9939999999999998</v>
      </c>
      <c r="H100" s="158">
        <f t="shared" si="9"/>
        <v>0</v>
      </c>
      <c r="I100" s="151"/>
      <c r="J100" s="152"/>
      <c r="K100" s="242"/>
      <c r="L100" s="148"/>
      <c r="M100" s="148">
        <f t="shared" si="8"/>
        <v>0</v>
      </c>
      <c r="N100" s="149"/>
    </row>
    <row r="101" spans="2:14" s="143" customFormat="1" ht="18.600000000000001" customHeight="1">
      <c r="B101" s="160" t="s">
        <v>107</v>
      </c>
      <c r="C101" s="208"/>
      <c r="D101" s="249"/>
      <c r="E101" s="210"/>
      <c r="F101" s="210"/>
      <c r="G101" s="247"/>
      <c r="H101" s="210">
        <f t="shared" si="9"/>
        <v>0</v>
      </c>
      <c r="I101" s="151"/>
      <c r="J101" s="152"/>
      <c r="K101" s="234"/>
      <c r="L101" s="148"/>
      <c r="M101" s="148">
        <f t="shared" si="8"/>
        <v>0</v>
      </c>
      <c r="N101" s="149"/>
    </row>
    <row r="102" spans="2:14" s="143" customFormat="1" ht="18.600000000000001" hidden="1" customHeight="1">
      <c r="B102" s="160" t="s">
        <v>108</v>
      </c>
      <c r="C102" s="150">
        <f t="shared" si="10"/>
        <v>0</v>
      </c>
      <c r="D102" s="144" t="s">
        <v>466</v>
      </c>
      <c r="E102" s="158" t="s">
        <v>212</v>
      </c>
      <c r="F102" s="158">
        <v>10</v>
      </c>
      <c r="G102" s="248">
        <v>10</v>
      </c>
      <c r="H102" s="158">
        <f t="shared" si="9"/>
        <v>0</v>
      </c>
      <c r="I102" s="151"/>
      <c r="J102" s="152"/>
      <c r="K102" s="242"/>
      <c r="L102" s="148"/>
      <c r="M102" s="148">
        <f t="shared" si="8"/>
        <v>0</v>
      </c>
      <c r="N102" s="149"/>
    </row>
    <row r="103" spans="2:14" s="143" customFormat="1" ht="18.600000000000001" customHeight="1">
      <c r="B103" s="160" t="s">
        <v>109</v>
      </c>
      <c r="C103" s="208"/>
      <c r="D103" s="249"/>
      <c r="E103" s="210"/>
      <c r="F103" s="210"/>
      <c r="G103" s="247"/>
      <c r="H103" s="210">
        <f t="shared" si="9"/>
        <v>0</v>
      </c>
      <c r="I103" s="151"/>
      <c r="J103" s="152"/>
      <c r="K103" s="234"/>
      <c r="L103" s="148"/>
      <c r="M103" s="148">
        <f t="shared" si="8"/>
        <v>0</v>
      </c>
      <c r="N103" s="149"/>
    </row>
    <row r="104" spans="2:14" s="143" customFormat="1" ht="18.600000000000001" hidden="1" customHeight="1">
      <c r="B104" s="160" t="s">
        <v>110</v>
      </c>
      <c r="C104" s="150">
        <f t="shared" si="10"/>
        <v>0</v>
      </c>
      <c r="D104" s="144" t="s">
        <v>468</v>
      </c>
      <c r="E104" s="158" t="s">
        <v>212</v>
      </c>
      <c r="F104" s="158">
        <v>8</v>
      </c>
      <c r="G104" s="248">
        <v>9</v>
      </c>
      <c r="H104" s="158">
        <f t="shared" si="9"/>
        <v>0</v>
      </c>
      <c r="I104" s="151"/>
      <c r="J104" s="152"/>
      <c r="K104" s="242"/>
      <c r="L104" s="148"/>
      <c r="M104" s="148">
        <f t="shared" si="8"/>
        <v>0</v>
      </c>
      <c r="N104" s="149"/>
    </row>
    <row r="105" spans="2:14" s="143" customFormat="1" ht="18.600000000000001" hidden="1" customHeight="1">
      <c r="B105" s="160" t="s">
        <v>111</v>
      </c>
      <c r="C105" s="150">
        <f t="shared" si="10"/>
        <v>0</v>
      </c>
      <c r="D105" s="144" t="s">
        <v>469</v>
      </c>
      <c r="E105" s="158" t="s">
        <v>212</v>
      </c>
      <c r="F105" s="158">
        <v>6</v>
      </c>
      <c r="G105" s="248">
        <v>7</v>
      </c>
      <c r="H105" s="158">
        <f t="shared" si="9"/>
        <v>0</v>
      </c>
      <c r="I105" s="151"/>
      <c r="J105" s="152"/>
      <c r="K105" s="242"/>
      <c r="L105" s="148"/>
      <c r="M105" s="148">
        <f t="shared" si="8"/>
        <v>0</v>
      </c>
      <c r="N105" s="149"/>
    </row>
    <row r="106" spans="2:14" s="143" customFormat="1" ht="18.600000000000001" hidden="1" customHeight="1">
      <c r="B106" s="160" t="s">
        <v>112</v>
      </c>
      <c r="C106" s="150">
        <f t="shared" si="10"/>
        <v>0</v>
      </c>
      <c r="D106" s="144" t="s">
        <v>112</v>
      </c>
      <c r="E106" s="158" t="s">
        <v>212</v>
      </c>
      <c r="F106" s="158">
        <v>9</v>
      </c>
      <c r="G106" s="248">
        <v>9</v>
      </c>
      <c r="H106" s="158">
        <f t="shared" si="9"/>
        <v>0</v>
      </c>
      <c r="I106" s="151"/>
      <c r="J106" s="152"/>
      <c r="K106" s="242"/>
      <c r="L106" s="148"/>
      <c r="M106" s="148">
        <f t="shared" si="8"/>
        <v>0</v>
      </c>
      <c r="N106" s="149"/>
    </row>
    <row r="107" spans="2:14" s="143" customFormat="1" ht="18.600000000000001" hidden="1" customHeight="1">
      <c r="B107" s="160" t="s">
        <v>113</v>
      </c>
      <c r="C107" s="150">
        <f t="shared" si="10"/>
        <v>0</v>
      </c>
      <c r="D107" s="144" t="s">
        <v>113</v>
      </c>
      <c r="E107" s="158" t="s">
        <v>212</v>
      </c>
      <c r="F107" s="158">
        <v>3</v>
      </c>
      <c r="G107" s="248">
        <v>3</v>
      </c>
      <c r="H107" s="158">
        <f t="shared" si="9"/>
        <v>0</v>
      </c>
      <c r="I107" s="151"/>
      <c r="J107" s="152"/>
      <c r="K107" s="242"/>
      <c r="L107" s="148"/>
      <c r="M107" s="148">
        <f t="shared" si="8"/>
        <v>0</v>
      </c>
      <c r="N107" s="149"/>
    </row>
    <row r="108" spans="2:14" s="143" customFormat="1" ht="18.600000000000001" hidden="1" customHeight="1">
      <c r="B108" s="160" t="s">
        <v>114</v>
      </c>
      <c r="C108" s="150">
        <f t="shared" si="10"/>
        <v>0</v>
      </c>
      <c r="D108" s="144" t="s">
        <v>470</v>
      </c>
      <c r="E108" s="158" t="s">
        <v>197</v>
      </c>
      <c r="F108" s="158">
        <v>20</v>
      </c>
      <c r="G108" s="248">
        <v>20</v>
      </c>
      <c r="H108" s="158">
        <f t="shared" si="9"/>
        <v>0</v>
      </c>
      <c r="I108" s="151"/>
      <c r="J108" s="152"/>
      <c r="K108" s="242"/>
      <c r="L108" s="148"/>
      <c r="M108" s="148">
        <f t="shared" si="8"/>
        <v>0</v>
      </c>
      <c r="N108" s="149"/>
    </row>
    <row r="109" spans="2:14" s="143" customFormat="1" ht="18.600000000000001" customHeight="1">
      <c r="B109" s="160" t="s">
        <v>115</v>
      </c>
      <c r="C109" s="208"/>
      <c r="D109" s="249"/>
      <c r="E109" s="210"/>
      <c r="F109" s="210"/>
      <c r="G109" s="247"/>
      <c r="H109" s="210">
        <f t="shared" si="9"/>
        <v>0</v>
      </c>
      <c r="I109" s="151"/>
      <c r="J109" s="152"/>
      <c r="K109" s="234"/>
      <c r="L109" s="148"/>
      <c r="M109" s="148">
        <f t="shared" si="8"/>
        <v>0</v>
      </c>
      <c r="N109" s="149"/>
    </row>
    <row r="110" spans="2:14" s="143" customFormat="1" ht="18.600000000000001" hidden="1" customHeight="1">
      <c r="B110" s="160" t="s">
        <v>116</v>
      </c>
      <c r="C110" s="150">
        <f t="shared" si="10"/>
        <v>0</v>
      </c>
      <c r="D110" s="144" t="s">
        <v>472</v>
      </c>
      <c r="E110" s="158" t="s">
        <v>212</v>
      </c>
      <c r="F110" s="158">
        <v>8</v>
      </c>
      <c r="G110" s="248">
        <v>8</v>
      </c>
      <c r="H110" s="158">
        <f t="shared" si="9"/>
        <v>0</v>
      </c>
      <c r="I110" s="151"/>
      <c r="J110" s="152"/>
      <c r="K110" s="242"/>
      <c r="L110" s="148"/>
      <c r="M110" s="148">
        <f t="shared" si="8"/>
        <v>0</v>
      </c>
      <c r="N110" s="149"/>
    </row>
    <row r="111" spans="2:14" s="143" customFormat="1" ht="18.600000000000001" hidden="1" customHeight="1">
      <c r="B111" s="160" t="s">
        <v>117</v>
      </c>
      <c r="C111" s="150">
        <f t="shared" si="10"/>
        <v>0</v>
      </c>
      <c r="D111" s="144" t="s">
        <v>473</v>
      </c>
      <c r="E111" s="158" t="s">
        <v>474</v>
      </c>
      <c r="F111" s="158">
        <v>2</v>
      </c>
      <c r="G111" s="248">
        <v>2</v>
      </c>
      <c r="H111" s="158">
        <f t="shared" si="9"/>
        <v>0</v>
      </c>
      <c r="I111" s="151"/>
      <c r="J111" s="152"/>
      <c r="K111" s="242"/>
      <c r="L111" s="148"/>
      <c r="M111" s="148">
        <f t="shared" si="8"/>
        <v>0</v>
      </c>
      <c r="N111" s="149"/>
    </row>
    <row r="112" spans="2:14" s="143" customFormat="1" ht="18.600000000000001" hidden="1" customHeight="1">
      <c r="B112" s="160" t="s">
        <v>118</v>
      </c>
      <c r="C112" s="150">
        <f t="shared" si="10"/>
        <v>0</v>
      </c>
      <c r="D112" s="144" t="s">
        <v>475</v>
      </c>
      <c r="E112" s="158" t="s">
        <v>474</v>
      </c>
      <c r="F112" s="158">
        <v>9</v>
      </c>
      <c r="G112" s="248">
        <v>9</v>
      </c>
      <c r="H112" s="158">
        <f t="shared" si="9"/>
        <v>0</v>
      </c>
      <c r="I112" s="151"/>
      <c r="J112" s="152"/>
      <c r="K112" s="242"/>
      <c r="L112" s="148"/>
      <c r="M112" s="148">
        <f t="shared" si="8"/>
        <v>0</v>
      </c>
      <c r="N112" s="149"/>
    </row>
    <row r="113" spans="2:14" s="143" customFormat="1" ht="18.600000000000001" hidden="1" customHeight="1">
      <c r="B113" s="160" t="s">
        <v>119</v>
      </c>
      <c r="C113" s="150">
        <f t="shared" si="10"/>
        <v>0</v>
      </c>
      <c r="D113" s="144" t="s">
        <v>476</v>
      </c>
      <c r="E113" s="158" t="s">
        <v>190</v>
      </c>
      <c r="F113" s="158">
        <v>13</v>
      </c>
      <c r="G113" s="248">
        <v>13</v>
      </c>
      <c r="H113" s="158">
        <f t="shared" si="9"/>
        <v>0</v>
      </c>
      <c r="I113" s="151"/>
      <c r="J113" s="152"/>
      <c r="K113" s="242"/>
      <c r="L113" s="148"/>
      <c r="M113" s="148">
        <f t="shared" si="8"/>
        <v>0</v>
      </c>
      <c r="N113" s="149"/>
    </row>
    <row r="114" spans="2:14" s="143" customFormat="1" ht="18.600000000000001" hidden="1" customHeight="1">
      <c r="B114" s="160" t="s">
        <v>120</v>
      </c>
      <c r="C114" s="150">
        <f t="shared" si="10"/>
        <v>0</v>
      </c>
      <c r="D114" s="144" t="s">
        <v>477</v>
      </c>
      <c r="E114" s="158" t="s">
        <v>190</v>
      </c>
      <c r="F114" s="158">
        <v>10</v>
      </c>
      <c r="G114" s="248">
        <v>10</v>
      </c>
      <c r="H114" s="158">
        <f t="shared" si="9"/>
        <v>0</v>
      </c>
      <c r="I114" s="151"/>
      <c r="J114" s="152"/>
      <c r="K114" s="242"/>
      <c r="L114" s="148"/>
      <c r="M114" s="148">
        <f t="shared" si="8"/>
        <v>0</v>
      </c>
      <c r="N114" s="149"/>
    </row>
    <row r="115" spans="2:14" s="143" customFormat="1" ht="19.5" customHeight="1">
      <c r="B115" s="160" t="s">
        <v>121</v>
      </c>
      <c r="C115" s="208"/>
      <c r="D115" s="249"/>
      <c r="E115" s="210"/>
      <c r="F115" s="210"/>
      <c r="G115" s="247"/>
      <c r="H115" s="210">
        <f t="shared" si="9"/>
        <v>0</v>
      </c>
      <c r="I115" s="151"/>
      <c r="J115" s="152"/>
      <c r="K115" s="234"/>
      <c r="L115" s="148"/>
      <c r="M115" s="148">
        <f t="shared" si="8"/>
        <v>0</v>
      </c>
      <c r="N115" s="149"/>
    </row>
    <row r="116" spans="2:14" s="143" customFormat="1" ht="18.600000000000001" customHeight="1">
      <c r="B116" s="160">
        <v>0</v>
      </c>
      <c r="C116" s="232"/>
      <c r="D116" s="246"/>
      <c r="E116" s="234"/>
      <c r="F116" s="234"/>
      <c r="G116" s="247"/>
      <c r="H116" s="210">
        <f t="shared" si="9"/>
        <v>0</v>
      </c>
      <c r="I116" s="151"/>
      <c r="J116" s="152"/>
      <c r="K116" s="234"/>
      <c r="L116" s="148"/>
      <c r="M116" s="148">
        <v>1</v>
      </c>
      <c r="N116" s="149"/>
    </row>
    <row r="117" spans="2:14" s="143" customFormat="1" ht="18.600000000000001" customHeight="1">
      <c r="B117" s="160" t="s">
        <v>122</v>
      </c>
      <c r="C117" s="208">
        <f>IF(H117&gt;0,1,0)</f>
        <v>0</v>
      </c>
      <c r="D117" s="249"/>
      <c r="E117" s="210"/>
      <c r="F117" s="210"/>
      <c r="G117" s="247"/>
      <c r="H117" s="210">
        <f t="shared" si="9"/>
        <v>0</v>
      </c>
      <c r="I117" s="151"/>
      <c r="J117" s="152"/>
      <c r="K117" s="234"/>
      <c r="L117" s="148"/>
      <c r="M117" s="148">
        <f t="shared" si="8"/>
        <v>0</v>
      </c>
      <c r="N117" s="149"/>
    </row>
    <row r="118" spans="2:14" s="143" customFormat="1" ht="18.600000000000001" hidden="1" customHeight="1">
      <c r="B118" s="160" t="s">
        <v>123</v>
      </c>
      <c r="C118" s="150">
        <f>IF(H118&gt;0,1,0)</f>
        <v>0</v>
      </c>
      <c r="D118" s="144" t="s">
        <v>457</v>
      </c>
      <c r="E118" s="158" t="s">
        <v>212</v>
      </c>
      <c r="F118" s="158">
        <v>5</v>
      </c>
      <c r="G118" s="248">
        <v>6</v>
      </c>
      <c r="H118" s="158">
        <f t="shared" si="9"/>
        <v>0</v>
      </c>
      <c r="I118" s="151"/>
      <c r="J118" s="152"/>
      <c r="K118" s="242"/>
      <c r="L118" s="148"/>
      <c r="M118" s="148">
        <f t="shared" si="8"/>
        <v>0</v>
      </c>
      <c r="N118" s="149"/>
    </row>
    <row r="119" spans="2:14" s="143" customFormat="1" ht="18.600000000000001" hidden="1" customHeight="1">
      <c r="B119" s="160" t="s">
        <v>124</v>
      </c>
      <c r="C119" s="150">
        <f t="shared" ref="C119:C130" si="11">IF(H119&gt;0,(C118+1),C118)</f>
        <v>0</v>
      </c>
      <c r="D119" s="144" t="s">
        <v>480</v>
      </c>
      <c r="E119" s="158" t="s">
        <v>212</v>
      </c>
      <c r="F119" s="158">
        <v>9</v>
      </c>
      <c r="G119" s="248">
        <v>9</v>
      </c>
      <c r="H119" s="158">
        <f t="shared" si="9"/>
        <v>0</v>
      </c>
      <c r="I119" s="151"/>
      <c r="J119" s="152"/>
      <c r="K119" s="242"/>
      <c r="L119" s="148"/>
      <c r="M119" s="148">
        <f t="shared" si="8"/>
        <v>0</v>
      </c>
      <c r="N119" s="149"/>
    </row>
    <row r="120" spans="2:14" s="143" customFormat="1" ht="20.25" customHeight="1">
      <c r="B120" s="160" t="s">
        <v>125</v>
      </c>
      <c r="C120" s="208">
        <f t="shared" si="11"/>
        <v>0</v>
      </c>
      <c r="D120" s="249"/>
      <c r="E120" s="210"/>
      <c r="F120" s="210"/>
      <c r="G120" s="247"/>
      <c r="H120" s="210">
        <f t="shared" si="9"/>
        <v>0</v>
      </c>
      <c r="I120" s="151"/>
      <c r="J120" s="152"/>
      <c r="K120" s="234"/>
      <c r="L120" s="148"/>
      <c r="M120" s="148">
        <f t="shared" si="8"/>
        <v>0</v>
      </c>
      <c r="N120" s="149"/>
    </row>
    <row r="121" spans="2:14" s="143" customFormat="1" ht="21" customHeight="1">
      <c r="B121" s="160" t="s">
        <v>126</v>
      </c>
      <c r="C121" s="208">
        <f t="shared" si="11"/>
        <v>0</v>
      </c>
      <c r="D121" s="249"/>
      <c r="E121" s="210"/>
      <c r="F121" s="210"/>
      <c r="G121" s="247"/>
      <c r="H121" s="210">
        <f t="shared" si="9"/>
        <v>0</v>
      </c>
      <c r="I121" s="151"/>
      <c r="J121" s="152"/>
      <c r="K121" s="234"/>
      <c r="L121" s="148"/>
      <c r="M121" s="148">
        <f t="shared" si="8"/>
        <v>0</v>
      </c>
      <c r="N121" s="149"/>
    </row>
    <row r="122" spans="2:14" s="143" customFormat="1" ht="21" customHeight="1">
      <c r="B122" s="160" t="s">
        <v>107</v>
      </c>
      <c r="C122" s="208">
        <f t="shared" si="11"/>
        <v>0</v>
      </c>
      <c r="D122" s="249"/>
      <c r="E122" s="210"/>
      <c r="F122" s="210"/>
      <c r="G122" s="247"/>
      <c r="H122" s="210">
        <f t="shared" si="9"/>
        <v>0</v>
      </c>
      <c r="I122" s="151"/>
      <c r="J122" s="152"/>
      <c r="K122" s="234"/>
      <c r="L122" s="148"/>
      <c r="M122" s="148">
        <f t="shared" si="8"/>
        <v>0</v>
      </c>
      <c r="N122" s="149"/>
    </row>
    <row r="123" spans="2:14" s="143" customFormat="1" ht="24.75" customHeight="1">
      <c r="B123" s="160" t="s">
        <v>127</v>
      </c>
      <c r="C123" s="208">
        <f t="shared" si="11"/>
        <v>0</v>
      </c>
      <c r="D123" s="249"/>
      <c r="E123" s="210"/>
      <c r="F123" s="210"/>
      <c r="G123" s="247"/>
      <c r="H123" s="210">
        <f t="shared" si="9"/>
        <v>0</v>
      </c>
      <c r="I123" s="151"/>
      <c r="J123" s="152"/>
      <c r="K123" s="234"/>
      <c r="L123" s="148"/>
      <c r="M123" s="148">
        <f t="shared" si="8"/>
        <v>0</v>
      </c>
      <c r="N123" s="149"/>
    </row>
    <row r="124" spans="2:14" s="143" customFormat="1" ht="18.600000000000001" hidden="1" customHeight="1">
      <c r="B124" s="160" t="s">
        <v>128</v>
      </c>
      <c r="C124" s="150">
        <f t="shared" si="11"/>
        <v>0</v>
      </c>
      <c r="D124" s="144" t="s">
        <v>483</v>
      </c>
      <c r="E124" s="158" t="s">
        <v>212</v>
      </c>
      <c r="F124" s="158">
        <v>2</v>
      </c>
      <c r="G124" s="248">
        <v>2</v>
      </c>
      <c r="H124" s="158">
        <f t="shared" si="9"/>
        <v>0</v>
      </c>
      <c r="I124" s="151"/>
      <c r="J124" s="152"/>
      <c r="K124" s="242"/>
      <c r="L124" s="148"/>
      <c r="M124" s="148">
        <f t="shared" si="8"/>
        <v>0</v>
      </c>
      <c r="N124" s="149"/>
    </row>
    <row r="125" spans="2:14" s="143" customFormat="1" ht="18.600000000000001" hidden="1" customHeight="1">
      <c r="B125" s="160" t="s">
        <v>116</v>
      </c>
      <c r="C125" s="150">
        <f t="shared" si="11"/>
        <v>0</v>
      </c>
      <c r="D125" s="144" t="s">
        <v>472</v>
      </c>
      <c r="E125" s="158" t="s">
        <v>212</v>
      </c>
      <c r="F125" s="158">
        <v>8</v>
      </c>
      <c r="G125" s="248">
        <v>8</v>
      </c>
      <c r="H125" s="158">
        <f t="shared" si="9"/>
        <v>0</v>
      </c>
      <c r="I125" s="151"/>
      <c r="J125" s="152"/>
      <c r="K125" s="242"/>
      <c r="L125" s="148"/>
      <c r="M125" s="148">
        <f t="shared" si="8"/>
        <v>0</v>
      </c>
      <c r="N125" s="149"/>
    </row>
    <row r="126" spans="2:14" s="143" customFormat="1" ht="18.600000000000001" hidden="1" customHeight="1">
      <c r="B126" s="160" t="s">
        <v>129</v>
      </c>
      <c r="C126" s="150">
        <f t="shared" si="11"/>
        <v>0</v>
      </c>
      <c r="D126" s="144" t="s">
        <v>484</v>
      </c>
      <c r="E126" s="158" t="s">
        <v>474</v>
      </c>
      <c r="F126" s="158">
        <v>2</v>
      </c>
      <c r="G126" s="248">
        <v>2</v>
      </c>
      <c r="H126" s="158">
        <f t="shared" si="9"/>
        <v>0</v>
      </c>
      <c r="I126" s="151"/>
      <c r="J126" s="152"/>
      <c r="K126" s="242"/>
      <c r="L126" s="148"/>
      <c r="M126" s="148">
        <f t="shared" si="8"/>
        <v>0</v>
      </c>
      <c r="N126" s="149"/>
    </row>
    <row r="127" spans="2:14" s="143" customFormat="1" ht="18.600000000000001" hidden="1" customHeight="1">
      <c r="B127" s="160" t="s">
        <v>130</v>
      </c>
      <c r="C127" s="150">
        <f t="shared" si="11"/>
        <v>0</v>
      </c>
      <c r="D127" s="144" t="s">
        <v>485</v>
      </c>
      <c r="E127" s="158" t="s">
        <v>474</v>
      </c>
      <c r="F127" s="158">
        <v>9</v>
      </c>
      <c r="G127" s="248">
        <v>9</v>
      </c>
      <c r="H127" s="158">
        <f t="shared" si="9"/>
        <v>0</v>
      </c>
      <c r="I127" s="151"/>
      <c r="J127" s="152"/>
      <c r="K127" s="242"/>
      <c r="L127" s="148"/>
      <c r="M127" s="148">
        <f t="shared" si="8"/>
        <v>0</v>
      </c>
      <c r="N127" s="149"/>
    </row>
    <row r="128" spans="2:14" s="143" customFormat="1" ht="18.600000000000001" hidden="1" customHeight="1">
      <c r="B128" s="160" t="s">
        <v>131</v>
      </c>
      <c r="C128" s="150">
        <f t="shared" si="11"/>
        <v>0</v>
      </c>
      <c r="D128" s="144" t="s">
        <v>486</v>
      </c>
      <c r="E128" s="158" t="s">
        <v>190</v>
      </c>
      <c r="F128" s="158">
        <v>13</v>
      </c>
      <c r="G128" s="248">
        <v>13</v>
      </c>
      <c r="H128" s="158">
        <f t="shared" si="9"/>
        <v>0</v>
      </c>
      <c r="I128" s="151"/>
      <c r="J128" s="152"/>
      <c r="K128" s="242"/>
      <c r="L128" s="148"/>
      <c r="M128" s="148">
        <f t="shared" si="8"/>
        <v>0</v>
      </c>
      <c r="N128" s="149"/>
    </row>
    <row r="129" spans="2:14" s="143" customFormat="1" ht="18.600000000000001" hidden="1" customHeight="1">
      <c r="B129" s="160" t="s">
        <v>132</v>
      </c>
      <c r="C129" s="150">
        <f t="shared" si="11"/>
        <v>0</v>
      </c>
      <c r="D129" s="144" t="s">
        <v>487</v>
      </c>
      <c r="E129" s="158" t="s">
        <v>190</v>
      </c>
      <c r="F129" s="158">
        <v>10</v>
      </c>
      <c r="G129" s="248">
        <v>10</v>
      </c>
      <c r="H129" s="158">
        <f t="shared" si="9"/>
        <v>0</v>
      </c>
      <c r="I129" s="151"/>
      <c r="J129" s="152"/>
      <c r="K129" s="242"/>
      <c r="L129" s="148"/>
      <c r="M129" s="148">
        <f t="shared" si="8"/>
        <v>0</v>
      </c>
      <c r="N129" s="149"/>
    </row>
    <row r="130" spans="2:14" s="143" customFormat="1" ht="21" customHeight="1">
      <c r="B130" s="160" t="s">
        <v>133</v>
      </c>
      <c r="C130" s="208">
        <f t="shared" si="11"/>
        <v>0</v>
      </c>
      <c r="D130" s="249"/>
      <c r="E130" s="210"/>
      <c r="F130" s="210"/>
      <c r="G130" s="250"/>
      <c r="H130" s="210">
        <f t="shared" si="9"/>
        <v>0</v>
      </c>
      <c r="I130" s="151"/>
      <c r="J130" s="152"/>
      <c r="K130" s="210"/>
      <c r="L130" s="148"/>
      <c r="M130" s="148">
        <f t="shared" si="8"/>
        <v>0</v>
      </c>
      <c r="N130" s="149"/>
    </row>
    <row r="131" spans="2:14">
      <c r="C131" s="251"/>
      <c r="D131" s="251"/>
      <c r="E131" s="252"/>
      <c r="F131" s="251"/>
      <c r="G131" s="253"/>
      <c r="H131" s="254"/>
      <c r="K131" s="255"/>
    </row>
    <row r="132" spans="2:14" ht="16.8">
      <c r="C132" s="256" t="s">
        <v>47</v>
      </c>
      <c r="D132" s="256"/>
      <c r="E132" s="257"/>
      <c r="F132" s="258"/>
      <c r="G132" s="259" t="s">
        <v>49</v>
      </c>
      <c r="H132" s="257"/>
      <c r="I132" s="171"/>
      <c r="J132" s="171"/>
      <c r="K132" s="257"/>
    </row>
    <row r="133" spans="2:14" ht="16.8">
      <c r="C133" s="256" t="s">
        <v>50</v>
      </c>
      <c r="D133" s="256"/>
      <c r="E133" s="257"/>
      <c r="F133" s="258"/>
      <c r="G133" s="259" t="s">
        <v>51</v>
      </c>
      <c r="H133" s="257"/>
      <c r="I133" s="171"/>
      <c r="J133" s="171"/>
      <c r="K133" s="257"/>
    </row>
    <row r="134" spans="2:14" ht="16.8">
      <c r="C134" s="256" t="s">
        <v>52</v>
      </c>
      <c r="D134" s="256"/>
      <c r="E134" s="260"/>
      <c r="F134" s="261" t="s">
        <v>134</v>
      </c>
      <c r="G134" s="262"/>
      <c r="H134" s="261" t="s">
        <v>52</v>
      </c>
      <c r="I134" s="174"/>
      <c r="J134" s="174"/>
      <c r="K134" s="260"/>
    </row>
    <row r="135" spans="2:14" ht="16.8">
      <c r="C135" s="259"/>
      <c r="D135" s="259"/>
      <c r="E135" s="261"/>
      <c r="F135" s="259"/>
      <c r="G135" s="262"/>
      <c r="H135" s="262"/>
      <c r="I135" s="172"/>
      <c r="J135" s="172"/>
      <c r="K135" s="258"/>
    </row>
    <row r="136" spans="2:14" ht="16.8">
      <c r="C136" s="259"/>
      <c r="D136" s="259"/>
      <c r="E136" s="261"/>
      <c r="F136" s="259"/>
      <c r="G136" s="262"/>
      <c r="H136" s="262"/>
      <c r="I136" s="172"/>
      <c r="J136" s="172"/>
      <c r="K136" s="258"/>
    </row>
    <row r="137" spans="2:14" ht="16.8">
      <c r="C137" s="259"/>
      <c r="D137" s="259"/>
      <c r="E137" s="261"/>
      <c r="F137" s="259"/>
      <c r="G137" s="262"/>
      <c r="H137" s="262"/>
      <c r="I137" s="172"/>
      <c r="J137" s="172"/>
      <c r="K137" s="258"/>
    </row>
    <row r="138" spans="2:14" ht="16.8">
      <c r="C138" s="259"/>
      <c r="D138" s="259"/>
      <c r="E138" s="261"/>
      <c r="F138" s="259"/>
      <c r="G138" s="262"/>
      <c r="H138" s="262"/>
      <c r="I138" s="172"/>
      <c r="J138" s="172"/>
      <c r="K138" s="258"/>
    </row>
    <row r="139" spans="2:14" ht="16.8">
      <c r="C139" s="256" t="s">
        <v>53</v>
      </c>
      <c r="D139" s="256"/>
      <c r="E139" s="260"/>
      <c r="F139" s="261" t="s">
        <v>46</v>
      </c>
      <c r="G139" s="262"/>
      <c r="H139" s="261" t="s">
        <v>54</v>
      </c>
      <c r="I139" s="174"/>
      <c r="J139" s="174"/>
      <c r="K139" s="260"/>
    </row>
    <row r="140" spans="2:14" ht="16.8">
      <c r="C140" s="263"/>
      <c r="D140" s="264"/>
      <c r="E140" s="265"/>
      <c r="F140" s="264"/>
      <c r="G140" s="264"/>
      <c r="H140" s="264"/>
      <c r="I140" s="178"/>
      <c r="J140" s="178"/>
      <c r="K140" s="265"/>
    </row>
    <row r="141" spans="2:14" ht="16.8">
      <c r="C141" s="256" t="s">
        <v>48</v>
      </c>
      <c r="D141" s="256"/>
      <c r="E141" s="256"/>
      <c r="F141" s="256"/>
      <c r="G141" s="266" t="s">
        <v>135</v>
      </c>
      <c r="H141" s="266"/>
      <c r="I141" s="180"/>
      <c r="J141" s="180"/>
      <c r="K141" s="266"/>
    </row>
    <row r="142" spans="2:14" ht="36.75" customHeight="1">
      <c r="C142" s="267" t="s">
        <v>136</v>
      </c>
      <c r="D142" s="268"/>
      <c r="E142" s="268"/>
      <c r="F142" s="268"/>
      <c r="G142" s="268" t="str">
        <f>'KLTang (2)'!G20:J20</f>
        <v>CÔNG TY TNHH CP 
KT-TM VÀ TƯ VẤN THIÊN PHÚ</v>
      </c>
      <c r="H142" s="268"/>
      <c r="I142" s="182"/>
      <c r="J142" s="182"/>
      <c r="K142" s="268"/>
    </row>
    <row r="143" spans="2:14" ht="16.8">
      <c r="C143" s="269" t="s">
        <v>138</v>
      </c>
      <c r="D143" s="269"/>
      <c r="E143" s="269"/>
      <c r="F143" s="269"/>
      <c r="G143" s="270" t="s">
        <v>52</v>
      </c>
      <c r="H143" s="270"/>
      <c r="I143" s="184"/>
      <c r="J143" s="184"/>
      <c r="K143" s="270"/>
    </row>
    <row r="144" spans="2:14" ht="16.8">
      <c r="C144" s="271"/>
      <c r="D144" s="272"/>
      <c r="E144" s="258"/>
      <c r="F144" s="258"/>
      <c r="G144" s="258"/>
      <c r="H144" s="261"/>
      <c r="I144" s="175"/>
      <c r="J144" s="175"/>
      <c r="K144" s="264"/>
    </row>
    <row r="145" spans="3:11" ht="16.8">
      <c r="C145" s="271"/>
      <c r="D145" s="272"/>
      <c r="E145" s="258"/>
      <c r="F145" s="258"/>
      <c r="G145" s="258"/>
      <c r="H145" s="261"/>
      <c r="I145" s="175"/>
      <c r="J145" s="175"/>
      <c r="K145" s="264"/>
    </row>
    <row r="146" spans="3:11" ht="16.8">
      <c r="C146" s="271"/>
      <c r="D146" s="272"/>
      <c r="E146" s="258"/>
      <c r="F146" s="258"/>
      <c r="G146" s="258"/>
      <c r="H146" s="265"/>
      <c r="I146" s="178"/>
      <c r="J146" s="173"/>
      <c r="K146" s="264"/>
    </row>
    <row r="147" spans="3:11" ht="16.8">
      <c r="C147" s="271"/>
      <c r="D147" s="272"/>
      <c r="E147" s="258"/>
      <c r="F147" s="258"/>
      <c r="G147" s="258"/>
      <c r="H147" s="265"/>
      <c r="I147" s="178"/>
      <c r="J147" s="173"/>
      <c r="K147" s="264"/>
    </row>
    <row r="148" spans="3:11" ht="16.8">
      <c r="C148" s="269" t="s">
        <v>139</v>
      </c>
      <c r="D148" s="269"/>
      <c r="E148" s="269"/>
      <c r="F148" s="269"/>
      <c r="G148" s="270" t="str">
        <f>KLTang!G72</f>
        <v>Dương Bình Chánh</v>
      </c>
      <c r="H148" s="270"/>
      <c r="I148" s="184"/>
      <c r="J148" s="184"/>
      <c r="K148" s="270"/>
    </row>
  </sheetData>
  <autoFilter ref="A5:N130" xr:uid="{00000000-0009-0000-0000-000012000000}">
    <filterColumn colId="12">
      <filters>
        <filter val="1"/>
      </filters>
    </filterColumn>
  </autoFilter>
  <mergeCells count="22">
    <mergeCell ref="C142:F142"/>
    <mergeCell ref="G142:K142"/>
    <mergeCell ref="C143:F143"/>
    <mergeCell ref="G143:K143"/>
    <mergeCell ref="C148:F148"/>
    <mergeCell ref="G148:K148"/>
    <mergeCell ref="C132:D132"/>
    <mergeCell ref="C133:D133"/>
    <mergeCell ref="C134:D134"/>
    <mergeCell ref="C139:D139"/>
    <mergeCell ref="C141:F141"/>
    <mergeCell ref="G141:K141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78" bottom="0.56999999999999995" header="0.26" footer="0.17"/>
  <pageSetup paperSize="9" orientation="landscape" blackAndWhite="1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E747-9A5D-4891-A865-12A6AD5C64F7}">
  <sheetPr filterMode="1">
    <tabColor rgb="FF0000FF"/>
  </sheetPr>
  <dimension ref="A1:N148"/>
  <sheetViews>
    <sheetView topLeftCell="C1" workbookViewId="0">
      <pane xSplit="2" ySplit="5" topLeftCell="E43" activePane="bottomRight" state="frozen"/>
      <selection activeCell="D23" sqref="D23"/>
      <selection pane="topRight" activeCell="D23" sqref="D23"/>
      <selection pane="bottomLeft" activeCell="D23" sqref="D23"/>
      <selection pane="bottomRight" activeCell="D47" sqref="D47"/>
    </sheetView>
  </sheetViews>
  <sheetFormatPr defaultColWidth="9.109375" defaultRowHeight="15.6" outlineLevelCol="1"/>
  <cols>
    <col min="1" max="1" width="9.109375" style="165"/>
    <col min="2" max="2" width="22.77734375" style="165" customWidth="1"/>
    <col min="3" max="3" width="7.33203125" style="165" customWidth="1"/>
    <col min="4" max="4" width="52.6640625" style="165" customWidth="1"/>
    <col min="5" max="5" width="13.88671875" style="166" customWidth="1"/>
    <col min="6" max="6" width="13.88671875" style="165" customWidth="1"/>
    <col min="7" max="7" width="13.88671875" style="167" customWidth="1"/>
    <col min="8" max="8" width="13.88671875" style="168" customWidth="1"/>
    <col min="9" max="9" width="14.6640625" style="162" customWidth="1" outlineLevel="1"/>
    <col min="10" max="10" width="14.6640625" style="163" customWidth="1" outlineLevel="1"/>
    <col min="11" max="11" width="19.33203125" style="162" customWidth="1"/>
    <col min="12" max="12" width="19.6640625" style="162" customWidth="1"/>
    <col min="13" max="13" width="20.33203125" style="169" customWidth="1"/>
    <col min="14" max="14" width="20.88671875" style="142" customWidth="1"/>
    <col min="15" max="16384" width="9.109375" style="165"/>
  </cols>
  <sheetData>
    <row r="1" spans="1:14" s="116" customFormat="1" ht="21" customHeight="1">
      <c r="C1" s="117" t="s">
        <v>145</v>
      </c>
      <c r="D1" s="117"/>
      <c r="E1" s="117"/>
      <c r="F1" s="117"/>
      <c r="G1" s="117"/>
      <c r="H1" s="117"/>
      <c r="I1" s="117"/>
      <c r="J1" s="117"/>
      <c r="K1" s="117"/>
      <c r="L1" s="118"/>
      <c r="M1" s="119"/>
    </row>
    <row r="2" spans="1:14" s="116" customFormat="1" ht="21" customHeight="1">
      <c r="C2" s="120" t="str">
        <f>KLTang!C2</f>
        <v>Công trình: Sửa chữa đường dây trung thế huyện Cẩm Mỹ năm 2020.</v>
      </c>
      <c r="D2" s="120"/>
      <c r="E2" s="120"/>
      <c r="F2" s="120"/>
      <c r="G2" s="120"/>
      <c r="H2" s="120"/>
      <c r="I2" s="120"/>
      <c r="J2" s="120"/>
      <c r="K2" s="120"/>
      <c r="L2" s="121"/>
      <c r="M2" s="122"/>
      <c r="N2" s="123"/>
    </row>
    <row r="3" spans="1:14" s="116" customFormat="1" ht="21" customHeight="1">
      <c r="C3" s="124" t="str">
        <f>KLTang!C3</f>
        <v>Địa điểm: Huyện Cẩm Mỹ - Tỉnh Đồng Nai</v>
      </c>
      <c r="D3" s="124"/>
      <c r="E3" s="124"/>
      <c r="F3" s="124"/>
      <c r="G3" s="124"/>
      <c r="H3" s="124"/>
      <c r="I3" s="124"/>
      <c r="J3" s="124"/>
      <c r="K3" s="124"/>
      <c r="L3" s="125"/>
      <c r="M3" s="126"/>
      <c r="N3" s="127"/>
    </row>
    <row r="4" spans="1:14" s="128" customFormat="1" ht="18" customHeight="1">
      <c r="C4" s="129" t="s">
        <v>67</v>
      </c>
      <c r="D4" s="130" t="s">
        <v>2</v>
      </c>
      <c r="E4" s="131" t="s">
        <v>82</v>
      </c>
      <c r="F4" s="131" t="s">
        <v>83</v>
      </c>
      <c r="G4" s="131"/>
      <c r="H4" s="131"/>
      <c r="I4" s="130" t="s">
        <v>7</v>
      </c>
      <c r="J4" s="132" t="s">
        <v>84</v>
      </c>
      <c r="K4" s="133" t="s">
        <v>85</v>
      </c>
      <c r="L4" s="134"/>
      <c r="M4" s="134"/>
      <c r="N4" s="135" t="s">
        <v>86</v>
      </c>
    </row>
    <row r="5" spans="1:14" s="128" customFormat="1" ht="31.35" customHeight="1">
      <c r="C5" s="129"/>
      <c r="D5" s="130"/>
      <c r="E5" s="131"/>
      <c r="F5" s="136" t="s">
        <v>87</v>
      </c>
      <c r="G5" s="136" t="s">
        <v>88</v>
      </c>
      <c r="H5" s="137" t="s">
        <v>142</v>
      </c>
      <c r="I5" s="130"/>
      <c r="J5" s="132"/>
      <c r="K5" s="133"/>
      <c r="L5" s="134"/>
      <c r="M5" s="134"/>
      <c r="N5" s="135"/>
    </row>
    <row r="6" spans="1:14" s="128" customFormat="1" ht="18.600000000000001" customHeight="1">
      <c r="C6" s="138" t="s">
        <v>90</v>
      </c>
      <c r="D6" s="139" t="s">
        <v>91</v>
      </c>
      <c r="E6" s="136"/>
      <c r="F6" s="136"/>
      <c r="G6" s="136"/>
      <c r="H6" s="137"/>
      <c r="I6" s="139"/>
      <c r="J6" s="140" t="e">
        <f>SUM(J7:J29)</f>
        <v>#NAME?</v>
      </c>
      <c r="K6" s="141"/>
      <c r="L6" s="134"/>
      <c r="M6" s="135">
        <v>1</v>
      </c>
      <c r="N6" s="142"/>
    </row>
    <row r="7" spans="1:14" s="143" customFormat="1" ht="18.600000000000001" customHeight="1">
      <c r="B7" s="143" t="str">
        <f>KLGiam!B7</f>
        <v>M12a</v>
      </c>
      <c r="C7" s="136">
        <v>1</v>
      </c>
      <c r="D7" s="154" t="s">
        <v>494</v>
      </c>
      <c r="E7" s="155" t="s">
        <v>183</v>
      </c>
      <c r="F7" s="155">
        <v>40</v>
      </c>
      <c r="G7" s="155">
        <v>39</v>
      </c>
      <c r="H7" s="273">
        <f>F7-G7</f>
        <v>1</v>
      </c>
      <c r="I7" s="151">
        <v>0</v>
      </c>
      <c r="J7" s="152" t="str">
        <f t="shared" ref="J7:J29" si="0">IF(I7&gt;0,H7*I7,"")</f>
        <v/>
      </c>
      <c r="K7" s="274"/>
      <c r="L7" s="148"/>
      <c r="M7" s="148">
        <f>IF(H7&gt;0,1,0)</f>
        <v>1</v>
      </c>
      <c r="N7" s="149"/>
    </row>
    <row r="8" spans="1:14" s="143" customFormat="1" ht="18.600000000000001" customHeight="1">
      <c r="B8" s="143" t="str">
        <f>KLGiam!B8</f>
        <v>d12</v>
      </c>
      <c r="C8" s="150"/>
      <c r="D8" s="240" t="s">
        <v>495</v>
      </c>
      <c r="E8" s="158" t="s">
        <v>190</v>
      </c>
      <c r="F8" s="158">
        <v>40</v>
      </c>
      <c r="G8" s="158">
        <v>39</v>
      </c>
      <c r="H8" s="226">
        <f t="shared" ref="H8:H71" si="1">F8-G8</f>
        <v>1</v>
      </c>
      <c r="I8" s="151">
        <v>320000</v>
      </c>
      <c r="J8" s="152">
        <f>ROUND(H8*I8,0)</f>
        <v>320000</v>
      </c>
      <c r="K8" s="274"/>
      <c r="L8" s="148"/>
      <c r="M8" s="148">
        <f t="shared" ref="M8:M71" si="2">IF(H8&gt;0,1,0)</f>
        <v>1</v>
      </c>
      <c r="N8" s="149"/>
    </row>
    <row r="9" spans="1:14" s="212" customFormat="1" ht="18.600000000000001" customHeight="1">
      <c r="A9" s="143"/>
      <c r="B9" s="143" t="str">
        <f>KLGiam!B9</f>
        <v>TDTT12HH</v>
      </c>
      <c r="C9" s="189">
        <v>2</v>
      </c>
      <c r="D9" s="154" t="s">
        <v>497</v>
      </c>
      <c r="E9" s="155" t="s">
        <v>185</v>
      </c>
      <c r="F9" s="155">
        <v>14</v>
      </c>
      <c r="G9" s="155">
        <v>11</v>
      </c>
      <c r="H9" s="226">
        <f t="shared" si="1"/>
        <v>3</v>
      </c>
      <c r="I9" s="151" t="e">
        <f t="shared" ref="I7:I32" si="3">VLOOKUP(B9,HopDong,16,0)</f>
        <v>#NAME?</v>
      </c>
      <c r="J9" s="152" t="e">
        <f t="shared" ref="J9:J26" si="4">ROUND(H9*I9,0)</f>
        <v>#NAME?</v>
      </c>
      <c r="K9" s="274"/>
      <c r="L9" s="148"/>
      <c r="M9" s="148">
        <f t="shared" si="2"/>
        <v>1</v>
      </c>
      <c r="N9" s="149"/>
    </row>
    <row r="10" spans="1:14" s="212" customFormat="1" ht="18.600000000000001" customHeight="1">
      <c r="A10" s="143"/>
      <c r="B10" s="143" t="str">
        <f>KLGiam!B10</f>
        <v>m25</v>
      </c>
      <c r="C10" s="189"/>
      <c r="D10" s="240" t="s">
        <v>498</v>
      </c>
      <c r="E10" s="158" t="s">
        <v>30</v>
      </c>
      <c r="F10" s="158">
        <v>6.3</v>
      </c>
      <c r="G10" s="158">
        <v>4.95</v>
      </c>
      <c r="H10" s="275">
        <f t="shared" si="1"/>
        <v>1.3499999999999996</v>
      </c>
      <c r="I10" s="151">
        <v>180144</v>
      </c>
      <c r="J10" s="152">
        <f t="shared" si="4"/>
        <v>243194</v>
      </c>
      <c r="K10" s="274"/>
      <c r="L10" s="148"/>
      <c r="M10" s="148">
        <f t="shared" si="2"/>
        <v>1</v>
      </c>
      <c r="N10" s="149"/>
    </row>
    <row r="11" spans="1:14" s="212" customFormat="1" ht="18.600000000000001" customHeight="1">
      <c r="A11" s="143"/>
      <c r="B11" s="143" t="str">
        <f>KLGiam!B11</f>
        <v>TDDD12</v>
      </c>
      <c r="C11" s="189">
        <v>3</v>
      </c>
      <c r="D11" s="154" t="s">
        <v>500</v>
      </c>
      <c r="E11" s="155" t="s">
        <v>185</v>
      </c>
      <c r="F11" s="155">
        <v>10</v>
      </c>
      <c r="G11" s="155">
        <v>9</v>
      </c>
      <c r="H11" s="226">
        <f t="shared" si="1"/>
        <v>1</v>
      </c>
      <c r="I11" s="151" t="e">
        <f t="shared" si="3"/>
        <v>#NAME?</v>
      </c>
      <c r="J11" s="152" t="e">
        <f t="shared" si="4"/>
        <v>#NAME?</v>
      </c>
      <c r="K11" s="274"/>
      <c r="L11" s="148"/>
      <c r="M11" s="148">
        <f t="shared" si="2"/>
        <v>1</v>
      </c>
      <c r="N11" s="149"/>
    </row>
    <row r="12" spans="1:14" s="212" customFormat="1" ht="18.600000000000001" customHeight="1">
      <c r="A12" s="143"/>
      <c r="B12" s="143" t="str">
        <f>KLGiam!B12</f>
        <v>m25</v>
      </c>
      <c r="C12" s="189"/>
      <c r="D12" s="240" t="s">
        <v>501</v>
      </c>
      <c r="E12" s="158" t="s">
        <v>30</v>
      </c>
      <c r="F12" s="158">
        <v>22.400000000000002</v>
      </c>
      <c r="G12" s="158">
        <v>20.2</v>
      </c>
      <c r="H12" s="147">
        <f t="shared" si="1"/>
        <v>2.2000000000000028</v>
      </c>
      <c r="I12" s="151">
        <f>I10</f>
        <v>180144</v>
      </c>
      <c r="J12" s="152">
        <f t="shared" si="4"/>
        <v>396317</v>
      </c>
      <c r="K12" s="274"/>
      <c r="L12" s="148"/>
      <c r="M12" s="148">
        <f t="shared" si="2"/>
        <v>1</v>
      </c>
      <c r="N12" s="149"/>
    </row>
    <row r="13" spans="1:14" s="212" customFormat="1" ht="18.600000000000001" customHeight="1">
      <c r="A13" s="143"/>
      <c r="B13" s="143" t="str">
        <f>KLGiam!B13</f>
        <v>BTLT 12 F540</v>
      </c>
      <c r="C13" s="189">
        <v>4</v>
      </c>
      <c r="D13" s="154" t="s">
        <v>503</v>
      </c>
      <c r="E13" s="155" t="s">
        <v>195</v>
      </c>
      <c r="F13" s="155">
        <v>96</v>
      </c>
      <c r="G13" s="155">
        <v>95</v>
      </c>
      <c r="H13" s="226">
        <f t="shared" si="1"/>
        <v>1</v>
      </c>
      <c r="I13" s="151" t="e">
        <f t="shared" si="3"/>
        <v>#NAME?</v>
      </c>
      <c r="J13" s="152" t="e">
        <f t="shared" si="4"/>
        <v>#NAME?</v>
      </c>
      <c r="K13" s="274"/>
      <c r="L13" s="148"/>
      <c r="M13" s="148">
        <f t="shared" si="2"/>
        <v>1</v>
      </c>
      <c r="N13" s="149"/>
    </row>
    <row r="14" spans="1:14" s="212" customFormat="1" ht="18.600000000000001" customHeight="1">
      <c r="A14" s="143"/>
      <c r="B14" s="143" t="str">
        <f>KLGiam!B14</f>
        <v>T12540</v>
      </c>
      <c r="C14" s="189"/>
      <c r="D14" s="240" t="s">
        <v>504</v>
      </c>
      <c r="E14" s="158" t="s">
        <v>197</v>
      </c>
      <c r="F14" s="158">
        <v>96</v>
      </c>
      <c r="G14" s="158">
        <v>95</v>
      </c>
      <c r="H14" s="226">
        <f t="shared" si="1"/>
        <v>1</v>
      </c>
      <c r="I14" s="151">
        <v>590000</v>
      </c>
      <c r="J14" s="152">
        <f t="shared" si="4"/>
        <v>590000</v>
      </c>
      <c r="K14" s="274"/>
      <c r="L14" s="148"/>
      <c r="M14" s="148">
        <f t="shared" si="2"/>
        <v>1</v>
      </c>
      <c r="N14" s="149"/>
    </row>
    <row r="15" spans="1:14" s="212" customFormat="1" ht="18.600000000000001" customHeight="1">
      <c r="A15" s="143"/>
      <c r="B15" s="143" t="str">
        <f>KLGiam!B15</f>
        <v>CL12-B</v>
      </c>
      <c r="C15" s="189">
        <v>5</v>
      </c>
      <c r="D15" s="154" t="s">
        <v>226</v>
      </c>
      <c r="E15" s="155" t="s">
        <v>185</v>
      </c>
      <c r="F15" s="155">
        <v>3</v>
      </c>
      <c r="G15" s="155">
        <v>2</v>
      </c>
      <c r="H15" s="226">
        <f t="shared" si="1"/>
        <v>1</v>
      </c>
      <c r="I15" s="151" t="e">
        <f t="shared" si="3"/>
        <v>#NAME?</v>
      </c>
      <c r="J15" s="152" t="e">
        <f t="shared" si="4"/>
        <v>#NAME?</v>
      </c>
      <c r="K15" s="274"/>
      <c r="L15" s="148"/>
      <c r="M15" s="148">
        <f t="shared" si="2"/>
        <v>1</v>
      </c>
      <c r="N15" s="149"/>
    </row>
    <row r="16" spans="1:14" s="212" customFormat="1" ht="18.600000000000001" customHeight="1">
      <c r="A16" s="143"/>
      <c r="B16" s="143" t="str">
        <f>KLGiam!B16</f>
        <v>SN</v>
      </c>
      <c r="C16" s="189"/>
      <c r="D16" s="240" t="s">
        <v>506</v>
      </c>
      <c r="E16" s="158" t="s">
        <v>190</v>
      </c>
      <c r="F16" s="158">
        <v>3</v>
      </c>
      <c r="G16" s="158">
        <v>2</v>
      </c>
      <c r="H16" s="226">
        <f t="shared" si="1"/>
        <v>1</v>
      </c>
      <c r="I16" s="151">
        <v>74000</v>
      </c>
      <c r="J16" s="152">
        <f t="shared" si="4"/>
        <v>74000</v>
      </c>
      <c r="K16" s="274"/>
      <c r="L16" s="148"/>
      <c r="M16" s="148">
        <f t="shared" si="2"/>
        <v>1</v>
      </c>
      <c r="N16" s="149"/>
    </row>
    <row r="17" spans="1:14" s="212" customFormat="1" ht="18.600000000000001" customHeight="1">
      <c r="A17" s="143"/>
      <c r="B17" s="143" t="str">
        <f>KLGiam!B17</f>
        <v>C5/8</v>
      </c>
      <c r="C17" s="189"/>
      <c r="D17" s="240" t="s">
        <v>507</v>
      </c>
      <c r="E17" s="158" t="s">
        <v>219</v>
      </c>
      <c r="F17" s="158">
        <v>42</v>
      </c>
      <c r="G17" s="158">
        <v>28</v>
      </c>
      <c r="H17" s="226">
        <f t="shared" si="1"/>
        <v>14</v>
      </c>
      <c r="I17" s="151">
        <v>14386</v>
      </c>
      <c r="J17" s="152">
        <f t="shared" si="4"/>
        <v>201404</v>
      </c>
      <c r="K17" s="274"/>
      <c r="L17" s="148"/>
      <c r="M17" s="148">
        <f t="shared" si="2"/>
        <v>1</v>
      </c>
      <c r="N17" s="149"/>
    </row>
    <row r="18" spans="1:14" s="212" customFormat="1" ht="18.600000000000001" customHeight="1">
      <c r="A18" s="143"/>
      <c r="B18" s="143" t="str">
        <f>KLGiam!B18</f>
        <v>CXX14-B</v>
      </c>
      <c r="C18" s="189">
        <v>6</v>
      </c>
      <c r="D18" s="154" t="s">
        <v>509</v>
      </c>
      <c r="E18" s="155" t="s">
        <v>185</v>
      </c>
      <c r="F18" s="155">
        <v>2</v>
      </c>
      <c r="G18" s="155">
        <v>1</v>
      </c>
      <c r="H18" s="226">
        <f t="shared" si="1"/>
        <v>1</v>
      </c>
      <c r="I18" s="151" t="e">
        <f t="shared" si="3"/>
        <v>#NAME?</v>
      </c>
      <c r="J18" s="152" t="e">
        <f t="shared" si="4"/>
        <v>#NAME?</v>
      </c>
      <c r="K18" s="274"/>
      <c r="L18" s="148"/>
      <c r="M18" s="148">
        <f t="shared" si="2"/>
        <v>1</v>
      </c>
      <c r="N18" s="149"/>
    </row>
    <row r="19" spans="1:14" s="212" customFormat="1" ht="18.600000000000001" customHeight="1">
      <c r="A19" s="143"/>
      <c r="B19" s="143" t="str">
        <f>KLGiam!B19</f>
        <v>SN</v>
      </c>
      <c r="C19" s="189"/>
      <c r="D19" s="240" t="s">
        <v>506</v>
      </c>
      <c r="E19" s="158" t="s">
        <v>190</v>
      </c>
      <c r="F19" s="158">
        <v>4</v>
      </c>
      <c r="G19" s="158">
        <v>2</v>
      </c>
      <c r="H19" s="226">
        <f t="shared" si="1"/>
        <v>2</v>
      </c>
      <c r="I19" s="151">
        <v>74000</v>
      </c>
      <c r="J19" s="152">
        <f t="shared" si="4"/>
        <v>148000</v>
      </c>
      <c r="K19" s="274"/>
      <c r="L19" s="148"/>
      <c r="M19" s="148">
        <f t="shared" si="2"/>
        <v>1</v>
      </c>
      <c r="N19" s="149"/>
    </row>
    <row r="20" spans="1:14" s="212" customFormat="1" ht="18.600000000000001" customHeight="1">
      <c r="A20" s="143"/>
      <c r="B20" s="143" t="str">
        <f>KLGiam!B20</f>
        <v>C5/8</v>
      </c>
      <c r="C20" s="189"/>
      <c r="D20" s="240" t="s">
        <v>507</v>
      </c>
      <c r="E20" s="158" t="s">
        <v>219</v>
      </c>
      <c r="F20" s="158">
        <v>60</v>
      </c>
      <c r="G20" s="158">
        <v>30</v>
      </c>
      <c r="H20" s="226">
        <f t="shared" si="1"/>
        <v>30</v>
      </c>
      <c r="I20" s="151">
        <v>14386</v>
      </c>
      <c r="J20" s="152">
        <f t="shared" si="4"/>
        <v>431580</v>
      </c>
      <c r="K20" s="274"/>
      <c r="L20" s="148"/>
      <c r="M20" s="148">
        <f t="shared" si="2"/>
        <v>1</v>
      </c>
      <c r="N20" s="149"/>
    </row>
    <row r="21" spans="1:14" s="212" customFormat="1" ht="18.600000000000001" customHeight="1">
      <c r="A21" s="143"/>
      <c r="B21" s="143" t="str">
        <f>KLGiam!B21</f>
        <v>ACX50</v>
      </c>
      <c r="C21" s="189"/>
      <c r="D21" s="276" t="s">
        <v>510</v>
      </c>
      <c r="E21" s="277" t="s">
        <v>219</v>
      </c>
      <c r="F21" s="158">
        <v>162</v>
      </c>
      <c r="G21" s="161">
        <v>116</v>
      </c>
      <c r="H21" s="226">
        <f t="shared" si="1"/>
        <v>46</v>
      </c>
      <c r="I21" s="151">
        <v>35808</v>
      </c>
      <c r="J21" s="152">
        <f t="shared" si="4"/>
        <v>1647168</v>
      </c>
      <c r="K21" s="274"/>
      <c r="L21" s="148"/>
      <c r="M21" s="148">
        <f t="shared" si="2"/>
        <v>1</v>
      </c>
      <c r="N21" s="149"/>
    </row>
    <row r="22" spans="1:14" s="212" customFormat="1" ht="18.600000000000001" customHeight="1">
      <c r="A22" s="143"/>
      <c r="B22" s="143" t="str">
        <f>KLGiam!B22</f>
        <v>Đth-U</v>
      </c>
      <c r="C22" s="189">
        <v>7</v>
      </c>
      <c r="D22" s="278" t="s">
        <v>511</v>
      </c>
      <c r="E22" s="279" t="s">
        <v>212</v>
      </c>
      <c r="F22" s="280">
        <v>163</v>
      </c>
      <c r="G22" s="281">
        <v>160</v>
      </c>
      <c r="H22" s="282">
        <f t="shared" si="1"/>
        <v>3</v>
      </c>
      <c r="I22" s="151" t="e">
        <f t="shared" si="3"/>
        <v>#NAME?</v>
      </c>
      <c r="J22" s="152" t="e">
        <f t="shared" si="4"/>
        <v>#NAME?</v>
      </c>
      <c r="K22" s="274"/>
      <c r="L22" s="148"/>
      <c r="M22" s="148">
        <f t="shared" si="2"/>
        <v>1</v>
      </c>
      <c r="N22" s="149"/>
    </row>
    <row r="23" spans="1:14" s="212" customFormat="1" ht="18.600000000000001" customHeight="1">
      <c r="A23" s="143"/>
      <c r="B23" s="143" t="str">
        <f>KLGiam!B23</f>
        <v>soc</v>
      </c>
      <c r="C23" s="189"/>
      <c r="D23" s="276" t="s">
        <v>512</v>
      </c>
      <c r="E23" s="277" t="s">
        <v>190</v>
      </c>
      <c r="F23" s="158">
        <v>163</v>
      </c>
      <c r="G23" s="161">
        <v>160</v>
      </c>
      <c r="H23" s="226">
        <f t="shared" si="1"/>
        <v>3</v>
      </c>
      <c r="I23" s="151">
        <v>17000</v>
      </c>
      <c r="J23" s="152">
        <f t="shared" si="4"/>
        <v>51000</v>
      </c>
      <c r="K23" s="274"/>
      <c r="L23" s="148"/>
      <c r="M23" s="148">
        <f t="shared" si="2"/>
        <v>1</v>
      </c>
      <c r="N23" s="149"/>
    </row>
    <row r="24" spans="1:14" s="212" customFormat="1" ht="18.600000000000001" customHeight="1">
      <c r="A24" s="143"/>
      <c r="B24" s="143" t="str">
        <f>KLGiam!B24</f>
        <v>SĐU</v>
      </c>
      <c r="C24" s="189">
        <v>8</v>
      </c>
      <c r="D24" s="283" t="s">
        <v>514</v>
      </c>
      <c r="E24" s="284" t="s">
        <v>212</v>
      </c>
      <c r="F24" s="284">
        <v>591</v>
      </c>
      <c r="G24" s="285">
        <v>583</v>
      </c>
      <c r="H24" s="226">
        <f t="shared" si="1"/>
        <v>8</v>
      </c>
      <c r="I24" s="151" t="e">
        <f t="shared" si="3"/>
        <v>#NAME?</v>
      </c>
      <c r="J24" s="152" t="e">
        <f t="shared" si="4"/>
        <v>#NAME?</v>
      </c>
      <c r="K24" s="274"/>
      <c r="L24" s="148"/>
      <c r="M24" s="148">
        <f t="shared" si="2"/>
        <v>1</v>
      </c>
      <c r="N24" s="149"/>
    </row>
    <row r="25" spans="1:14" s="212" customFormat="1" ht="18.600000000000001" customHeight="1">
      <c r="A25" s="143"/>
      <c r="B25" s="143" t="str">
        <f>KLGiam!B25</f>
        <v>SD</v>
      </c>
      <c r="C25" s="189"/>
      <c r="D25" s="240" t="s">
        <v>515</v>
      </c>
      <c r="E25" s="158" t="s">
        <v>190</v>
      </c>
      <c r="F25" s="158">
        <v>591</v>
      </c>
      <c r="G25" s="158">
        <v>583</v>
      </c>
      <c r="H25" s="226">
        <f t="shared" si="1"/>
        <v>8</v>
      </c>
      <c r="I25" s="151">
        <v>205000</v>
      </c>
      <c r="J25" s="152">
        <f t="shared" si="4"/>
        <v>1640000</v>
      </c>
      <c r="K25" s="274"/>
      <c r="L25" s="148"/>
      <c r="M25" s="148">
        <f t="shared" si="2"/>
        <v>1</v>
      </c>
      <c r="N25" s="149"/>
    </row>
    <row r="26" spans="1:14" s="212" customFormat="1" ht="18.600000000000001" customHeight="1">
      <c r="A26" s="143"/>
      <c r="B26" s="143" t="str">
        <f>KLGiam!B26</f>
        <v>CSD</v>
      </c>
      <c r="C26" s="189"/>
      <c r="D26" s="240" t="s">
        <v>516</v>
      </c>
      <c r="E26" s="158" t="s">
        <v>190</v>
      </c>
      <c r="F26" s="158">
        <v>591</v>
      </c>
      <c r="G26" s="158">
        <v>583</v>
      </c>
      <c r="H26" s="226">
        <f t="shared" si="1"/>
        <v>8</v>
      </c>
      <c r="I26" s="151">
        <v>65000</v>
      </c>
      <c r="J26" s="152">
        <f t="shared" si="4"/>
        <v>520000</v>
      </c>
      <c r="K26" s="274"/>
      <c r="L26" s="148"/>
      <c r="M26" s="148">
        <f t="shared" si="2"/>
        <v>1</v>
      </c>
      <c r="N26" s="149"/>
    </row>
    <row r="27" spans="1:14" s="212" customFormat="1" ht="18.600000000000001" customHeight="1">
      <c r="A27" s="143"/>
      <c r="B27" s="143" t="str">
        <f>KLGiam!B27</f>
        <v>CĐTply-X</v>
      </c>
      <c r="C27" s="189">
        <v>9</v>
      </c>
      <c r="D27" s="283" t="s">
        <v>518</v>
      </c>
      <c r="E27" s="284" t="s">
        <v>259</v>
      </c>
      <c r="F27" s="284">
        <v>93</v>
      </c>
      <c r="G27" s="285">
        <v>87</v>
      </c>
      <c r="H27" s="226">
        <f t="shared" si="1"/>
        <v>6</v>
      </c>
      <c r="I27" s="151" t="e">
        <f t="shared" si="3"/>
        <v>#NAME?</v>
      </c>
      <c r="J27" s="152" t="e">
        <f t="shared" si="0"/>
        <v>#NAME?</v>
      </c>
      <c r="K27" s="274"/>
      <c r="L27" s="148"/>
      <c r="M27" s="148">
        <f t="shared" si="2"/>
        <v>1</v>
      </c>
      <c r="N27" s="149"/>
    </row>
    <row r="28" spans="1:14" s="212" customFormat="1" ht="18.600000000000001" customHeight="1">
      <c r="A28" s="143"/>
      <c r="B28" s="143" t="str">
        <f>KLGiam!B28</f>
        <v>Stply</v>
      </c>
      <c r="C28" s="189"/>
      <c r="D28" s="240" t="s">
        <v>519</v>
      </c>
      <c r="E28" s="158" t="s">
        <v>190</v>
      </c>
      <c r="F28" s="158">
        <v>93</v>
      </c>
      <c r="G28" s="158">
        <v>87</v>
      </c>
      <c r="H28" s="226">
        <f t="shared" si="1"/>
        <v>6</v>
      </c>
      <c r="I28" s="151" t="e">
        <f t="shared" si="3"/>
        <v>#NAME?</v>
      </c>
      <c r="J28" s="152" t="e">
        <f t="shared" si="0"/>
        <v>#NAME?</v>
      </c>
      <c r="K28" s="274"/>
      <c r="L28" s="148"/>
      <c r="M28" s="148">
        <f t="shared" si="2"/>
        <v>1</v>
      </c>
      <c r="N28" s="149"/>
    </row>
    <row r="29" spans="1:14" s="212" customFormat="1" ht="18.600000000000001" hidden="1" customHeight="1">
      <c r="A29" s="143"/>
      <c r="B29" s="143">
        <f>KLGiam!B29</f>
        <v>0</v>
      </c>
      <c r="C29" s="189"/>
      <c r="D29" s="144"/>
      <c r="E29" s="145"/>
      <c r="F29" s="145"/>
      <c r="G29" s="226"/>
      <c r="H29" s="226">
        <f t="shared" si="1"/>
        <v>0</v>
      </c>
      <c r="I29" s="151" t="e">
        <f t="shared" si="3"/>
        <v>#NAME?</v>
      </c>
      <c r="J29" s="152" t="e">
        <f t="shared" si="0"/>
        <v>#NAME?</v>
      </c>
      <c r="K29" s="274"/>
      <c r="L29" s="148"/>
      <c r="M29" s="148">
        <f t="shared" si="2"/>
        <v>0</v>
      </c>
      <c r="N29" s="149"/>
    </row>
    <row r="30" spans="1:14" s="128" customFormat="1" ht="18.600000000000001" hidden="1" customHeight="1">
      <c r="A30" s="143"/>
      <c r="B30" s="143">
        <f>KLGiam!B30</f>
        <v>0</v>
      </c>
      <c r="C30" s="189"/>
      <c r="D30" s="144"/>
      <c r="E30" s="145"/>
      <c r="F30" s="145"/>
      <c r="G30" s="226"/>
      <c r="H30" s="226">
        <f t="shared" si="1"/>
        <v>0</v>
      </c>
      <c r="I30" s="151" t="e">
        <f t="shared" si="3"/>
        <v>#NAME?</v>
      </c>
      <c r="J30" s="140"/>
      <c r="K30" s="141"/>
      <c r="L30" s="134"/>
      <c r="M30" s="148">
        <f t="shared" si="2"/>
        <v>0</v>
      </c>
      <c r="N30" s="142"/>
    </row>
    <row r="31" spans="1:14" s="228" customFormat="1" ht="18.600000000000001" customHeight="1">
      <c r="B31" s="143">
        <f>KLGiam!B31</f>
        <v>0</v>
      </c>
      <c r="C31" s="138" t="s">
        <v>92</v>
      </c>
      <c r="D31" s="139" t="s">
        <v>93</v>
      </c>
      <c r="E31" s="136"/>
      <c r="F31" s="136"/>
      <c r="G31" s="136"/>
      <c r="H31" s="137"/>
      <c r="I31" s="229" t="e">
        <f t="shared" si="3"/>
        <v>#NAME?</v>
      </c>
      <c r="J31" s="140" t="e">
        <f>SUM(J32:J130)</f>
        <v>#NAME?</v>
      </c>
      <c r="K31" s="286"/>
      <c r="L31" s="231" t="s">
        <v>492</v>
      </c>
      <c r="M31" s="148">
        <v>1</v>
      </c>
      <c r="N31" s="149"/>
    </row>
    <row r="32" spans="1:14" s="143" customFormat="1" ht="18.600000000000001" customHeight="1">
      <c r="B32" s="143" t="str">
        <f>KLGiam!B32</f>
        <v>M12a</v>
      </c>
      <c r="C32" s="136">
        <v>1</v>
      </c>
      <c r="D32" s="154" t="s">
        <v>494</v>
      </c>
      <c r="E32" s="155" t="s">
        <v>183</v>
      </c>
      <c r="F32" s="155">
        <v>40</v>
      </c>
      <c r="G32" s="155">
        <v>39</v>
      </c>
      <c r="H32" s="273">
        <f t="shared" si="1"/>
        <v>1</v>
      </c>
      <c r="I32" s="188" t="e">
        <f t="shared" si="3"/>
        <v>#NAME?</v>
      </c>
      <c r="J32" s="152" t="e">
        <f t="shared" ref="J32" si="5">IF(I32&gt;0,H32*I32,"")</f>
        <v>#NAME?</v>
      </c>
      <c r="K32" s="158"/>
      <c r="L32" s="148" t="s">
        <v>92</v>
      </c>
      <c r="M32" s="148">
        <f t="shared" si="2"/>
        <v>1</v>
      </c>
      <c r="N32" s="149"/>
    </row>
    <row r="33" spans="2:14" s="143" customFormat="1" ht="18.600000000000001" customHeight="1">
      <c r="B33" s="143" t="str">
        <f>KLGiam!B33</f>
        <v>b22650</v>
      </c>
      <c r="C33" s="150"/>
      <c r="D33" s="240" t="s">
        <v>521</v>
      </c>
      <c r="E33" s="158" t="s">
        <v>212</v>
      </c>
      <c r="F33" s="158">
        <v>40</v>
      </c>
      <c r="G33" s="158">
        <v>39</v>
      </c>
      <c r="H33" s="226">
        <f t="shared" si="1"/>
        <v>1</v>
      </c>
      <c r="I33" s="188">
        <f>ROUND(N33/1.1,2)</f>
        <v>107090.91</v>
      </c>
      <c r="J33" s="152">
        <f>ROUND(H33*I33,0)</f>
        <v>107091</v>
      </c>
      <c r="K33" s="158"/>
      <c r="L33" s="148" t="s">
        <v>92</v>
      </c>
      <c r="M33" s="148">
        <f t="shared" si="2"/>
        <v>1</v>
      </c>
      <c r="N33" s="151">
        <v>117800</v>
      </c>
    </row>
    <row r="34" spans="2:14" s="143" customFormat="1" ht="18.600000000000001" customHeight="1">
      <c r="B34" s="143" t="str">
        <f>KLGiam!B34</f>
        <v>MDD3DC</v>
      </c>
      <c r="C34" s="150"/>
      <c r="D34" s="240" t="s">
        <v>523</v>
      </c>
      <c r="E34" s="158" t="s">
        <v>212</v>
      </c>
      <c r="F34" s="158">
        <v>40</v>
      </c>
      <c r="G34" s="158">
        <v>39</v>
      </c>
      <c r="H34" s="226">
        <f t="shared" si="1"/>
        <v>1</v>
      </c>
      <c r="I34" s="188">
        <f t="shared" ref="I34:I97" si="6">ROUND(N34/1.1,2)</f>
        <v>281727.27</v>
      </c>
      <c r="J34" s="152">
        <f t="shared" ref="J34:J97" si="7">ROUND(H34*I34,0)</f>
        <v>281727</v>
      </c>
      <c r="K34" s="158"/>
      <c r="L34" s="148" t="s">
        <v>492</v>
      </c>
      <c r="M34" s="148">
        <f t="shared" si="2"/>
        <v>1</v>
      </c>
      <c r="N34" s="151">
        <v>309900</v>
      </c>
    </row>
    <row r="35" spans="2:14" s="143" customFormat="1" ht="18.600000000000001" customHeight="1">
      <c r="B35" s="143" t="str">
        <f>KLGiam!B35</f>
        <v>MDAP3</v>
      </c>
      <c r="C35" s="150"/>
      <c r="D35" s="240" t="s">
        <v>525</v>
      </c>
      <c r="E35" s="158" t="s">
        <v>212</v>
      </c>
      <c r="F35" s="158">
        <v>40</v>
      </c>
      <c r="G35" s="158">
        <v>39</v>
      </c>
      <c r="H35" s="226">
        <f t="shared" si="1"/>
        <v>1</v>
      </c>
      <c r="I35" s="188">
        <f t="shared" si="6"/>
        <v>38272.730000000003</v>
      </c>
      <c r="J35" s="152">
        <f t="shared" si="7"/>
        <v>38273</v>
      </c>
      <c r="K35" s="158"/>
      <c r="L35" s="148" t="s">
        <v>92</v>
      </c>
      <c r="M35" s="148">
        <f t="shared" si="2"/>
        <v>1</v>
      </c>
      <c r="N35" s="151">
        <v>42100</v>
      </c>
    </row>
    <row r="36" spans="2:14" s="143" customFormat="1" ht="18.600000000000001" customHeight="1">
      <c r="B36" s="143" t="str">
        <f>KLGiam!B36</f>
        <v>TDTT12HH</v>
      </c>
      <c r="C36" s="239">
        <v>2</v>
      </c>
      <c r="D36" s="154" t="s">
        <v>497</v>
      </c>
      <c r="E36" s="155" t="s">
        <v>185</v>
      </c>
      <c r="F36" s="155">
        <v>14</v>
      </c>
      <c r="G36" s="155">
        <v>11</v>
      </c>
      <c r="H36" s="241">
        <f t="shared" si="1"/>
        <v>3</v>
      </c>
      <c r="I36" s="188">
        <f t="shared" si="6"/>
        <v>0</v>
      </c>
      <c r="J36" s="152">
        <f t="shared" si="7"/>
        <v>0</v>
      </c>
      <c r="K36" s="158"/>
      <c r="L36" s="148" t="s">
        <v>92</v>
      </c>
      <c r="M36" s="148">
        <f t="shared" si="2"/>
        <v>1</v>
      </c>
      <c r="N36" s="151">
        <v>0</v>
      </c>
    </row>
    <row r="37" spans="2:14" s="143" customFormat="1" ht="18.600000000000001" customHeight="1">
      <c r="B37" s="143" t="str">
        <f>KLGiam!B37</f>
        <v>KE399</v>
      </c>
      <c r="C37" s="239"/>
      <c r="D37" s="240" t="s">
        <v>527</v>
      </c>
      <c r="E37" s="158" t="s">
        <v>190</v>
      </c>
      <c r="F37" s="158">
        <v>28</v>
      </c>
      <c r="G37" s="158">
        <v>22</v>
      </c>
      <c r="H37" s="241">
        <f t="shared" si="1"/>
        <v>6</v>
      </c>
      <c r="I37" s="188">
        <f t="shared" si="6"/>
        <v>15545.45</v>
      </c>
      <c r="J37" s="152">
        <f t="shared" si="7"/>
        <v>93273</v>
      </c>
      <c r="K37" s="158"/>
      <c r="L37" s="148" t="s">
        <v>92</v>
      </c>
      <c r="M37" s="148">
        <f t="shared" si="2"/>
        <v>1</v>
      </c>
      <c r="N37" s="151">
        <v>17100</v>
      </c>
    </row>
    <row r="38" spans="2:14" s="143" customFormat="1" ht="18.600000000000001" customHeight="1">
      <c r="B38" s="143" t="str">
        <f>KLGiam!B38</f>
        <v>OXC</v>
      </c>
      <c r="C38" s="239"/>
      <c r="D38" s="240" t="s">
        <v>529</v>
      </c>
      <c r="E38" s="158" t="s">
        <v>190</v>
      </c>
      <c r="F38" s="158">
        <v>28</v>
      </c>
      <c r="G38" s="158">
        <v>22</v>
      </c>
      <c r="H38" s="241">
        <f t="shared" si="1"/>
        <v>6</v>
      </c>
      <c r="I38" s="188">
        <f t="shared" si="6"/>
        <v>18636.36</v>
      </c>
      <c r="J38" s="152">
        <f t="shared" si="7"/>
        <v>111818</v>
      </c>
      <c r="K38" s="158"/>
      <c r="L38" s="148" t="s">
        <v>92</v>
      </c>
      <c r="M38" s="148">
        <f t="shared" si="2"/>
        <v>1</v>
      </c>
      <c r="N38" s="151">
        <v>20500</v>
      </c>
    </row>
    <row r="39" spans="2:14" s="143" customFormat="1" ht="18.600000000000001" customHeight="1">
      <c r="B39" s="143" t="str">
        <f>KLGiam!B39</f>
        <v>TDDD12</v>
      </c>
      <c r="C39" s="239">
        <v>3</v>
      </c>
      <c r="D39" s="154" t="s">
        <v>500</v>
      </c>
      <c r="E39" s="155" t="s">
        <v>185</v>
      </c>
      <c r="F39" s="155">
        <v>10</v>
      </c>
      <c r="G39" s="155">
        <v>9</v>
      </c>
      <c r="H39" s="241">
        <f t="shared" si="1"/>
        <v>1</v>
      </c>
      <c r="I39" s="188">
        <f t="shared" si="6"/>
        <v>0</v>
      </c>
      <c r="J39" s="152">
        <f t="shared" si="7"/>
        <v>0</v>
      </c>
      <c r="K39" s="158"/>
      <c r="L39" s="148" t="s">
        <v>92</v>
      </c>
      <c r="M39" s="148">
        <f t="shared" si="2"/>
        <v>1</v>
      </c>
      <c r="N39" s="151">
        <v>0</v>
      </c>
    </row>
    <row r="40" spans="2:14" s="143" customFormat="1" ht="18.600000000000001" customHeight="1">
      <c r="B40" s="143" t="str">
        <f>KLGiam!B40</f>
        <v>KE399</v>
      </c>
      <c r="C40" s="239"/>
      <c r="D40" s="240" t="s">
        <v>527</v>
      </c>
      <c r="E40" s="158" t="s">
        <v>190</v>
      </c>
      <c r="F40" s="158">
        <v>40</v>
      </c>
      <c r="G40" s="158">
        <v>36</v>
      </c>
      <c r="H40" s="241">
        <f t="shared" si="1"/>
        <v>4</v>
      </c>
      <c r="I40" s="188">
        <f t="shared" si="6"/>
        <v>15545.45</v>
      </c>
      <c r="J40" s="152">
        <f t="shared" si="7"/>
        <v>62182</v>
      </c>
      <c r="K40" s="158"/>
      <c r="L40" s="148" t="s">
        <v>92</v>
      </c>
      <c r="M40" s="148">
        <f t="shared" si="2"/>
        <v>1</v>
      </c>
      <c r="N40" s="151">
        <v>17100</v>
      </c>
    </row>
    <row r="41" spans="2:14" s="143" customFormat="1" ht="18.600000000000001" customHeight="1">
      <c r="B41" s="143" t="str">
        <f>KLGiam!B41</f>
        <v>OXC</v>
      </c>
      <c r="C41" s="239"/>
      <c r="D41" s="240" t="s">
        <v>529</v>
      </c>
      <c r="E41" s="158" t="s">
        <v>190</v>
      </c>
      <c r="F41" s="158">
        <v>40</v>
      </c>
      <c r="G41" s="158">
        <v>36</v>
      </c>
      <c r="H41" s="241">
        <f t="shared" si="1"/>
        <v>4</v>
      </c>
      <c r="I41" s="188">
        <f t="shared" si="6"/>
        <v>18636.36</v>
      </c>
      <c r="J41" s="152">
        <f t="shared" si="7"/>
        <v>74545</v>
      </c>
      <c r="K41" s="158"/>
      <c r="L41" s="148" t="s">
        <v>92</v>
      </c>
      <c r="M41" s="148">
        <f t="shared" si="2"/>
        <v>1</v>
      </c>
      <c r="N41" s="151">
        <v>20500</v>
      </c>
    </row>
    <row r="42" spans="2:14" s="143" customFormat="1" ht="18.600000000000001" customHeight="1">
      <c r="B42" s="143" t="str">
        <f>KLGiam!B42</f>
        <v>BTLT 12 F540</v>
      </c>
      <c r="C42" s="239">
        <v>4</v>
      </c>
      <c r="D42" s="154" t="s">
        <v>503</v>
      </c>
      <c r="E42" s="155" t="s">
        <v>195</v>
      </c>
      <c r="F42" s="155">
        <v>96</v>
      </c>
      <c r="G42" s="155">
        <v>95</v>
      </c>
      <c r="H42" s="241">
        <f t="shared" si="1"/>
        <v>1</v>
      </c>
      <c r="I42" s="188">
        <f t="shared" si="6"/>
        <v>0</v>
      </c>
      <c r="J42" s="152">
        <f t="shared" si="7"/>
        <v>0</v>
      </c>
      <c r="K42" s="158"/>
      <c r="L42" s="148" t="s">
        <v>92</v>
      </c>
      <c r="M42" s="148">
        <f t="shared" si="2"/>
        <v>1</v>
      </c>
      <c r="N42" s="151">
        <v>0</v>
      </c>
    </row>
    <row r="43" spans="2:14" s="143" customFormat="1" ht="18.600000000000001" customHeight="1">
      <c r="B43" s="143" t="str">
        <f>KLGiam!B43</f>
        <v>C12m</v>
      </c>
      <c r="C43" s="239"/>
      <c r="D43" s="240" t="s">
        <v>531</v>
      </c>
      <c r="E43" s="158" t="s">
        <v>197</v>
      </c>
      <c r="F43" s="158">
        <v>96</v>
      </c>
      <c r="G43" s="158">
        <v>95</v>
      </c>
      <c r="H43" s="241">
        <f t="shared" si="1"/>
        <v>1</v>
      </c>
      <c r="I43" s="188">
        <f t="shared" si="6"/>
        <v>1105909.0900000001</v>
      </c>
      <c r="J43" s="152">
        <f t="shared" si="7"/>
        <v>1105909</v>
      </c>
      <c r="K43" s="158"/>
      <c r="L43" s="148" t="s">
        <v>92</v>
      </c>
      <c r="M43" s="148">
        <f t="shared" si="2"/>
        <v>1</v>
      </c>
      <c r="N43" s="151">
        <v>1216500</v>
      </c>
    </row>
    <row r="44" spans="2:14" s="143" customFormat="1" ht="18.600000000000001" customHeight="1">
      <c r="B44" s="143" t="str">
        <f>KLGiam!B44</f>
        <v>X-22K</v>
      </c>
      <c r="C44" s="239">
        <v>5</v>
      </c>
      <c r="D44" s="154" t="s">
        <v>533</v>
      </c>
      <c r="E44" s="155" t="s">
        <v>185</v>
      </c>
      <c r="F44" s="155">
        <v>5</v>
      </c>
      <c r="G44" s="155">
        <v>4</v>
      </c>
      <c r="H44" s="241">
        <f t="shared" si="1"/>
        <v>1</v>
      </c>
      <c r="I44" s="188">
        <f t="shared" si="6"/>
        <v>0</v>
      </c>
      <c r="J44" s="152">
        <f t="shared" si="7"/>
        <v>0</v>
      </c>
      <c r="K44" s="158"/>
      <c r="L44" s="148" t="s">
        <v>92</v>
      </c>
      <c r="M44" s="148">
        <f t="shared" si="2"/>
        <v>1</v>
      </c>
      <c r="N44" s="151">
        <v>0</v>
      </c>
    </row>
    <row r="45" spans="2:14" s="143" customFormat="1" ht="18.600000000000001" customHeight="1">
      <c r="B45" s="143" t="str">
        <f>KLGiam!B45</f>
        <v>d22</v>
      </c>
      <c r="C45" s="239"/>
      <c r="D45" s="240" t="s">
        <v>437</v>
      </c>
      <c r="E45" s="158" t="s">
        <v>449</v>
      </c>
      <c r="F45" s="158">
        <v>4</v>
      </c>
      <c r="G45" s="158">
        <v>2</v>
      </c>
      <c r="H45" s="241">
        <f t="shared" si="1"/>
        <v>2</v>
      </c>
      <c r="I45" s="188">
        <f t="shared" si="6"/>
        <v>1375454.55</v>
      </c>
      <c r="J45" s="152">
        <f t="shared" si="7"/>
        <v>2750909</v>
      </c>
      <c r="K45" s="158"/>
      <c r="L45" s="148" t="s">
        <v>92</v>
      </c>
      <c r="M45" s="148">
        <f t="shared" si="2"/>
        <v>1</v>
      </c>
      <c r="N45" s="151">
        <v>1513000</v>
      </c>
    </row>
    <row r="46" spans="2:14" s="143" customFormat="1" ht="18.600000000000001" customHeight="1">
      <c r="B46" s="143" t="str">
        <f>KLGiam!B46</f>
        <v>t81</v>
      </c>
      <c r="C46" s="239"/>
      <c r="D46" s="240" t="s">
        <v>438</v>
      </c>
      <c r="E46" s="158" t="s">
        <v>449</v>
      </c>
      <c r="F46" s="158">
        <v>8</v>
      </c>
      <c r="G46" s="158">
        <v>4</v>
      </c>
      <c r="H46" s="241">
        <f t="shared" si="1"/>
        <v>4</v>
      </c>
      <c r="I46" s="188">
        <f t="shared" si="6"/>
        <v>375363.64</v>
      </c>
      <c r="J46" s="152">
        <f t="shared" si="7"/>
        <v>1501455</v>
      </c>
      <c r="K46" s="158"/>
      <c r="L46" s="148" t="s">
        <v>92</v>
      </c>
      <c r="M46" s="148">
        <f t="shared" si="2"/>
        <v>1</v>
      </c>
      <c r="N46" s="151">
        <v>412900</v>
      </c>
    </row>
    <row r="47" spans="2:14" s="143" customFormat="1" ht="18.600000000000001" customHeight="1">
      <c r="B47" s="143" t="str">
        <f>KLGiam!B47</f>
        <v>B16300</v>
      </c>
      <c r="C47" s="239"/>
      <c r="D47" s="240" t="s">
        <v>535</v>
      </c>
      <c r="E47" s="158" t="s">
        <v>212</v>
      </c>
      <c r="F47" s="158">
        <v>10</v>
      </c>
      <c r="G47" s="158">
        <v>8</v>
      </c>
      <c r="H47" s="241">
        <f t="shared" si="1"/>
        <v>2</v>
      </c>
      <c r="I47" s="188">
        <f t="shared" si="6"/>
        <v>31818.18</v>
      </c>
      <c r="J47" s="152">
        <f t="shared" si="7"/>
        <v>63636</v>
      </c>
      <c r="K47" s="158"/>
      <c r="L47" s="148" t="s">
        <v>92</v>
      </c>
      <c r="M47" s="148">
        <f t="shared" si="2"/>
        <v>1</v>
      </c>
      <c r="N47" s="151">
        <v>35000</v>
      </c>
    </row>
    <row r="48" spans="2:14" s="143" customFormat="1" ht="18.600000000000001" customHeight="1">
      <c r="B48" s="143" t="str">
        <f>KLGiam!B48</f>
        <v>B16300v</v>
      </c>
      <c r="C48" s="239"/>
      <c r="D48" s="240" t="s">
        <v>537</v>
      </c>
      <c r="E48" s="158" t="s">
        <v>212</v>
      </c>
      <c r="F48" s="158">
        <v>20</v>
      </c>
      <c r="G48" s="158">
        <v>16</v>
      </c>
      <c r="H48" s="241">
        <f t="shared" si="1"/>
        <v>4</v>
      </c>
      <c r="I48" s="188">
        <f t="shared" si="6"/>
        <v>43454.55</v>
      </c>
      <c r="J48" s="152">
        <f t="shared" si="7"/>
        <v>173818</v>
      </c>
      <c r="K48" s="158"/>
      <c r="L48" s="148" t="s">
        <v>92</v>
      </c>
      <c r="M48" s="148">
        <f t="shared" si="2"/>
        <v>1</v>
      </c>
      <c r="N48" s="151">
        <v>47800</v>
      </c>
    </row>
    <row r="49" spans="2:14" s="143" customFormat="1" ht="18.600000000000001" customHeight="1">
      <c r="B49" s="143" t="str">
        <f>KLGiam!B49</f>
        <v>B1650</v>
      </c>
      <c r="C49" s="239"/>
      <c r="D49" s="240" t="s">
        <v>539</v>
      </c>
      <c r="E49" s="158" t="s">
        <v>212</v>
      </c>
      <c r="F49" s="158">
        <v>20</v>
      </c>
      <c r="G49" s="158">
        <v>16</v>
      </c>
      <c r="H49" s="241">
        <f t="shared" si="1"/>
        <v>4</v>
      </c>
      <c r="I49" s="188">
        <f t="shared" si="6"/>
        <v>18000</v>
      </c>
      <c r="J49" s="152">
        <f t="shared" si="7"/>
        <v>72000</v>
      </c>
      <c r="K49" s="158"/>
      <c r="L49" s="148" t="s">
        <v>92</v>
      </c>
      <c r="M49" s="148">
        <f t="shared" si="2"/>
        <v>1</v>
      </c>
      <c r="N49" s="151">
        <v>19800</v>
      </c>
    </row>
    <row r="50" spans="2:14" s="143" customFormat="1" ht="18.600000000000001" customHeight="1">
      <c r="B50" s="143" t="str">
        <f>KLGiam!B50</f>
        <v>LXIN</v>
      </c>
      <c r="C50" s="239"/>
      <c r="D50" s="240" t="s">
        <v>541</v>
      </c>
      <c r="E50" s="158" t="s">
        <v>212</v>
      </c>
      <c r="F50" s="158">
        <v>5</v>
      </c>
      <c r="G50" s="158">
        <v>4</v>
      </c>
      <c r="H50" s="241">
        <f t="shared" si="1"/>
        <v>1</v>
      </c>
      <c r="I50" s="188">
        <f t="shared" si="6"/>
        <v>947545.45</v>
      </c>
      <c r="J50" s="152">
        <f t="shared" si="7"/>
        <v>947545</v>
      </c>
      <c r="K50" s="158"/>
      <c r="L50" s="148" t="s">
        <v>92</v>
      </c>
      <c r="M50" s="148">
        <f t="shared" si="2"/>
        <v>1</v>
      </c>
      <c r="N50" s="151">
        <v>1042300</v>
      </c>
    </row>
    <row r="51" spans="2:14" s="143" customFormat="1" ht="18.600000000000001" customHeight="1">
      <c r="B51" s="143" t="str">
        <f>KLGiam!B51</f>
        <v>CL12-B</v>
      </c>
      <c r="C51" s="239">
        <v>6</v>
      </c>
      <c r="D51" s="154" t="s">
        <v>226</v>
      </c>
      <c r="E51" s="155" t="s">
        <v>185</v>
      </c>
      <c r="F51" s="155">
        <v>3</v>
      </c>
      <c r="G51" s="155">
        <v>2</v>
      </c>
      <c r="H51" s="241">
        <f t="shared" si="1"/>
        <v>1</v>
      </c>
      <c r="I51" s="188">
        <f t="shared" si="6"/>
        <v>0</v>
      </c>
      <c r="J51" s="152">
        <f t="shared" si="7"/>
        <v>0</v>
      </c>
      <c r="K51" s="158"/>
      <c r="L51" s="148" t="s">
        <v>92</v>
      </c>
      <c r="M51" s="148">
        <f t="shared" si="2"/>
        <v>1</v>
      </c>
      <c r="N51" s="151">
        <v>0</v>
      </c>
    </row>
    <row r="52" spans="2:14" s="143" customFormat="1" ht="18.600000000000001" customHeight="1">
      <c r="B52" s="143" t="str">
        <f>KLGiam!B52</f>
        <v>BM16300</v>
      </c>
      <c r="C52" s="239"/>
      <c r="D52" s="240" t="s">
        <v>451</v>
      </c>
      <c r="E52" s="158" t="s">
        <v>212</v>
      </c>
      <c r="F52" s="158">
        <v>3</v>
      </c>
      <c r="G52" s="158">
        <v>2</v>
      </c>
      <c r="H52" s="241">
        <f t="shared" si="1"/>
        <v>1</v>
      </c>
      <c r="I52" s="188">
        <f t="shared" si="6"/>
        <v>41363.64</v>
      </c>
      <c r="J52" s="152">
        <f t="shared" si="7"/>
        <v>41364</v>
      </c>
      <c r="K52" s="158"/>
      <c r="L52" s="148" t="s">
        <v>92</v>
      </c>
      <c r="M52" s="148">
        <f t="shared" si="2"/>
        <v>1</v>
      </c>
      <c r="N52" s="151">
        <v>45500</v>
      </c>
    </row>
    <row r="53" spans="2:14" s="143" customFormat="1" ht="18.600000000000001" customHeight="1">
      <c r="B53" s="143" t="str">
        <f>KLGiam!B53</f>
        <v>K3B</v>
      </c>
      <c r="C53" s="239"/>
      <c r="D53" s="240" t="s">
        <v>543</v>
      </c>
      <c r="E53" s="158" t="s">
        <v>190</v>
      </c>
      <c r="F53" s="158">
        <v>24</v>
      </c>
      <c r="G53" s="158">
        <v>16</v>
      </c>
      <c r="H53" s="241">
        <f t="shared" si="1"/>
        <v>8</v>
      </c>
      <c r="I53" s="188">
        <f t="shared" si="6"/>
        <v>44545.45</v>
      </c>
      <c r="J53" s="152">
        <f t="shared" si="7"/>
        <v>356364</v>
      </c>
      <c r="K53" s="158"/>
      <c r="L53" s="148" t="s">
        <v>92</v>
      </c>
      <c r="M53" s="148">
        <f t="shared" si="2"/>
        <v>1</v>
      </c>
      <c r="N53" s="151">
        <v>49000</v>
      </c>
    </row>
    <row r="54" spans="2:14" s="143" customFormat="1" ht="18.600000000000001" customHeight="1">
      <c r="B54" s="143" t="str">
        <f>KLGiam!B54</f>
        <v>CL</v>
      </c>
      <c r="C54" s="239"/>
      <c r="D54" s="240" t="s">
        <v>545</v>
      </c>
      <c r="E54" s="158" t="s">
        <v>212</v>
      </c>
      <c r="F54" s="158">
        <v>3</v>
      </c>
      <c r="G54" s="158">
        <v>2</v>
      </c>
      <c r="H54" s="241">
        <f t="shared" si="1"/>
        <v>1</v>
      </c>
      <c r="I54" s="188">
        <f t="shared" si="6"/>
        <v>360363.64</v>
      </c>
      <c r="J54" s="152">
        <f t="shared" si="7"/>
        <v>360364</v>
      </c>
      <c r="K54" s="158"/>
      <c r="L54" s="148" t="s">
        <v>92</v>
      </c>
      <c r="M54" s="148">
        <f t="shared" si="2"/>
        <v>1</v>
      </c>
      <c r="N54" s="151">
        <v>396400</v>
      </c>
    </row>
    <row r="55" spans="2:14" s="143" customFormat="1" ht="18.600000000000001" customHeight="1">
      <c r="B55" s="143" t="str">
        <f>KLGiam!B55</f>
        <v>YC</v>
      </c>
      <c r="C55" s="239"/>
      <c r="D55" s="240" t="s">
        <v>547</v>
      </c>
      <c r="E55" s="158" t="s">
        <v>190</v>
      </c>
      <c r="F55" s="158">
        <v>6</v>
      </c>
      <c r="G55" s="158">
        <v>4</v>
      </c>
      <c r="H55" s="241">
        <f t="shared" si="1"/>
        <v>2</v>
      </c>
      <c r="I55" s="188">
        <f t="shared" si="6"/>
        <v>7454.55</v>
      </c>
      <c r="J55" s="152">
        <f t="shared" si="7"/>
        <v>14909</v>
      </c>
      <c r="K55" s="158"/>
      <c r="L55" s="148" t="s">
        <v>92</v>
      </c>
      <c r="M55" s="148">
        <f t="shared" si="2"/>
        <v>1</v>
      </c>
      <c r="N55" s="151">
        <v>8200</v>
      </c>
    </row>
    <row r="56" spans="2:14" s="143" customFormat="1" ht="18.600000000000001" customHeight="1">
      <c r="B56" s="143" t="str">
        <f>KLGiam!B56</f>
        <v>MANG</v>
      </c>
      <c r="C56" s="239"/>
      <c r="D56" s="240" t="s">
        <v>549</v>
      </c>
      <c r="E56" s="158" t="s">
        <v>190</v>
      </c>
      <c r="F56" s="158">
        <v>3</v>
      </c>
      <c r="G56" s="158">
        <v>2</v>
      </c>
      <c r="H56" s="241">
        <f t="shared" si="1"/>
        <v>1</v>
      </c>
      <c r="I56" s="188">
        <f t="shared" si="6"/>
        <v>56181.82</v>
      </c>
      <c r="J56" s="152">
        <f t="shared" si="7"/>
        <v>56182</v>
      </c>
      <c r="K56" s="158"/>
      <c r="L56" s="148" t="s">
        <v>92</v>
      </c>
      <c r="M56" s="148">
        <f t="shared" si="2"/>
        <v>1</v>
      </c>
      <c r="N56" s="151">
        <v>61800</v>
      </c>
    </row>
    <row r="57" spans="2:14" s="143" customFormat="1" ht="18.600000000000001" customHeight="1">
      <c r="B57" s="143" t="str">
        <f>KLGiam!B57</f>
        <v>LDN</v>
      </c>
      <c r="C57" s="239"/>
      <c r="D57" s="240" t="s">
        <v>551</v>
      </c>
      <c r="E57" s="158" t="s">
        <v>212</v>
      </c>
      <c r="F57" s="158">
        <v>3</v>
      </c>
      <c r="G57" s="158">
        <v>2</v>
      </c>
      <c r="H57" s="241">
        <f t="shared" si="1"/>
        <v>1</v>
      </c>
      <c r="I57" s="188">
        <f t="shared" si="6"/>
        <v>189181.82</v>
      </c>
      <c r="J57" s="152">
        <f t="shared" si="7"/>
        <v>189182</v>
      </c>
      <c r="K57" s="158"/>
      <c r="L57" s="148" t="s">
        <v>92</v>
      </c>
      <c r="M57" s="148">
        <f t="shared" si="2"/>
        <v>1</v>
      </c>
      <c r="N57" s="151">
        <v>208100</v>
      </c>
    </row>
    <row r="58" spans="2:14" s="143" customFormat="1" ht="18.600000000000001" customHeight="1">
      <c r="B58" s="143" t="str">
        <f>KLGiam!B58</f>
        <v>LCL</v>
      </c>
      <c r="C58" s="239"/>
      <c r="D58" s="240" t="s">
        <v>553</v>
      </c>
      <c r="E58" s="158" t="s">
        <v>212</v>
      </c>
      <c r="F58" s="158">
        <v>3</v>
      </c>
      <c r="G58" s="158">
        <v>2</v>
      </c>
      <c r="H58" s="241">
        <f t="shared" si="1"/>
        <v>1</v>
      </c>
      <c r="I58" s="188">
        <f t="shared" si="6"/>
        <v>147090.91</v>
      </c>
      <c r="J58" s="152">
        <f t="shared" si="7"/>
        <v>147091</v>
      </c>
      <c r="K58" s="158"/>
      <c r="L58" s="148" t="s">
        <v>92</v>
      </c>
      <c r="M58" s="148">
        <f t="shared" si="2"/>
        <v>1</v>
      </c>
      <c r="N58" s="151">
        <v>161800</v>
      </c>
    </row>
    <row r="59" spans="2:14" s="143" customFormat="1" ht="18.600000000000001" customHeight="1">
      <c r="B59" s="143" t="str">
        <f>KLGiam!B59</f>
        <v>CXX14-B</v>
      </c>
      <c r="C59" s="239">
        <v>7</v>
      </c>
      <c r="D59" s="154" t="s">
        <v>509</v>
      </c>
      <c r="E59" s="155" t="s">
        <v>185</v>
      </c>
      <c r="F59" s="155">
        <v>2</v>
      </c>
      <c r="G59" s="155">
        <v>1</v>
      </c>
      <c r="H59" s="241">
        <f t="shared" si="1"/>
        <v>1</v>
      </c>
      <c r="I59" s="188">
        <f t="shared" si="6"/>
        <v>0</v>
      </c>
      <c r="J59" s="152">
        <f t="shared" si="7"/>
        <v>0</v>
      </c>
      <c r="K59" s="158"/>
      <c r="L59" s="148" t="s">
        <v>92</v>
      </c>
      <c r="M59" s="148">
        <f t="shared" si="2"/>
        <v>1</v>
      </c>
      <c r="N59" s="151">
        <v>0</v>
      </c>
    </row>
    <row r="60" spans="2:14" s="143" customFormat="1" ht="18.600000000000001" customHeight="1">
      <c r="B60" s="143" t="str">
        <f>KLGiam!B60</f>
        <v>BM16300</v>
      </c>
      <c r="C60" s="239"/>
      <c r="D60" s="240" t="s">
        <v>451</v>
      </c>
      <c r="E60" s="158" t="s">
        <v>212</v>
      </c>
      <c r="F60" s="158">
        <v>4</v>
      </c>
      <c r="G60" s="158">
        <v>2</v>
      </c>
      <c r="H60" s="241">
        <f t="shared" si="1"/>
        <v>2</v>
      </c>
      <c r="I60" s="188">
        <f t="shared" si="6"/>
        <v>41363.64</v>
      </c>
      <c r="J60" s="152">
        <f t="shared" si="7"/>
        <v>82727</v>
      </c>
      <c r="K60" s="158"/>
      <c r="L60" s="148" t="s">
        <v>92</v>
      </c>
      <c r="M60" s="148">
        <f t="shared" si="2"/>
        <v>1</v>
      </c>
      <c r="N60" s="151">
        <v>45500</v>
      </c>
    </row>
    <row r="61" spans="2:14" s="143" customFormat="1" ht="18.600000000000001" customHeight="1">
      <c r="B61" s="143" t="str">
        <f>KLGiam!B61</f>
        <v>K3B</v>
      </c>
      <c r="C61" s="239"/>
      <c r="D61" s="240" t="s">
        <v>543</v>
      </c>
      <c r="E61" s="158" t="s">
        <v>190</v>
      </c>
      <c r="F61" s="158">
        <v>32</v>
      </c>
      <c r="G61" s="158">
        <v>16</v>
      </c>
      <c r="H61" s="241">
        <f t="shared" si="1"/>
        <v>16</v>
      </c>
      <c r="I61" s="188">
        <f t="shared" si="6"/>
        <v>44545.45</v>
      </c>
      <c r="J61" s="152">
        <f t="shared" si="7"/>
        <v>712727</v>
      </c>
      <c r="K61" s="158"/>
      <c r="L61" s="148" t="s">
        <v>92</v>
      </c>
      <c r="M61" s="148">
        <f t="shared" si="2"/>
        <v>1</v>
      </c>
      <c r="N61" s="151">
        <v>49000</v>
      </c>
    </row>
    <row r="62" spans="2:14" s="143" customFormat="1" ht="18.600000000000001" customHeight="1">
      <c r="B62" s="143" t="str">
        <f>KLGiam!B62</f>
        <v>YC</v>
      </c>
      <c r="C62" s="239"/>
      <c r="D62" s="240" t="s">
        <v>547</v>
      </c>
      <c r="E62" s="158" t="s">
        <v>190</v>
      </c>
      <c r="F62" s="158">
        <v>8</v>
      </c>
      <c r="G62" s="158">
        <v>4</v>
      </c>
      <c r="H62" s="241">
        <f t="shared" si="1"/>
        <v>4</v>
      </c>
      <c r="I62" s="188">
        <f t="shared" si="6"/>
        <v>7454.55</v>
      </c>
      <c r="J62" s="152">
        <f t="shared" si="7"/>
        <v>29818</v>
      </c>
      <c r="K62" s="158"/>
      <c r="L62" s="148" t="s">
        <v>92</v>
      </c>
      <c r="M62" s="148">
        <f t="shared" si="2"/>
        <v>1</v>
      </c>
      <c r="N62" s="151">
        <v>8200</v>
      </c>
    </row>
    <row r="63" spans="2:14" s="143" customFormat="1" ht="18.600000000000001" customHeight="1">
      <c r="B63" s="143" t="str">
        <f>KLGiam!B63</f>
        <v>MANG</v>
      </c>
      <c r="C63" s="239"/>
      <c r="D63" s="240" t="s">
        <v>549</v>
      </c>
      <c r="E63" s="158" t="s">
        <v>190</v>
      </c>
      <c r="F63" s="158">
        <v>2</v>
      </c>
      <c r="G63" s="158">
        <v>1</v>
      </c>
      <c r="H63" s="241">
        <f t="shared" si="1"/>
        <v>1</v>
      </c>
      <c r="I63" s="188">
        <f t="shared" si="6"/>
        <v>56181.82</v>
      </c>
      <c r="J63" s="152">
        <f t="shared" si="7"/>
        <v>56182</v>
      </c>
      <c r="K63" s="158"/>
      <c r="L63" s="148" t="s">
        <v>92</v>
      </c>
      <c r="M63" s="148">
        <f t="shared" si="2"/>
        <v>1</v>
      </c>
      <c r="N63" s="151">
        <v>61800</v>
      </c>
    </row>
    <row r="64" spans="2:14" s="143" customFormat="1" ht="18.600000000000001" customHeight="1">
      <c r="B64" s="143" t="str">
        <f>KLGiam!B64</f>
        <v>LDN</v>
      </c>
      <c r="C64" s="239"/>
      <c r="D64" s="240" t="s">
        <v>551</v>
      </c>
      <c r="E64" s="158" t="s">
        <v>212</v>
      </c>
      <c r="F64" s="158">
        <v>4</v>
      </c>
      <c r="G64" s="158">
        <v>2</v>
      </c>
      <c r="H64" s="241">
        <f t="shared" si="1"/>
        <v>2</v>
      </c>
      <c r="I64" s="188">
        <f t="shared" si="6"/>
        <v>189181.82</v>
      </c>
      <c r="J64" s="152">
        <f t="shared" si="7"/>
        <v>378364</v>
      </c>
      <c r="K64" s="158"/>
      <c r="L64" s="148" t="s">
        <v>92</v>
      </c>
      <c r="M64" s="148">
        <f t="shared" si="2"/>
        <v>1</v>
      </c>
      <c r="N64" s="151">
        <v>208100</v>
      </c>
    </row>
    <row r="65" spans="2:14" s="143" customFormat="1" ht="18.600000000000001" customHeight="1">
      <c r="B65" s="143" t="str">
        <f>KLGiam!B65</f>
        <v>Đth-U</v>
      </c>
      <c r="C65" s="239">
        <v>8</v>
      </c>
      <c r="D65" s="283" t="s">
        <v>511</v>
      </c>
      <c r="E65" s="283" t="s">
        <v>212</v>
      </c>
      <c r="F65" s="283">
        <v>163</v>
      </c>
      <c r="G65" s="283">
        <v>160</v>
      </c>
      <c r="H65" s="287">
        <f t="shared" si="1"/>
        <v>3</v>
      </c>
      <c r="I65" s="188">
        <f t="shared" si="6"/>
        <v>0</v>
      </c>
      <c r="J65" s="152">
        <f t="shared" si="7"/>
        <v>0</v>
      </c>
      <c r="K65" s="158"/>
      <c r="L65" s="148" t="s">
        <v>92</v>
      </c>
      <c r="M65" s="148">
        <f t="shared" si="2"/>
        <v>1</v>
      </c>
      <c r="N65" s="151">
        <v>0</v>
      </c>
    </row>
    <row r="66" spans="2:14" s="143" customFormat="1" ht="18.600000000000001" customHeight="1">
      <c r="B66" s="143" t="str">
        <f>KLGiam!B66</f>
        <v>R1</v>
      </c>
      <c r="C66" s="239"/>
      <c r="D66" s="240" t="s">
        <v>555</v>
      </c>
      <c r="E66" s="240" t="s">
        <v>212</v>
      </c>
      <c r="F66" s="240">
        <v>163</v>
      </c>
      <c r="G66" s="240">
        <v>160</v>
      </c>
      <c r="H66" s="241">
        <f t="shared" si="1"/>
        <v>3</v>
      </c>
      <c r="I66" s="188">
        <f t="shared" si="6"/>
        <v>14727.27</v>
      </c>
      <c r="J66" s="152">
        <f t="shared" si="7"/>
        <v>44182</v>
      </c>
      <c r="K66" s="158"/>
      <c r="L66" s="148" t="s">
        <v>92</v>
      </c>
      <c r="M66" s="148">
        <f t="shared" si="2"/>
        <v>1</v>
      </c>
      <c r="N66" s="151">
        <v>16200</v>
      </c>
    </row>
    <row r="67" spans="2:14" s="143" customFormat="1" ht="18.600000000000001" customHeight="1">
      <c r="B67" s="143" t="str">
        <f>KLGiam!B67</f>
        <v>B16300</v>
      </c>
      <c r="C67" s="239"/>
      <c r="D67" s="240" t="s">
        <v>535</v>
      </c>
      <c r="E67" s="240" t="s">
        <v>212</v>
      </c>
      <c r="F67" s="240">
        <v>163</v>
      </c>
      <c r="G67" s="240">
        <v>160</v>
      </c>
      <c r="H67" s="241">
        <f t="shared" si="1"/>
        <v>3</v>
      </c>
      <c r="I67" s="188">
        <f t="shared" si="6"/>
        <v>31818.18</v>
      </c>
      <c r="J67" s="152">
        <f t="shared" si="7"/>
        <v>95455</v>
      </c>
      <c r="K67" s="158"/>
      <c r="L67" s="148" t="s">
        <v>92</v>
      </c>
      <c r="M67" s="148">
        <f t="shared" si="2"/>
        <v>1</v>
      </c>
      <c r="N67" s="151">
        <v>35000</v>
      </c>
    </row>
    <row r="68" spans="2:14" s="143" customFormat="1" ht="18.600000000000001" customHeight="1">
      <c r="B68" s="143" t="str">
        <f>KLGiam!B68</f>
        <v>CĐTply-X</v>
      </c>
      <c r="C68" s="239">
        <v>9</v>
      </c>
      <c r="D68" s="283" t="s">
        <v>518</v>
      </c>
      <c r="E68" s="284" t="s">
        <v>259</v>
      </c>
      <c r="F68" s="284">
        <v>93</v>
      </c>
      <c r="G68" s="285">
        <v>87</v>
      </c>
      <c r="H68" s="241">
        <f t="shared" si="1"/>
        <v>6</v>
      </c>
      <c r="I68" s="188">
        <f t="shared" si="6"/>
        <v>0</v>
      </c>
      <c r="J68" s="152">
        <f t="shared" si="7"/>
        <v>0</v>
      </c>
      <c r="K68" s="158"/>
      <c r="L68" s="148" t="s">
        <v>92</v>
      </c>
      <c r="M68" s="148">
        <f t="shared" si="2"/>
        <v>1</v>
      </c>
      <c r="N68" s="151">
        <v>0</v>
      </c>
    </row>
    <row r="69" spans="2:14" s="143" customFormat="1" ht="18.600000000000001" customHeight="1">
      <c r="B69" s="143" t="str">
        <f>KLGiam!B69</f>
        <v>MT</v>
      </c>
      <c r="C69" s="239"/>
      <c r="D69" s="240" t="s">
        <v>557</v>
      </c>
      <c r="E69" s="158" t="s">
        <v>190</v>
      </c>
      <c r="F69" s="158">
        <v>186</v>
      </c>
      <c r="G69" s="158">
        <v>174</v>
      </c>
      <c r="H69" s="241">
        <f t="shared" si="1"/>
        <v>12</v>
      </c>
      <c r="I69" s="188">
        <f t="shared" si="6"/>
        <v>24363.64</v>
      </c>
      <c r="J69" s="152">
        <f t="shared" si="7"/>
        <v>292364</v>
      </c>
      <c r="K69" s="158"/>
      <c r="L69" s="148" t="s">
        <v>92</v>
      </c>
      <c r="M69" s="148">
        <f t="shared" si="2"/>
        <v>1</v>
      </c>
      <c r="N69" s="151">
        <v>26800</v>
      </c>
    </row>
    <row r="70" spans="2:14" s="143" customFormat="1" ht="18.600000000000001" customHeight="1">
      <c r="B70" s="143" t="str">
        <f>KLGiam!B70</f>
        <v>GNIU50</v>
      </c>
      <c r="C70" s="239"/>
      <c r="D70" s="240" t="s">
        <v>559</v>
      </c>
      <c r="E70" s="158" t="s">
        <v>190</v>
      </c>
      <c r="F70" s="158">
        <v>19</v>
      </c>
      <c r="G70" s="158">
        <v>13</v>
      </c>
      <c r="H70" s="241">
        <f t="shared" si="1"/>
        <v>6</v>
      </c>
      <c r="I70" s="188">
        <f t="shared" si="6"/>
        <v>328636.36</v>
      </c>
      <c r="J70" s="152">
        <f t="shared" si="7"/>
        <v>1971818</v>
      </c>
      <c r="K70" s="158"/>
      <c r="L70" s="148" t="s">
        <v>92</v>
      </c>
      <c r="M70" s="148">
        <f t="shared" si="2"/>
        <v>1</v>
      </c>
      <c r="N70" s="151">
        <v>361500</v>
      </c>
    </row>
    <row r="71" spans="2:14" s="143" customFormat="1" ht="18.600000000000001" customHeight="1">
      <c r="B71" s="143" t="str">
        <f>KLGiam!B71</f>
        <v>ke279</v>
      </c>
      <c r="C71" s="239">
        <v>10</v>
      </c>
      <c r="D71" s="240" t="s">
        <v>189</v>
      </c>
      <c r="E71" s="158" t="s">
        <v>190</v>
      </c>
      <c r="F71" s="158">
        <v>10</v>
      </c>
      <c r="G71" s="158">
        <v>6</v>
      </c>
      <c r="H71" s="241">
        <f t="shared" si="1"/>
        <v>4</v>
      </c>
      <c r="I71" s="188">
        <f t="shared" si="6"/>
        <v>11090.91</v>
      </c>
      <c r="J71" s="152">
        <f t="shared" si="7"/>
        <v>44364</v>
      </c>
      <c r="K71" s="158"/>
      <c r="L71" s="148" t="s">
        <v>92</v>
      </c>
      <c r="M71" s="148">
        <f t="shared" si="2"/>
        <v>1</v>
      </c>
      <c r="N71" s="151">
        <v>12200</v>
      </c>
    </row>
    <row r="72" spans="2:14" s="143" customFormat="1" ht="18.600000000000001" customHeight="1">
      <c r="B72" s="143" t="str">
        <f>KLGiam!B72</f>
        <v>ke399</v>
      </c>
      <c r="C72" s="239">
        <v>11</v>
      </c>
      <c r="D72" s="240" t="s">
        <v>527</v>
      </c>
      <c r="E72" s="158" t="s">
        <v>190</v>
      </c>
      <c r="F72" s="158">
        <v>4</v>
      </c>
      <c r="G72" s="158">
        <v>2</v>
      </c>
      <c r="H72" s="241">
        <f t="shared" ref="H72:H88" si="8">F72-G72</f>
        <v>2</v>
      </c>
      <c r="I72" s="188">
        <f t="shared" si="6"/>
        <v>15545.45</v>
      </c>
      <c r="J72" s="152">
        <f t="shared" si="7"/>
        <v>31091</v>
      </c>
      <c r="K72" s="158"/>
      <c r="L72" s="148" t="s">
        <v>92</v>
      </c>
      <c r="M72" s="148">
        <f t="shared" ref="M72:M130" si="9">IF(H72&gt;0,1,0)</f>
        <v>1</v>
      </c>
      <c r="N72" s="151">
        <v>17100</v>
      </c>
    </row>
    <row r="73" spans="2:14" s="143" customFormat="1" ht="18.600000000000001" customHeight="1">
      <c r="B73" s="143" t="str">
        <f>KLGiam!B73</f>
        <v>ke419</v>
      </c>
      <c r="C73" s="239">
        <v>12</v>
      </c>
      <c r="D73" s="240" t="s">
        <v>563</v>
      </c>
      <c r="E73" s="158" t="s">
        <v>190</v>
      </c>
      <c r="F73" s="158">
        <v>70</v>
      </c>
      <c r="G73" s="158">
        <v>64</v>
      </c>
      <c r="H73" s="241">
        <f t="shared" si="8"/>
        <v>6</v>
      </c>
      <c r="I73" s="188">
        <f t="shared" si="6"/>
        <v>20000</v>
      </c>
      <c r="J73" s="152">
        <f t="shared" si="7"/>
        <v>120000</v>
      </c>
      <c r="K73" s="158"/>
      <c r="L73" s="148" t="s">
        <v>92</v>
      </c>
      <c r="M73" s="148">
        <f t="shared" si="9"/>
        <v>1</v>
      </c>
      <c r="N73" s="151">
        <v>22000</v>
      </c>
    </row>
    <row r="74" spans="2:14" s="143" customFormat="1" ht="18.600000000000001" customHeight="1">
      <c r="B74" s="143" t="str">
        <f>KLGiam!B74</f>
        <v>ke929</v>
      </c>
      <c r="C74" s="239">
        <v>13</v>
      </c>
      <c r="D74" s="240" t="s">
        <v>565</v>
      </c>
      <c r="E74" s="158" t="s">
        <v>190</v>
      </c>
      <c r="F74" s="158">
        <v>100</v>
      </c>
      <c r="G74" s="158">
        <v>72</v>
      </c>
      <c r="H74" s="241">
        <f t="shared" si="8"/>
        <v>28</v>
      </c>
      <c r="I74" s="188">
        <f t="shared" si="6"/>
        <v>46636.36</v>
      </c>
      <c r="J74" s="152">
        <f t="shared" si="7"/>
        <v>1305818</v>
      </c>
      <c r="K74" s="158"/>
      <c r="L74" s="148" t="s">
        <v>92</v>
      </c>
      <c r="M74" s="148">
        <f t="shared" si="9"/>
        <v>1</v>
      </c>
      <c r="N74" s="151">
        <v>51300</v>
      </c>
    </row>
    <row r="75" spans="2:14" s="143" customFormat="1" ht="18.600000000000001" customHeight="1">
      <c r="B75" s="143" t="str">
        <f>KLGiam!B75</f>
        <v>GIP95-35</v>
      </c>
      <c r="C75" s="239">
        <v>14</v>
      </c>
      <c r="D75" s="240" t="s">
        <v>567</v>
      </c>
      <c r="E75" s="158" t="s">
        <v>190</v>
      </c>
      <c r="F75" s="158">
        <v>353</v>
      </c>
      <c r="G75" s="158">
        <v>318</v>
      </c>
      <c r="H75" s="241">
        <f t="shared" si="8"/>
        <v>35</v>
      </c>
      <c r="I75" s="188">
        <f t="shared" si="6"/>
        <v>44545.45</v>
      </c>
      <c r="J75" s="152">
        <f t="shared" si="7"/>
        <v>1559091</v>
      </c>
      <c r="K75" s="158"/>
      <c r="L75" s="148" t="s">
        <v>92</v>
      </c>
      <c r="M75" s="148">
        <f t="shared" si="9"/>
        <v>1</v>
      </c>
      <c r="N75" s="151">
        <v>49000</v>
      </c>
    </row>
    <row r="76" spans="2:14" s="143" customFormat="1" ht="18.600000000000001" customHeight="1">
      <c r="B76" s="143" t="str">
        <f>KLGiam!B76</f>
        <v>BMoc16300</v>
      </c>
      <c r="C76" s="239">
        <v>15</v>
      </c>
      <c r="D76" s="240" t="s">
        <v>569</v>
      </c>
      <c r="E76" s="158" t="s">
        <v>212</v>
      </c>
      <c r="F76" s="158">
        <v>42</v>
      </c>
      <c r="G76" s="158">
        <v>41</v>
      </c>
      <c r="H76" s="241">
        <f t="shared" si="8"/>
        <v>1</v>
      </c>
      <c r="I76" s="188">
        <f t="shared" si="6"/>
        <v>44000</v>
      </c>
      <c r="J76" s="152">
        <f t="shared" si="7"/>
        <v>44000</v>
      </c>
      <c r="K76" s="158"/>
      <c r="L76" s="148" t="s">
        <v>92</v>
      </c>
      <c r="M76" s="148">
        <f t="shared" si="9"/>
        <v>1</v>
      </c>
      <c r="N76" s="151">
        <v>48400</v>
      </c>
    </row>
    <row r="77" spans="2:14" s="143" customFormat="1" ht="18.600000000000001" customHeight="1">
      <c r="B77" s="143" t="str">
        <f>KLGiam!B77</f>
        <v>OCN</v>
      </c>
      <c r="C77" s="239">
        <v>16</v>
      </c>
      <c r="D77" s="240" t="s">
        <v>571</v>
      </c>
      <c r="E77" s="158" t="s">
        <v>450</v>
      </c>
      <c r="F77" s="158">
        <v>15</v>
      </c>
      <c r="G77" s="158">
        <v>14.5</v>
      </c>
      <c r="H77" s="288">
        <f t="shared" si="8"/>
        <v>0.5</v>
      </c>
      <c r="I77" s="188">
        <f t="shared" si="6"/>
        <v>153727.26999999999</v>
      </c>
      <c r="J77" s="152">
        <f t="shared" si="7"/>
        <v>76864</v>
      </c>
      <c r="K77" s="158"/>
      <c r="L77" s="148" t="s">
        <v>92</v>
      </c>
      <c r="M77" s="148">
        <f t="shared" si="9"/>
        <v>1</v>
      </c>
      <c r="N77" s="151">
        <v>169100</v>
      </c>
    </row>
    <row r="78" spans="2:14" s="143" customFormat="1" ht="18.600000000000001" customHeight="1">
      <c r="B78" s="143" t="str">
        <f>KLGiam!B78</f>
        <v>COS150</v>
      </c>
      <c r="C78" s="239">
        <v>17</v>
      </c>
      <c r="D78" s="240" t="s">
        <v>572</v>
      </c>
      <c r="E78" s="244" t="s">
        <v>190</v>
      </c>
      <c r="F78" s="244">
        <v>15</v>
      </c>
      <c r="G78" s="244">
        <v>14</v>
      </c>
      <c r="H78" s="241">
        <f t="shared" si="8"/>
        <v>1</v>
      </c>
      <c r="I78" s="188">
        <f t="shared" si="6"/>
        <v>105090.91</v>
      </c>
      <c r="J78" s="152">
        <f t="shared" si="7"/>
        <v>105091</v>
      </c>
      <c r="K78" s="158"/>
      <c r="L78" s="148" t="s">
        <v>92</v>
      </c>
      <c r="M78" s="148">
        <f t="shared" si="9"/>
        <v>1</v>
      </c>
      <c r="N78" s="151">
        <v>115600</v>
      </c>
    </row>
    <row r="79" spans="2:14" s="143" customFormat="1" ht="18.600000000000001" hidden="1" customHeight="1">
      <c r="B79" s="143" t="str">
        <f>KLGiam!B79</f>
        <v>KQ4/0</v>
      </c>
      <c r="C79" s="239">
        <v>18</v>
      </c>
      <c r="D79" s="240" t="s">
        <v>574</v>
      </c>
      <c r="E79" s="158" t="s">
        <v>190</v>
      </c>
      <c r="F79" s="158">
        <v>56</v>
      </c>
      <c r="G79" s="158">
        <v>56</v>
      </c>
      <c r="H79" s="241">
        <f t="shared" si="8"/>
        <v>0</v>
      </c>
      <c r="I79" s="188">
        <f t="shared" si="6"/>
        <v>66818.179999999993</v>
      </c>
      <c r="J79" s="152">
        <f t="shared" si="7"/>
        <v>0</v>
      </c>
      <c r="K79" s="158"/>
      <c r="L79" s="148" t="s">
        <v>92</v>
      </c>
      <c r="M79" s="148">
        <f t="shared" si="9"/>
        <v>0</v>
      </c>
      <c r="N79" s="151">
        <v>73500</v>
      </c>
    </row>
    <row r="80" spans="2:14" ht="16.8">
      <c r="B80" s="143" t="str">
        <f>KLGiam!B80</f>
        <v>KH4/0</v>
      </c>
      <c r="C80" s="239">
        <v>19</v>
      </c>
      <c r="D80" s="240" t="s">
        <v>576</v>
      </c>
      <c r="E80" s="158" t="s">
        <v>190</v>
      </c>
      <c r="F80" s="158">
        <v>47</v>
      </c>
      <c r="G80" s="158">
        <v>41</v>
      </c>
      <c r="H80" s="241">
        <f t="shared" si="8"/>
        <v>6</v>
      </c>
      <c r="I80" s="188">
        <f t="shared" si="6"/>
        <v>99636.36</v>
      </c>
      <c r="J80" s="152">
        <f t="shared" si="7"/>
        <v>597818</v>
      </c>
      <c r="K80" s="158"/>
      <c r="M80" s="148">
        <f t="shared" si="9"/>
        <v>1</v>
      </c>
      <c r="N80" s="151">
        <v>109600</v>
      </c>
    </row>
    <row r="81" spans="2:14" ht="16.8" hidden="1">
      <c r="B81" s="143" t="str">
        <f>KLGiam!B81</f>
        <v>CCDQU</v>
      </c>
      <c r="C81" s="239">
        <v>20</v>
      </c>
      <c r="D81" s="240" t="s">
        <v>578</v>
      </c>
      <c r="E81" s="158" t="s">
        <v>212</v>
      </c>
      <c r="F81" s="158">
        <v>56</v>
      </c>
      <c r="G81" s="158">
        <v>56</v>
      </c>
      <c r="H81" s="241">
        <f t="shared" si="8"/>
        <v>0</v>
      </c>
      <c r="I81" s="188">
        <f t="shared" si="6"/>
        <v>129363.64</v>
      </c>
      <c r="J81" s="152">
        <f t="shared" si="7"/>
        <v>0</v>
      </c>
      <c r="K81" s="158"/>
      <c r="M81" s="148">
        <f t="shared" si="9"/>
        <v>0</v>
      </c>
      <c r="N81" s="151">
        <v>142300</v>
      </c>
    </row>
    <row r="82" spans="2:14" ht="16.8">
      <c r="B82" s="143" t="str">
        <f>KLGiam!B82</f>
        <v>Dbsttf</v>
      </c>
      <c r="C82" s="239">
        <v>21</v>
      </c>
      <c r="D82" s="240" t="s">
        <v>580</v>
      </c>
      <c r="E82" s="158" t="s">
        <v>190</v>
      </c>
      <c r="F82" s="158">
        <v>543</v>
      </c>
      <c r="G82" s="158">
        <v>535</v>
      </c>
      <c r="H82" s="241">
        <f t="shared" si="8"/>
        <v>8</v>
      </c>
      <c r="I82" s="188">
        <f t="shared" si="6"/>
        <v>143090.91</v>
      </c>
      <c r="J82" s="152">
        <f t="shared" si="7"/>
        <v>1144727</v>
      </c>
      <c r="K82" s="158"/>
      <c r="M82" s="148">
        <f t="shared" si="9"/>
        <v>1</v>
      </c>
      <c r="N82" s="151">
        <v>157400</v>
      </c>
    </row>
    <row r="83" spans="2:14" ht="16.8">
      <c r="B83" s="143" t="str">
        <f>KLGiam!B83</f>
        <v>KDA50B</v>
      </c>
      <c r="C83" s="239">
        <v>22</v>
      </c>
      <c r="D83" s="240" t="s">
        <v>582</v>
      </c>
      <c r="E83" s="240" t="s">
        <v>309</v>
      </c>
      <c r="F83" s="244">
        <v>0.159</v>
      </c>
      <c r="G83" s="244">
        <v>0.11600000000000001</v>
      </c>
      <c r="H83" s="245">
        <f>F83-G83</f>
        <v>4.2999999999999997E-2</v>
      </c>
      <c r="I83" s="188">
        <f t="shared" si="6"/>
        <v>4365454.55</v>
      </c>
      <c r="J83" s="152">
        <f t="shared" si="7"/>
        <v>187715</v>
      </c>
      <c r="K83" s="158"/>
      <c r="M83" s="148">
        <f t="shared" si="9"/>
        <v>1</v>
      </c>
      <c r="N83" s="151">
        <v>4802000</v>
      </c>
    </row>
    <row r="84" spans="2:14" ht="16.8" hidden="1">
      <c r="B84" s="143" t="str">
        <f>KLGiam!B84</f>
        <v>KDAC120</v>
      </c>
      <c r="C84" s="239">
        <v>23</v>
      </c>
      <c r="D84" s="240" t="s">
        <v>584</v>
      </c>
      <c r="E84" s="240" t="s">
        <v>309</v>
      </c>
      <c r="F84" s="244">
        <v>6.3380000000000001</v>
      </c>
      <c r="G84" s="244">
        <v>6.4647999999999985</v>
      </c>
      <c r="H84" s="245">
        <f t="shared" si="8"/>
        <v>-0.12679999999999847</v>
      </c>
      <c r="I84" s="188">
        <f t="shared" si="6"/>
        <v>7430909.0899999999</v>
      </c>
      <c r="J84" s="152">
        <f t="shared" si="7"/>
        <v>-942239</v>
      </c>
      <c r="K84" s="158"/>
      <c r="M84" s="148">
        <f t="shared" si="9"/>
        <v>0</v>
      </c>
      <c r="N84" s="151">
        <v>8174000</v>
      </c>
    </row>
    <row r="85" spans="2:14" ht="16.8" hidden="1">
      <c r="B85" s="143" t="str">
        <f>KLGiam!B85</f>
        <v>KDA185B</v>
      </c>
      <c r="C85" s="239">
        <v>24</v>
      </c>
      <c r="D85" s="240" t="s">
        <v>586</v>
      </c>
      <c r="E85" s="240" t="s">
        <v>309</v>
      </c>
      <c r="F85" s="244">
        <v>19.013999999999999</v>
      </c>
      <c r="G85" s="244">
        <v>19.394399999999994</v>
      </c>
      <c r="H85" s="245">
        <f t="shared" si="8"/>
        <v>-0.38039999999999452</v>
      </c>
      <c r="I85" s="188">
        <f t="shared" si="6"/>
        <v>9800000</v>
      </c>
      <c r="J85" s="152">
        <f t="shared" si="7"/>
        <v>-3727920</v>
      </c>
      <c r="K85" s="158"/>
      <c r="M85" s="148">
        <f t="shared" si="9"/>
        <v>0</v>
      </c>
      <c r="N85" s="151">
        <v>10780000</v>
      </c>
    </row>
    <row r="86" spans="2:14" ht="16.8">
      <c r="B86" s="143" t="str">
        <f>KLGiam!B86</f>
        <v>LSDD</v>
      </c>
      <c r="C86" s="239">
        <v>25</v>
      </c>
      <c r="D86" s="240" t="s">
        <v>588</v>
      </c>
      <c r="E86" s="240" t="s">
        <v>212</v>
      </c>
      <c r="F86" s="244">
        <v>591</v>
      </c>
      <c r="G86" s="244">
        <v>583</v>
      </c>
      <c r="H86" s="241">
        <f t="shared" si="8"/>
        <v>8</v>
      </c>
      <c r="I86" s="188">
        <f t="shared" si="6"/>
        <v>88000</v>
      </c>
      <c r="J86" s="152">
        <f t="shared" si="7"/>
        <v>704000</v>
      </c>
      <c r="K86" s="158"/>
      <c r="M86" s="148">
        <f t="shared" si="9"/>
        <v>1</v>
      </c>
      <c r="N86" s="151">
        <v>96800</v>
      </c>
    </row>
    <row r="87" spans="2:14" ht="16.8">
      <c r="B87" s="143" t="str">
        <f>KLGiam!B87</f>
        <v>LCHSNply</v>
      </c>
      <c r="C87" s="239">
        <v>26</v>
      </c>
      <c r="D87" s="240" t="s">
        <v>590</v>
      </c>
      <c r="E87" s="240" t="s">
        <v>259</v>
      </c>
      <c r="F87" s="244">
        <v>93</v>
      </c>
      <c r="G87" s="244">
        <v>87</v>
      </c>
      <c r="H87" s="241">
        <f t="shared" si="8"/>
        <v>6</v>
      </c>
      <c r="I87" s="188">
        <f t="shared" si="6"/>
        <v>105909.09</v>
      </c>
      <c r="J87" s="152">
        <f t="shared" si="7"/>
        <v>635455</v>
      </c>
      <c r="K87" s="158"/>
      <c r="M87" s="148">
        <f t="shared" si="9"/>
        <v>1</v>
      </c>
      <c r="N87" s="151">
        <v>116500</v>
      </c>
    </row>
    <row r="88" spans="2:14" ht="16.8">
      <c r="B88" s="143" t="str">
        <f>KLGiam!B88</f>
        <v>LSOC</v>
      </c>
      <c r="C88" s="239">
        <v>27</v>
      </c>
      <c r="D88" s="240" t="s">
        <v>592</v>
      </c>
      <c r="E88" s="240" t="s">
        <v>212</v>
      </c>
      <c r="F88" s="244">
        <v>163</v>
      </c>
      <c r="G88" s="244">
        <v>160</v>
      </c>
      <c r="H88" s="241">
        <f t="shared" si="8"/>
        <v>3</v>
      </c>
      <c r="I88" s="188">
        <f t="shared" si="6"/>
        <v>23363.64</v>
      </c>
      <c r="J88" s="152">
        <f t="shared" si="7"/>
        <v>70091</v>
      </c>
      <c r="K88" s="158"/>
      <c r="M88" s="148">
        <f t="shared" si="9"/>
        <v>1</v>
      </c>
      <c r="N88" s="151">
        <v>25700</v>
      </c>
    </row>
    <row r="89" spans="2:14" ht="16.8">
      <c r="B89" s="143">
        <f>KLGiam!B89</f>
        <v>0</v>
      </c>
      <c r="C89" s="239"/>
      <c r="D89" s="289">
        <f>KLTang!D12</f>
        <v>0</v>
      </c>
      <c r="E89" s="242"/>
      <c r="F89" s="242"/>
      <c r="G89" s="248"/>
      <c r="H89" s="241"/>
      <c r="I89" s="188">
        <f t="shared" si="6"/>
        <v>0</v>
      </c>
      <c r="J89" s="152">
        <f t="shared" si="7"/>
        <v>0</v>
      </c>
      <c r="K89" s="158"/>
      <c r="M89" s="148">
        <v>1</v>
      </c>
      <c r="N89" s="151">
        <v>0</v>
      </c>
    </row>
    <row r="90" spans="2:14" ht="16.8" hidden="1">
      <c r="B90" s="143" t="str">
        <f>KLGiam!B90</f>
        <v>Tháo sứ đứng</v>
      </c>
      <c r="C90" s="150">
        <v>1</v>
      </c>
      <c r="D90" s="144" t="s">
        <v>452</v>
      </c>
      <c r="E90" s="158" t="s">
        <v>453</v>
      </c>
      <c r="F90" s="158">
        <v>190</v>
      </c>
      <c r="G90" s="248">
        <v>193</v>
      </c>
      <c r="H90" s="158">
        <f>IF((F90-G90)&gt;0, (F90-G90),0)</f>
        <v>0</v>
      </c>
      <c r="I90" s="188">
        <f t="shared" si="6"/>
        <v>71272.73</v>
      </c>
      <c r="J90" s="152">
        <f t="shared" si="7"/>
        <v>0</v>
      </c>
      <c r="K90" s="158"/>
      <c r="M90" s="148">
        <f t="shared" si="9"/>
        <v>0</v>
      </c>
      <c r="N90" s="151">
        <v>78400</v>
      </c>
    </row>
    <row r="91" spans="2:14" ht="16.8" hidden="1">
      <c r="B91" s="143" t="str">
        <f>KLGiam!B91</f>
        <v>Tháo sứ đỉnh</v>
      </c>
      <c r="C91" s="150">
        <f>IF(H91&gt;0,(C90+1),C90)</f>
        <v>1</v>
      </c>
      <c r="D91" s="144" t="s">
        <v>454</v>
      </c>
      <c r="E91" s="158" t="s">
        <v>453</v>
      </c>
      <c r="F91" s="158">
        <v>93</v>
      </c>
      <c r="G91" s="248">
        <v>95</v>
      </c>
      <c r="H91" s="158">
        <f t="shared" ref="H91:H130" si="10">IF((F91-G91)&gt;0, (F91-G91),0)</f>
        <v>0</v>
      </c>
      <c r="I91" s="188">
        <f t="shared" si="6"/>
        <v>71272.73</v>
      </c>
      <c r="J91" s="152">
        <f t="shared" si="7"/>
        <v>0</v>
      </c>
      <c r="K91" s="158"/>
      <c r="M91" s="148">
        <f t="shared" si="9"/>
        <v>0</v>
      </c>
      <c r="N91" s="151">
        <v>78400</v>
      </c>
    </row>
    <row r="92" spans="2:14" ht="16.8">
      <c r="B92" s="143" t="str">
        <f>KLGiam!B92</f>
        <v>Tháo bộ đỡ trung hòa</v>
      </c>
      <c r="C92" s="150">
        <f t="shared" ref="C92:C115" si="11">IF(H92&gt;0,(C91+1),C91)</f>
        <v>2</v>
      </c>
      <c r="D92" s="144" t="s">
        <v>455</v>
      </c>
      <c r="E92" s="158" t="s">
        <v>212</v>
      </c>
      <c r="F92" s="158">
        <v>87</v>
      </c>
      <c r="G92" s="248">
        <v>86</v>
      </c>
      <c r="H92" s="158">
        <f t="shared" si="10"/>
        <v>1</v>
      </c>
      <c r="I92" s="188">
        <f t="shared" si="6"/>
        <v>18909.09</v>
      </c>
      <c r="J92" s="152">
        <f t="shared" si="7"/>
        <v>18909</v>
      </c>
      <c r="K92" s="158"/>
      <c r="M92" s="148">
        <f t="shared" si="9"/>
        <v>1</v>
      </c>
      <c r="N92" s="151">
        <v>20800</v>
      </c>
    </row>
    <row r="93" spans="2:14" ht="16.8" hidden="1">
      <c r="B93" s="143" t="str">
        <f>KLGiam!B93</f>
        <v>Tháo sứ treo thủy tinh</v>
      </c>
      <c r="C93" s="150">
        <f t="shared" si="11"/>
        <v>2</v>
      </c>
      <c r="D93" s="144" t="s">
        <v>456</v>
      </c>
      <c r="E93" s="158" t="s">
        <v>212</v>
      </c>
      <c r="F93" s="158">
        <v>30</v>
      </c>
      <c r="G93" s="248">
        <v>30</v>
      </c>
      <c r="H93" s="158">
        <f t="shared" si="10"/>
        <v>0</v>
      </c>
      <c r="I93" s="188">
        <f t="shared" si="6"/>
        <v>64727.27</v>
      </c>
      <c r="J93" s="152">
        <f t="shared" si="7"/>
        <v>0</v>
      </c>
      <c r="K93" s="158"/>
      <c r="M93" s="148">
        <f t="shared" si="9"/>
        <v>0</v>
      </c>
      <c r="N93" s="151">
        <v>71200</v>
      </c>
    </row>
    <row r="94" spans="2:14" ht="16.8" hidden="1">
      <c r="B94" s="143" t="str">
        <f>KLGiam!B94</f>
        <v>Tháo sứ treo Polymer</v>
      </c>
      <c r="C94" s="150">
        <f t="shared" si="11"/>
        <v>2</v>
      </c>
      <c r="D94" s="144" t="s">
        <v>457</v>
      </c>
      <c r="E94" s="158" t="s">
        <v>212</v>
      </c>
      <c r="F94" s="158">
        <v>6</v>
      </c>
      <c r="G94" s="248">
        <v>6</v>
      </c>
      <c r="H94" s="158">
        <f t="shared" si="10"/>
        <v>0</v>
      </c>
      <c r="I94" s="188">
        <f t="shared" si="6"/>
        <v>85909.09</v>
      </c>
      <c r="J94" s="152">
        <f t="shared" si="7"/>
        <v>0</v>
      </c>
      <c r="K94" s="158"/>
      <c r="M94" s="148">
        <f t="shared" si="9"/>
        <v>0</v>
      </c>
      <c r="N94" s="151">
        <v>94500</v>
      </c>
    </row>
    <row r="95" spans="2:14" ht="16.8" hidden="1">
      <c r="B95" s="143" t="str">
        <f>KLGiam!B95</f>
        <v>Tháo R4 sứ</v>
      </c>
      <c r="C95" s="150">
        <f>IF(H95&gt;0,(C93+1),C93)</f>
        <v>2</v>
      </c>
      <c r="D95" s="144" t="s">
        <v>458</v>
      </c>
      <c r="E95" s="158" t="s">
        <v>212</v>
      </c>
      <c r="F95" s="158">
        <v>9</v>
      </c>
      <c r="G95" s="248">
        <v>9</v>
      </c>
      <c r="H95" s="158">
        <f t="shared" si="10"/>
        <v>0</v>
      </c>
      <c r="I95" s="188">
        <f t="shared" si="6"/>
        <v>173545.45</v>
      </c>
      <c r="J95" s="152">
        <f t="shared" si="7"/>
        <v>0</v>
      </c>
      <c r="K95" s="158"/>
      <c r="M95" s="148">
        <f t="shared" si="9"/>
        <v>0</v>
      </c>
      <c r="N95" s="151">
        <v>190900</v>
      </c>
    </row>
    <row r="96" spans="2:14" ht="16.8">
      <c r="B96" s="143" t="str">
        <f>KLGiam!B96</f>
        <v>Tháo R3 sứ</v>
      </c>
      <c r="C96" s="150">
        <f t="shared" si="11"/>
        <v>3</v>
      </c>
      <c r="D96" s="144" t="s">
        <v>459</v>
      </c>
      <c r="E96" s="158" t="s">
        <v>212</v>
      </c>
      <c r="F96" s="158">
        <v>36</v>
      </c>
      <c r="G96" s="248">
        <v>34</v>
      </c>
      <c r="H96" s="158">
        <f t="shared" si="10"/>
        <v>2</v>
      </c>
      <c r="I96" s="188">
        <f t="shared" si="6"/>
        <v>123090.91</v>
      </c>
      <c r="J96" s="152">
        <f t="shared" si="7"/>
        <v>246182</v>
      </c>
      <c r="K96" s="158"/>
      <c r="M96" s="148">
        <f t="shared" si="9"/>
        <v>1</v>
      </c>
      <c r="N96" s="151">
        <v>135400</v>
      </c>
    </row>
    <row r="97" spans="2:14" ht="16.8">
      <c r="B97" s="143" t="str">
        <f>KLGiam!B97</f>
        <v>Tháo hộp Domino</v>
      </c>
      <c r="C97" s="150">
        <f t="shared" si="11"/>
        <v>4</v>
      </c>
      <c r="D97" s="144" t="s">
        <v>460</v>
      </c>
      <c r="E97" s="158" t="s">
        <v>190</v>
      </c>
      <c r="F97" s="158">
        <v>81</v>
      </c>
      <c r="G97" s="248">
        <v>76</v>
      </c>
      <c r="H97" s="158">
        <f t="shared" si="10"/>
        <v>5</v>
      </c>
      <c r="I97" s="188">
        <f t="shared" si="6"/>
        <v>147090.91</v>
      </c>
      <c r="J97" s="152">
        <f t="shared" si="7"/>
        <v>735455</v>
      </c>
      <c r="K97" s="158"/>
      <c r="M97" s="148">
        <f t="shared" si="9"/>
        <v>1</v>
      </c>
      <c r="N97" s="151">
        <v>161800</v>
      </c>
    </row>
    <row r="98" spans="2:14" ht="16.8">
      <c r="B98" s="143" t="str">
        <f>KLGiam!B98</f>
        <v>Tháo dây AC95</v>
      </c>
      <c r="C98" s="150">
        <f t="shared" si="11"/>
        <v>5</v>
      </c>
      <c r="D98" s="144" t="s">
        <v>461</v>
      </c>
      <c r="E98" s="158" t="s">
        <v>309</v>
      </c>
      <c r="F98" s="158">
        <v>19.010000000000002</v>
      </c>
      <c r="G98" s="248">
        <v>0</v>
      </c>
      <c r="H98" s="158">
        <f t="shared" si="10"/>
        <v>19.010000000000002</v>
      </c>
      <c r="I98" s="188">
        <f t="shared" ref="I98:I130" si="12">ROUND(N98/1.1,2)</f>
        <v>9766181.8200000003</v>
      </c>
      <c r="J98" s="152">
        <f t="shared" ref="J98:J130" si="13">ROUND(H98*I98,0)</f>
        <v>185655116</v>
      </c>
      <c r="K98" s="158"/>
      <c r="M98" s="148">
        <f t="shared" si="9"/>
        <v>1</v>
      </c>
      <c r="N98" s="151">
        <v>10742800</v>
      </c>
    </row>
    <row r="99" spans="2:14" ht="16.8" hidden="1">
      <c r="B99" s="143" t="str">
        <f>KLGiam!B99</f>
        <v>Tháo dây AC70</v>
      </c>
      <c r="C99" s="150">
        <f t="shared" si="11"/>
        <v>5</v>
      </c>
      <c r="D99" s="144" t="s">
        <v>462</v>
      </c>
      <c r="E99" s="158" t="s">
        <v>309</v>
      </c>
      <c r="F99" s="158">
        <v>3.15</v>
      </c>
      <c r="G99" s="248">
        <v>19.393999999999998</v>
      </c>
      <c r="H99" s="158">
        <f t="shared" si="10"/>
        <v>0</v>
      </c>
      <c r="I99" s="188">
        <f t="shared" si="12"/>
        <v>7194818.1799999997</v>
      </c>
      <c r="J99" s="152">
        <f t="shared" si="13"/>
        <v>0</v>
      </c>
      <c r="K99" s="158"/>
      <c r="M99" s="148">
        <f t="shared" si="9"/>
        <v>0</v>
      </c>
      <c r="N99" s="151">
        <v>7914300</v>
      </c>
    </row>
    <row r="100" spans="2:14" ht="16.8" hidden="1">
      <c r="B100" s="143" t="str">
        <f>KLGiam!B100</f>
        <v>Tháo dây AC50</v>
      </c>
      <c r="C100" s="150">
        <f t="shared" si="11"/>
        <v>5</v>
      </c>
      <c r="D100" s="144" t="s">
        <v>463</v>
      </c>
      <c r="E100" s="158" t="s">
        <v>309</v>
      </c>
      <c r="F100" s="158">
        <v>0.159</v>
      </c>
      <c r="G100" s="248">
        <v>4.9939999999999998</v>
      </c>
      <c r="H100" s="158">
        <f t="shared" si="10"/>
        <v>0</v>
      </c>
      <c r="I100" s="188">
        <f t="shared" si="12"/>
        <v>3237272.73</v>
      </c>
      <c r="J100" s="152">
        <f t="shared" si="13"/>
        <v>0</v>
      </c>
      <c r="K100" s="158"/>
      <c r="M100" s="148">
        <f t="shared" si="9"/>
        <v>0</v>
      </c>
      <c r="N100" s="151">
        <v>3561000</v>
      </c>
    </row>
    <row r="101" spans="2:14" ht="16.8">
      <c r="B101" s="143" t="str">
        <f>KLGiam!B101</f>
        <v>Số dây Dupplex trên trụ</v>
      </c>
      <c r="C101" s="150">
        <f t="shared" si="11"/>
        <v>6</v>
      </c>
      <c r="D101" s="144" t="s">
        <v>464</v>
      </c>
      <c r="E101" s="158" t="s">
        <v>465</v>
      </c>
      <c r="F101" s="158">
        <v>347</v>
      </c>
      <c r="G101" s="248">
        <v>300</v>
      </c>
      <c r="H101" s="158">
        <f t="shared" si="10"/>
        <v>47</v>
      </c>
      <c r="I101" s="188">
        <f t="shared" si="12"/>
        <v>116818.18</v>
      </c>
      <c r="J101" s="152">
        <f t="shared" si="13"/>
        <v>5490454</v>
      </c>
      <c r="K101" s="158"/>
      <c r="M101" s="148">
        <f t="shared" si="9"/>
        <v>1</v>
      </c>
      <c r="N101" s="151">
        <v>128500</v>
      </c>
    </row>
    <row r="102" spans="2:14" ht="16.8" hidden="1">
      <c r="B102" s="143" t="str">
        <f>KLGiam!B102</f>
        <v>Tháo X-composite 0,8m</v>
      </c>
      <c r="C102" s="150">
        <f t="shared" si="11"/>
        <v>6</v>
      </c>
      <c r="D102" s="144" t="s">
        <v>466</v>
      </c>
      <c r="E102" s="158" t="s">
        <v>212</v>
      </c>
      <c r="F102" s="158">
        <v>10</v>
      </c>
      <c r="G102" s="248">
        <v>10</v>
      </c>
      <c r="H102" s="158">
        <f t="shared" si="10"/>
        <v>0</v>
      </c>
      <c r="I102" s="188">
        <f t="shared" si="12"/>
        <v>193090.91</v>
      </c>
      <c r="J102" s="152">
        <f t="shared" si="13"/>
        <v>0</v>
      </c>
      <c r="K102" s="158"/>
      <c r="M102" s="148">
        <f t="shared" si="9"/>
        <v>0</v>
      </c>
      <c r="N102" s="151">
        <v>212400</v>
      </c>
    </row>
    <row r="103" spans="2:14" ht="16.8">
      <c r="B103" s="143" t="str">
        <f>KLGiam!B103</f>
        <v>Tháo X-1,66Đ</v>
      </c>
      <c r="C103" s="150">
        <f t="shared" si="11"/>
        <v>7</v>
      </c>
      <c r="D103" s="144" t="s">
        <v>467</v>
      </c>
      <c r="E103" s="158" t="s">
        <v>212</v>
      </c>
      <c r="F103" s="158">
        <v>77</v>
      </c>
      <c r="G103" s="248">
        <v>74</v>
      </c>
      <c r="H103" s="158">
        <f t="shared" si="10"/>
        <v>3</v>
      </c>
      <c r="I103" s="188">
        <f t="shared" si="12"/>
        <v>596000</v>
      </c>
      <c r="J103" s="152">
        <f t="shared" si="13"/>
        <v>1788000</v>
      </c>
      <c r="K103" s="158"/>
      <c r="M103" s="148">
        <f t="shared" si="9"/>
        <v>1</v>
      </c>
      <c r="N103" s="151">
        <v>655600</v>
      </c>
    </row>
    <row r="104" spans="2:14" ht="16.8" hidden="1">
      <c r="B104" s="143" t="str">
        <f>KLGiam!B104</f>
        <v>Tháo X-1,66K</v>
      </c>
      <c r="C104" s="150">
        <f t="shared" si="11"/>
        <v>7</v>
      </c>
      <c r="D104" s="144" t="s">
        <v>468</v>
      </c>
      <c r="E104" s="158" t="s">
        <v>212</v>
      </c>
      <c r="F104" s="158">
        <v>8</v>
      </c>
      <c r="G104" s="248">
        <v>9</v>
      </c>
      <c r="H104" s="158">
        <f t="shared" si="10"/>
        <v>0</v>
      </c>
      <c r="I104" s="188">
        <f t="shared" si="12"/>
        <v>806272.73</v>
      </c>
      <c r="J104" s="152">
        <f t="shared" si="13"/>
        <v>0</v>
      </c>
      <c r="K104" s="158"/>
      <c r="M104" s="148">
        <f t="shared" si="9"/>
        <v>0</v>
      </c>
      <c r="N104" s="151">
        <v>886900</v>
      </c>
    </row>
    <row r="105" spans="2:14" ht="16.8" hidden="1">
      <c r="B105" s="143" t="str">
        <f>KLGiam!B105</f>
        <v>Tháo X-2,2K</v>
      </c>
      <c r="C105" s="150">
        <f t="shared" si="11"/>
        <v>7</v>
      </c>
      <c r="D105" s="144" t="s">
        <v>469</v>
      </c>
      <c r="E105" s="158" t="s">
        <v>212</v>
      </c>
      <c r="F105" s="158">
        <v>6</v>
      </c>
      <c r="G105" s="248">
        <v>7</v>
      </c>
      <c r="H105" s="158">
        <f t="shared" si="10"/>
        <v>0</v>
      </c>
      <c r="I105" s="188">
        <f t="shared" si="12"/>
        <v>768090.91</v>
      </c>
      <c r="J105" s="152">
        <f t="shared" si="13"/>
        <v>0</v>
      </c>
      <c r="K105" s="158"/>
      <c r="M105" s="148">
        <f t="shared" si="9"/>
        <v>0</v>
      </c>
      <c r="N105" s="151">
        <v>844900</v>
      </c>
    </row>
    <row r="106" spans="2:14" ht="16.8" hidden="1">
      <c r="B106" s="143" t="str">
        <f>KLGiam!B106</f>
        <v>Tháo bộ chằng xuống</v>
      </c>
      <c r="C106" s="150">
        <f t="shared" si="11"/>
        <v>7</v>
      </c>
      <c r="D106" s="144" t="s">
        <v>112</v>
      </c>
      <c r="E106" s="158" t="s">
        <v>212</v>
      </c>
      <c r="F106" s="158">
        <v>9</v>
      </c>
      <c r="G106" s="248">
        <v>9</v>
      </c>
      <c r="H106" s="158">
        <f t="shared" si="10"/>
        <v>0</v>
      </c>
      <c r="I106" s="188">
        <f t="shared" si="12"/>
        <v>153272.73000000001</v>
      </c>
      <c r="J106" s="152">
        <f t="shared" si="13"/>
        <v>0</v>
      </c>
      <c r="K106" s="158"/>
      <c r="M106" s="148">
        <f t="shared" si="9"/>
        <v>0</v>
      </c>
      <c r="N106" s="151">
        <v>168600</v>
      </c>
    </row>
    <row r="107" spans="2:14" ht="16.8" hidden="1">
      <c r="B107" s="143" t="str">
        <f>KLGiam!B107</f>
        <v>Tháo bộ chằng lệch</v>
      </c>
      <c r="C107" s="150">
        <f t="shared" si="11"/>
        <v>7</v>
      </c>
      <c r="D107" s="144" t="s">
        <v>113</v>
      </c>
      <c r="E107" s="158" t="s">
        <v>212</v>
      </c>
      <c r="F107" s="158">
        <v>3</v>
      </c>
      <c r="G107" s="248">
        <v>3</v>
      </c>
      <c r="H107" s="158">
        <f t="shared" si="10"/>
        <v>0</v>
      </c>
      <c r="I107" s="188">
        <f t="shared" si="12"/>
        <v>153272.73000000001</v>
      </c>
      <c r="J107" s="152">
        <f t="shared" si="13"/>
        <v>0</v>
      </c>
      <c r="K107" s="158"/>
      <c r="M107" s="148">
        <f t="shared" si="9"/>
        <v>0</v>
      </c>
      <c r="N107" s="151">
        <v>168600</v>
      </c>
    </row>
    <row r="108" spans="2:14" ht="16.8" hidden="1">
      <c r="B108" s="143" t="str">
        <f>KLGiam!B108</f>
        <v>Nhổ trụ 12m</v>
      </c>
      <c r="C108" s="150">
        <f t="shared" si="11"/>
        <v>7</v>
      </c>
      <c r="D108" s="144" t="s">
        <v>470</v>
      </c>
      <c r="E108" s="158" t="s">
        <v>197</v>
      </c>
      <c r="F108" s="158">
        <v>20</v>
      </c>
      <c r="G108" s="248">
        <v>20</v>
      </c>
      <c r="H108" s="158">
        <f t="shared" si="10"/>
        <v>0</v>
      </c>
      <c r="I108" s="188">
        <f t="shared" si="12"/>
        <v>668909.09</v>
      </c>
      <c r="J108" s="152">
        <f t="shared" si="13"/>
        <v>0</v>
      </c>
      <c r="K108" s="158"/>
      <c r="M108" s="148">
        <f t="shared" si="9"/>
        <v>0</v>
      </c>
      <c r="N108" s="151">
        <v>735800</v>
      </c>
    </row>
    <row r="109" spans="2:14" ht="16.8">
      <c r="B109" s="143" t="str">
        <f>KLGiam!B109</f>
        <v>Nhổ trụ 8,4m</v>
      </c>
      <c r="C109" s="150">
        <f t="shared" si="11"/>
        <v>8</v>
      </c>
      <c r="D109" s="144" t="s">
        <v>471</v>
      </c>
      <c r="E109" s="158" t="s">
        <v>197</v>
      </c>
      <c r="F109" s="158">
        <v>76</v>
      </c>
      <c r="G109" s="248">
        <v>72</v>
      </c>
      <c r="H109" s="158">
        <f t="shared" si="10"/>
        <v>4</v>
      </c>
      <c r="I109" s="188">
        <f t="shared" si="12"/>
        <v>583727.27</v>
      </c>
      <c r="J109" s="152">
        <f t="shared" si="13"/>
        <v>2334909</v>
      </c>
      <c r="K109" s="158"/>
      <c r="M109" s="148">
        <f t="shared" si="9"/>
        <v>1</v>
      </c>
      <c r="N109" s="151">
        <v>642100</v>
      </c>
    </row>
    <row r="110" spans="2:14" ht="16.8" hidden="1">
      <c r="B110" s="143" t="str">
        <f>KLGiam!B110</f>
        <v>Tháo tủ hạ thế</v>
      </c>
      <c r="C110" s="150">
        <f t="shared" si="11"/>
        <v>8</v>
      </c>
      <c r="D110" s="144" t="s">
        <v>472</v>
      </c>
      <c r="E110" s="158" t="s">
        <v>212</v>
      </c>
      <c r="F110" s="158">
        <v>8</v>
      </c>
      <c r="G110" s="248">
        <v>8</v>
      </c>
      <c r="H110" s="158">
        <f t="shared" si="10"/>
        <v>0</v>
      </c>
      <c r="I110" s="188">
        <f t="shared" si="12"/>
        <v>1831454.55</v>
      </c>
      <c r="J110" s="152">
        <f t="shared" si="13"/>
        <v>0</v>
      </c>
      <c r="K110" s="158"/>
      <c r="M110" s="148">
        <f t="shared" si="9"/>
        <v>0</v>
      </c>
      <c r="N110" s="151">
        <v>2014600</v>
      </c>
    </row>
    <row r="111" spans="2:14" ht="16.8" hidden="1">
      <c r="B111" s="143" t="str">
        <f>KLGiam!B111</f>
        <v>Tháo TBA 1P 75KVA</v>
      </c>
      <c r="C111" s="150">
        <f t="shared" si="11"/>
        <v>8</v>
      </c>
      <c r="D111" s="144" t="s">
        <v>473</v>
      </c>
      <c r="E111" s="158" t="s">
        <v>474</v>
      </c>
      <c r="F111" s="158">
        <v>2</v>
      </c>
      <c r="G111" s="248">
        <v>2</v>
      </c>
      <c r="H111" s="158">
        <f t="shared" si="10"/>
        <v>0</v>
      </c>
      <c r="I111" s="188">
        <f t="shared" si="12"/>
        <v>1298000</v>
      </c>
      <c r="J111" s="152">
        <f t="shared" si="13"/>
        <v>0</v>
      </c>
      <c r="K111" s="158"/>
      <c r="M111" s="148">
        <f t="shared" si="9"/>
        <v>0</v>
      </c>
      <c r="N111" s="151">
        <v>1427800</v>
      </c>
    </row>
    <row r="112" spans="2:14" ht="16.8" hidden="1">
      <c r="B112" s="143" t="str">
        <f>KLGiam!B112</f>
        <v>Tháo TBA 1P: 100KVA</v>
      </c>
      <c r="C112" s="150">
        <f t="shared" si="11"/>
        <v>8</v>
      </c>
      <c r="D112" s="144" t="s">
        <v>475</v>
      </c>
      <c r="E112" s="158" t="s">
        <v>474</v>
      </c>
      <c r="F112" s="158">
        <v>9</v>
      </c>
      <c r="G112" s="248">
        <v>9</v>
      </c>
      <c r="H112" s="158">
        <f t="shared" si="10"/>
        <v>0</v>
      </c>
      <c r="I112" s="188">
        <f t="shared" si="12"/>
        <v>1379636.36</v>
      </c>
      <c r="J112" s="152">
        <f t="shared" si="13"/>
        <v>0</v>
      </c>
      <c r="K112" s="158"/>
      <c r="M112" s="148">
        <f t="shared" si="9"/>
        <v>0</v>
      </c>
      <c r="N112" s="151">
        <v>1517600</v>
      </c>
    </row>
    <row r="113" spans="2:14" ht="16.8" hidden="1">
      <c r="B113" s="143" t="str">
        <f>KLGiam!B113</f>
        <v>Tháo FCO</v>
      </c>
      <c r="C113" s="150">
        <f t="shared" si="11"/>
        <v>8</v>
      </c>
      <c r="D113" s="144" t="s">
        <v>476</v>
      </c>
      <c r="E113" s="158" t="s">
        <v>190</v>
      </c>
      <c r="F113" s="158">
        <v>13</v>
      </c>
      <c r="G113" s="248">
        <v>13</v>
      </c>
      <c r="H113" s="158">
        <f t="shared" si="10"/>
        <v>0</v>
      </c>
      <c r="I113" s="188">
        <f t="shared" si="12"/>
        <v>272363.64</v>
      </c>
      <c r="J113" s="152">
        <f t="shared" si="13"/>
        <v>0</v>
      </c>
      <c r="K113" s="158"/>
      <c r="M113" s="148">
        <f t="shared" si="9"/>
        <v>0</v>
      </c>
      <c r="N113" s="151">
        <v>299600</v>
      </c>
    </row>
    <row r="114" spans="2:14" ht="16.8" hidden="1">
      <c r="B114" s="143" t="str">
        <f>KLGiam!B114</f>
        <v>Tháo LA</v>
      </c>
      <c r="C114" s="150">
        <f t="shared" si="11"/>
        <v>8</v>
      </c>
      <c r="D114" s="144" t="s">
        <v>477</v>
      </c>
      <c r="E114" s="158" t="s">
        <v>190</v>
      </c>
      <c r="F114" s="158">
        <v>10</v>
      </c>
      <c r="G114" s="248">
        <v>10</v>
      </c>
      <c r="H114" s="158">
        <f t="shared" si="10"/>
        <v>0</v>
      </c>
      <c r="I114" s="188">
        <f t="shared" si="12"/>
        <v>102181.82</v>
      </c>
      <c r="J114" s="152">
        <f t="shared" si="13"/>
        <v>0</v>
      </c>
      <c r="K114" s="158"/>
      <c r="M114" s="148">
        <f t="shared" si="9"/>
        <v>0</v>
      </c>
      <c r="N114" s="151">
        <v>112400</v>
      </c>
    </row>
    <row r="115" spans="2:14" ht="16.8">
      <c r="B115" s="143" t="str">
        <f>KLGiam!B115</f>
        <v>Tháo LTD</v>
      </c>
      <c r="C115" s="150">
        <f t="shared" si="11"/>
        <v>9</v>
      </c>
      <c r="D115" s="144" t="s">
        <v>478</v>
      </c>
      <c r="E115" s="158" t="s">
        <v>212</v>
      </c>
      <c r="F115" s="158">
        <v>3</v>
      </c>
      <c r="G115" s="248">
        <v>0</v>
      </c>
      <c r="H115" s="158">
        <f t="shared" si="10"/>
        <v>3</v>
      </c>
      <c r="I115" s="188">
        <f t="shared" si="12"/>
        <v>641000</v>
      </c>
      <c r="J115" s="152">
        <f t="shared" si="13"/>
        <v>1923000</v>
      </c>
      <c r="K115" s="158"/>
      <c r="M115" s="148">
        <f t="shared" si="9"/>
        <v>1</v>
      </c>
      <c r="N115" s="151">
        <v>705100</v>
      </c>
    </row>
    <row r="116" spans="2:14" ht="16.8">
      <c r="B116" s="143">
        <f>KLGiam!B116</f>
        <v>0</v>
      </c>
      <c r="C116" s="239"/>
      <c r="D116" s="289">
        <f>KLTang!D39</f>
        <v>0</v>
      </c>
      <c r="E116" s="242"/>
      <c r="F116" s="242"/>
      <c r="G116" s="248"/>
      <c r="H116" s="158">
        <f t="shared" si="10"/>
        <v>0</v>
      </c>
      <c r="I116" s="188">
        <f t="shared" si="12"/>
        <v>0</v>
      </c>
      <c r="J116" s="152">
        <f t="shared" si="13"/>
        <v>0</v>
      </c>
      <c r="K116" s="158"/>
      <c r="M116" s="148">
        <v>1</v>
      </c>
      <c r="N116" s="151">
        <v>0</v>
      </c>
    </row>
    <row r="117" spans="2:14" ht="16.8">
      <c r="B117" s="143" t="str">
        <f>KLGiam!B117</f>
        <v>Lắp sứ đỉnh</v>
      </c>
      <c r="C117" s="150">
        <f>IF(H117&gt;0,1,0)</f>
        <v>1</v>
      </c>
      <c r="D117" s="144" t="s">
        <v>479</v>
      </c>
      <c r="E117" s="158" t="s">
        <v>453</v>
      </c>
      <c r="F117" s="158">
        <v>1</v>
      </c>
      <c r="G117" s="248">
        <v>0</v>
      </c>
      <c r="H117" s="158">
        <f t="shared" si="10"/>
        <v>1</v>
      </c>
      <c r="I117" s="188">
        <f t="shared" si="12"/>
        <v>87181.82</v>
      </c>
      <c r="J117" s="152">
        <f t="shared" si="13"/>
        <v>87182</v>
      </c>
      <c r="K117" s="158"/>
      <c r="M117" s="148">
        <f t="shared" si="9"/>
        <v>1</v>
      </c>
      <c r="N117" s="151">
        <v>95900</v>
      </c>
    </row>
    <row r="118" spans="2:14" ht="16.8" hidden="1">
      <c r="B118" s="143" t="str">
        <f>KLGiam!B118</f>
        <v>Lắp sứ treo Polymer</v>
      </c>
      <c r="C118" s="150">
        <f>IF(H118&gt;0,1,0)</f>
        <v>0</v>
      </c>
      <c r="D118" s="144" t="s">
        <v>457</v>
      </c>
      <c r="E118" s="158" t="s">
        <v>212</v>
      </c>
      <c r="F118" s="158">
        <v>5</v>
      </c>
      <c r="G118" s="248">
        <v>6</v>
      </c>
      <c r="H118" s="158">
        <f t="shared" si="10"/>
        <v>0</v>
      </c>
      <c r="I118" s="188">
        <f t="shared" si="12"/>
        <v>105000</v>
      </c>
      <c r="J118" s="152">
        <f t="shared" si="13"/>
        <v>0</v>
      </c>
      <c r="K118" s="158"/>
      <c r="M118" s="148">
        <f t="shared" si="9"/>
        <v>0</v>
      </c>
      <c r="N118" s="151">
        <v>115500</v>
      </c>
    </row>
    <row r="119" spans="2:14" ht="16.8" hidden="1">
      <c r="B119" s="143" t="str">
        <f>KLGiam!B119</f>
        <v>Lắp R4 sứ</v>
      </c>
      <c r="C119" s="150">
        <f t="shared" ref="C119:C130" si="14">IF(H119&gt;0,(C118+1),C118)</f>
        <v>0</v>
      </c>
      <c r="D119" s="144" t="s">
        <v>480</v>
      </c>
      <c r="E119" s="158" t="s">
        <v>212</v>
      </c>
      <c r="F119" s="158">
        <v>9</v>
      </c>
      <c r="G119" s="248">
        <v>9</v>
      </c>
      <c r="H119" s="158">
        <f t="shared" si="10"/>
        <v>0</v>
      </c>
      <c r="I119" s="188">
        <f t="shared" si="12"/>
        <v>214272.73</v>
      </c>
      <c r="J119" s="152">
        <f t="shared" si="13"/>
        <v>0</v>
      </c>
      <c r="K119" s="158"/>
      <c r="M119" s="148">
        <f t="shared" si="9"/>
        <v>0</v>
      </c>
      <c r="N119" s="151">
        <v>235700</v>
      </c>
    </row>
    <row r="120" spans="2:14" ht="16.8">
      <c r="B120" s="143" t="str">
        <f>KLGiam!B120</f>
        <v>Lắp R3 sứ</v>
      </c>
      <c r="C120" s="150">
        <f t="shared" si="14"/>
        <v>1</v>
      </c>
      <c r="D120" s="144" t="s">
        <v>481</v>
      </c>
      <c r="E120" s="158" t="s">
        <v>212</v>
      </c>
      <c r="F120" s="158">
        <v>36</v>
      </c>
      <c r="G120" s="248">
        <v>34</v>
      </c>
      <c r="H120" s="158">
        <f t="shared" si="10"/>
        <v>2</v>
      </c>
      <c r="I120" s="188">
        <f t="shared" si="12"/>
        <v>214272.73</v>
      </c>
      <c r="J120" s="152">
        <f t="shared" si="13"/>
        <v>428545</v>
      </c>
      <c r="K120" s="158"/>
      <c r="M120" s="148">
        <f t="shared" si="9"/>
        <v>1</v>
      </c>
      <c r="N120" s="151">
        <v>235700</v>
      </c>
    </row>
    <row r="121" spans="2:14" ht="16.8">
      <c r="B121" s="143" t="str">
        <f>KLGiam!B121</f>
        <v>Lắp hộp Domino</v>
      </c>
      <c r="C121" s="150">
        <f t="shared" si="14"/>
        <v>2</v>
      </c>
      <c r="D121" s="144" t="s">
        <v>126</v>
      </c>
      <c r="E121" s="158" t="s">
        <v>190</v>
      </c>
      <c r="F121" s="158">
        <v>81</v>
      </c>
      <c r="G121" s="248">
        <v>76</v>
      </c>
      <c r="H121" s="158">
        <f t="shared" si="10"/>
        <v>5</v>
      </c>
      <c r="I121" s="188">
        <f t="shared" si="12"/>
        <v>220636.36</v>
      </c>
      <c r="J121" s="152">
        <f t="shared" si="13"/>
        <v>1103182</v>
      </c>
      <c r="K121" s="158"/>
      <c r="M121" s="148">
        <f t="shared" si="9"/>
        <v>1</v>
      </c>
      <c r="N121" s="151">
        <v>242700</v>
      </c>
    </row>
    <row r="122" spans="2:14" ht="16.8">
      <c r="B122" s="143" t="str">
        <f>KLGiam!B122</f>
        <v>Số dây Dupplex trên trụ</v>
      </c>
      <c r="C122" s="150">
        <f t="shared" si="14"/>
        <v>3</v>
      </c>
      <c r="D122" s="144" t="s">
        <v>464</v>
      </c>
      <c r="E122" s="158" t="s">
        <v>465</v>
      </c>
      <c r="F122" s="158">
        <v>347</v>
      </c>
      <c r="G122" s="248">
        <v>300</v>
      </c>
      <c r="H122" s="158">
        <f t="shared" si="10"/>
        <v>47</v>
      </c>
      <c r="I122" s="188">
        <f t="shared" si="12"/>
        <v>116818.18</v>
      </c>
      <c r="J122" s="152">
        <f t="shared" si="13"/>
        <v>5490454</v>
      </c>
      <c r="K122" s="158"/>
      <c r="M122" s="148">
        <f t="shared" si="9"/>
        <v>1</v>
      </c>
      <c r="N122" s="151">
        <v>128500</v>
      </c>
    </row>
    <row r="123" spans="2:14" ht="16.8">
      <c r="B123" s="143" t="str">
        <f>KLGiam!B123</f>
        <v>Lắp X-composite 0,8m</v>
      </c>
      <c r="C123" s="150">
        <f t="shared" si="14"/>
        <v>4</v>
      </c>
      <c r="D123" s="144" t="s">
        <v>482</v>
      </c>
      <c r="E123" s="158" t="s">
        <v>212</v>
      </c>
      <c r="F123" s="158">
        <v>10</v>
      </c>
      <c r="G123" s="248">
        <v>8</v>
      </c>
      <c r="H123" s="158">
        <f t="shared" si="10"/>
        <v>2</v>
      </c>
      <c r="I123" s="188">
        <f t="shared" si="12"/>
        <v>160909.09</v>
      </c>
      <c r="J123" s="152">
        <f t="shared" si="13"/>
        <v>321818</v>
      </c>
      <c r="K123" s="158"/>
      <c r="M123" s="148">
        <f t="shared" si="9"/>
        <v>1</v>
      </c>
      <c r="N123" s="151">
        <v>177000</v>
      </c>
    </row>
    <row r="124" spans="2:14" ht="16.8" hidden="1">
      <c r="B124" s="143" t="str">
        <f>KLGiam!B124</f>
        <v>Lắp X-2,2K</v>
      </c>
      <c r="C124" s="150">
        <f t="shared" si="14"/>
        <v>4</v>
      </c>
      <c r="D124" s="144" t="s">
        <v>483</v>
      </c>
      <c r="E124" s="158" t="s">
        <v>212</v>
      </c>
      <c r="F124" s="158">
        <v>2</v>
      </c>
      <c r="G124" s="248">
        <v>2</v>
      </c>
      <c r="H124" s="158">
        <f t="shared" si="10"/>
        <v>0</v>
      </c>
      <c r="I124" s="188">
        <f t="shared" si="12"/>
        <v>938727.27</v>
      </c>
      <c r="J124" s="152">
        <f t="shared" si="13"/>
        <v>0</v>
      </c>
      <c r="K124" s="158"/>
      <c r="M124" s="148">
        <f t="shared" si="9"/>
        <v>0</v>
      </c>
      <c r="N124" s="151">
        <v>1032600</v>
      </c>
    </row>
    <row r="125" spans="2:14" ht="16.8" hidden="1">
      <c r="B125" s="143" t="str">
        <f>KLGiam!B125</f>
        <v>Tháo tủ hạ thế</v>
      </c>
      <c r="C125" s="150">
        <f t="shared" si="14"/>
        <v>4</v>
      </c>
      <c r="D125" s="144" t="s">
        <v>472</v>
      </c>
      <c r="E125" s="158" t="s">
        <v>212</v>
      </c>
      <c r="F125" s="158">
        <v>8</v>
      </c>
      <c r="G125" s="248">
        <v>8</v>
      </c>
      <c r="H125" s="158">
        <f t="shared" si="10"/>
        <v>0</v>
      </c>
      <c r="I125" s="188">
        <f t="shared" si="12"/>
        <v>1831454.55</v>
      </c>
      <c r="J125" s="152">
        <f t="shared" si="13"/>
        <v>0</v>
      </c>
      <c r="K125" s="158"/>
      <c r="M125" s="148">
        <f t="shared" si="9"/>
        <v>0</v>
      </c>
      <c r="N125" s="151">
        <v>2014600</v>
      </c>
    </row>
    <row r="126" spans="2:14" ht="16.8" hidden="1">
      <c r="B126" s="143" t="str">
        <f>KLGiam!B126</f>
        <v>Lắp TBA 1P 75KVA</v>
      </c>
      <c r="C126" s="150">
        <f t="shared" si="14"/>
        <v>4</v>
      </c>
      <c r="D126" s="144" t="s">
        <v>484</v>
      </c>
      <c r="E126" s="158" t="s">
        <v>474</v>
      </c>
      <c r="F126" s="158">
        <v>2</v>
      </c>
      <c r="G126" s="248">
        <v>2</v>
      </c>
      <c r="H126" s="158">
        <f t="shared" si="10"/>
        <v>0</v>
      </c>
      <c r="I126" s="188">
        <f t="shared" si="12"/>
        <v>1586454.55</v>
      </c>
      <c r="J126" s="152">
        <f t="shared" si="13"/>
        <v>0</v>
      </c>
      <c r="K126" s="158"/>
      <c r="M126" s="148">
        <f t="shared" si="9"/>
        <v>0</v>
      </c>
      <c r="N126" s="151">
        <v>1745100</v>
      </c>
    </row>
    <row r="127" spans="2:14" ht="16.8" hidden="1">
      <c r="B127" s="143" t="str">
        <f>KLGiam!B127</f>
        <v>Lắp TBA 1P 100KVA</v>
      </c>
      <c r="C127" s="150">
        <f t="shared" si="14"/>
        <v>4</v>
      </c>
      <c r="D127" s="144" t="s">
        <v>485</v>
      </c>
      <c r="E127" s="158" t="s">
        <v>474</v>
      </c>
      <c r="F127" s="158">
        <v>9</v>
      </c>
      <c r="G127" s="248">
        <v>9</v>
      </c>
      <c r="H127" s="158">
        <f t="shared" si="10"/>
        <v>0</v>
      </c>
      <c r="I127" s="188">
        <f t="shared" si="12"/>
        <v>1379636.36</v>
      </c>
      <c r="J127" s="152">
        <f t="shared" si="13"/>
        <v>0</v>
      </c>
      <c r="K127" s="158"/>
      <c r="M127" s="148">
        <f t="shared" si="9"/>
        <v>0</v>
      </c>
      <c r="N127" s="151">
        <v>1517600</v>
      </c>
    </row>
    <row r="128" spans="2:14" ht="16.8" hidden="1">
      <c r="B128" s="143" t="str">
        <f>KLGiam!B128</f>
        <v>Lắp FCO</v>
      </c>
      <c r="C128" s="150">
        <f t="shared" si="14"/>
        <v>4</v>
      </c>
      <c r="D128" s="144" t="s">
        <v>486</v>
      </c>
      <c r="E128" s="158" t="s">
        <v>190</v>
      </c>
      <c r="F128" s="158">
        <v>13</v>
      </c>
      <c r="G128" s="248">
        <v>13</v>
      </c>
      <c r="H128" s="158">
        <f t="shared" si="10"/>
        <v>0</v>
      </c>
      <c r="I128" s="188">
        <f t="shared" si="12"/>
        <v>336272.73</v>
      </c>
      <c r="J128" s="152">
        <f t="shared" si="13"/>
        <v>0</v>
      </c>
      <c r="K128" s="158"/>
      <c r="M128" s="148">
        <f t="shared" si="9"/>
        <v>0</v>
      </c>
      <c r="N128" s="151">
        <v>369900</v>
      </c>
    </row>
    <row r="129" spans="2:14" ht="16.8" hidden="1">
      <c r="B129" s="143" t="str">
        <f>KLGiam!B129</f>
        <v>Lắp LA</v>
      </c>
      <c r="C129" s="150">
        <f t="shared" si="14"/>
        <v>4</v>
      </c>
      <c r="D129" s="144" t="s">
        <v>487</v>
      </c>
      <c r="E129" s="158" t="s">
        <v>190</v>
      </c>
      <c r="F129" s="158">
        <v>10</v>
      </c>
      <c r="G129" s="248">
        <v>10</v>
      </c>
      <c r="H129" s="158">
        <f t="shared" si="10"/>
        <v>0</v>
      </c>
      <c r="I129" s="188">
        <f t="shared" si="12"/>
        <v>126090.91</v>
      </c>
      <c r="J129" s="152">
        <f t="shared" si="13"/>
        <v>0</v>
      </c>
      <c r="K129" s="158"/>
      <c r="M129" s="148">
        <f t="shared" si="9"/>
        <v>0</v>
      </c>
      <c r="N129" s="151">
        <v>138700</v>
      </c>
    </row>
    <row r="130" spans="2:14" ht="16.8">
      <c r="B130" s="143" t="str">
        <f>KLGiam!B130</f>
        <v>Lắp LTD</v>
      </c>
      <c r="C130" s="150">
        <f t="shared" si="14"/>
        <v>5</v>
      </c>
      <c r="D130" s="144" t="s">
        <v>488</v>
      </c>
      <c r="E130" s="158" t="s">
        <v>212</v>
      </c>
      <c r="F130" s="158">
        <v>3</v>
      </c>
      <c r="G130" s="290">
        <v>0</v>
      </c>
      <c r="H130" s="158">
        <f t="shared" si="10"/>
        <v>3</v>
      </c>
      <c r="I130" s="188">
        <f t="shared" si="12"/>
        <v>1043909.09</v>
      </c>
      <c r="J130" s="152">
        <f t="shared" si="13"/>
        <v>3131727</v>
      </c>
      <c r="K130" s="158"/>
      <c r="M130" s="148">
        <f t="shared" si="9"/>
        <v>1</v>
      </c>
      <c r="N130" s="151">
        <v>1148300</v>
      </c>
    </row>
    <row r="132" spans="2:14" ht="16.8">
      <c r="C132" s="170" t="s">
        <v>47</v>
      </c>
      <c r="D132" s="170"/>
      <c r="E132" s="171"/>
      <c r="F132" s="170" t="s">
        <v>49</v>
      </c>
      <c r="G132" s="170"/>
      <c r="H132" s="170"/>
      <c r="I132" s="170"/>
      <c r="J132" s="170"/>
    </row>
    <row r="133" spans="2:14" ht="16.8">
      <c r="C133" s="170" t="s">
        <v>50</v>
      </c>
      <c r="D133" s="170"/>
      <c r="E133" s="171"/>
      <c r="F133" s="170" t="s">
        <v>51</v>
      </c>
      <c r="G133" s="170"/>
      <c r="H133" s="170"/>
      <c r="I133" s="170"/>
      <c r="J133" s="170"/>
    </row>
    <row r="134" spans="2:14" ht="16.8">
      <c r="C134" s="170" t="s">
        <v>52</v>
      </c>
      <c r="D134" s="170"/>
      <c r="E134" s="174"/>
      <c r="F134" s="184" t="s">
        <v>134</v>
      </c>
      <c r="G134" s="184"/>
      <c r="H134" s="184" t="s">
        <v>52</v>
      </c>
      <c r="I134" s="184"/>
      <c r="J134" s="184"/>
    </row>
    <row r="135" spans="2:14" ht="16.8">
      <c r="C135" s="173"/>
      <c r="D135" s="173"/>
      <c r="E135" s="175"/>
      <c r="F135" s="173"/>
      <c r="G135" s="176"/>
      <c r="H135" s="176"/>
      <c r="I135" s="172"/>
      <c r="J135" s="172"/>
    </row>
    <row r="136" spans="2:14" ht="16.8">
      <c r="C136" s="173"/>
      <c r="D136" s="173"/>
      <c r="E136" s="175"/>
      <c r="F136" s="173"/>
      <c r="G136" s="176"/>
      <c r="H136" s="176"/>
      <c r="I136" s="172"/>
      <c r="J136" s="172"/>
    </row>
    <row r="137" spans="2:14" ht="16.8">
      <c r="C137" s="173"/>
      <c r="D137" s="173"/>
      <c r="E137" s="175"/>
      <c r="F137" s="173"/>
      <c r="G137" s="176"/>
      <c r="H137" s="176"/>
      <c r="I137" s="172"/>
      <c r="J137" s="172"/>
    </row>
    <row r="138" spans="2:14" ht="16.8">
      <c r="C138" s="173"/>
      <c r="D138" s="173"/>
      <c r="E138" s="175"/>
      <c r="F138" s="173"/>
      <c r="G138" s="176"/>
      <c r="H138" s="176"/>
      <c r="I138" s="172"/>
      <c r="J138" s="172"/>
    </row>
    <row r="139" spans="2:14" ht="16.8">
      <c r="C139" s="170" t="s">
        <v>53</v>
      </c>
      <c r="D139" s="170"/>
      <c r="E139" s="174"/>
      <c r="F139" s="184" t="s">
        <v>46</v>
      </c>
      <c r="G139" s="184"/>
      <c r="H139" s="184" t="s">
        <v>54</v>
      </c>
      <c r="I139" s="184"/>
      <c r="J139" s="184"/>
    </row>
    <row r="140" spans="2:14" ht="16.8">
      <c r="C140" s="177"/>
      <c r="D140" s="178"/>
      <c r="E140" s="179"/>
      <c r="F140" s="178"/>
      <c r="G140" s="178"/>
      <c r="H140" s="178"/>
      <c r="I140" s="178"/>
      <c r="J140" s="178"/>
    </row>
    <row r="141" spans="2:14" ht="16.8">
      <c r="C141" s="170" t="s">
        <v>48</v>
      </c>
      <c r="D141" s="170"/>
      <c r="E141" s="170"/>
      <c r="F141" s="170"/>
      <c r="G141" s="180" t="s">
        <v>135</v>
      </c>
      <c r="H141" s="180"/>
      <c r="I141" s="180"/>
      <c r="J141" s="180"/>
    </row>
    <row r="142" spans="2:14" ht="16.8">
      <c r="C142" s="181" t="s">
        <v>136</v>
      </c>
      <c r="D142" s="182"/>
      <c r="E142" s="182"/>
      <c r="F142" s="182"/>
      <c r="G142" s="182" t="s">
        <v>137</v>
      </c>
      <c r="H142" s="182"/>
      <c r="I142" s="182"/>
      <c r="J142" s="182"/>
    </row>
    <row r="143" spans="2:14" ht="16.8">
      <c r="C143" s="183" t="s">
        <v>138</v>
      </c>
      <c r="D143" s="183"/>
      <c r="E143" s="183"/>
      <c r="F143" s="183"/>
      <c r="G143" s="184" t="s">
        <v>52</v>
      </c>
      <c r="H143" s="184"/>
      <c r="I143" s="184"/>
      <c r="J143" s="184"/>
    </row>
    <row r="144" spans="2:14" ht="16.8">
      <c r="C144" s="185"/>
      <c r="D144" s="186"/>
      <c r="E144" s="172"/>
      <c r="F144" s="172"/>
      <c r="G144" s="172"/>
      <c r="H144" s="175"/>
      <c r="I144" s="175"/>
      <c r="J144" s="175"/>
    </row>
    <row r="145" spans="3:10" ht="16.8">
      <c r="C145" s="185"/>
      <c r="D145" s="186"/>
      <c r="E145" s="172"/>
      <c r="F145" s="172"/>
      <c r="G145" s="172"/>
      <c r="H145" s="175"/>
      <c r="I145" s="175"/>
      <c r="J145" s="175"/>
    </row>
    <row r="146" spans="3:10" ht="16.8">
      <c r="C146" s="185"/>
      <c r="D146" s="186"/>
      <c r="E146" s="172"/>
      <c r="F146" s="172"/>
      <c r="G146" s="172"/>
      <c r="H146" s="179"/>
      <c r="I146" s="178"/>
      <c r="J146" s="173"/>
    </row>
    <row r="147" spans="3:10" ht="16.8">
      <c r="C147" s="185"/>
      <c r="D147" s="186"/>
      <c r="E147" s="172"/>
      <c r="F147" s="172"/>
      <c r="G147" s="172"/>
      <c r="H147" s="179"/>
      <c r="I147" s="178"/>
      <c r="J147" s="173"/>
    </row>
    <row r="148" spans="3:10" ht="16.8">
      <c r="C148" s="183" t="s">
        <v>139</v>
      </c>
      <c r="D148" s="183"/>
      <c r="E148" s="183"/>
      <c r="F148" s="183"/>
      <c r="G148" s="184" t="s">
        <v>58</v>
      </c>
      <c r="H148" s="184"/>
      <c r="I148" s="184"/>
      <c r="J148" s="184"/>
    </row>
  </sheetData>
  <autoFilter ref="A5:N130" xr:uid="{00000000-0009-0000-0000-000013000000}">
    <filterColumn colId="12">
      <filters>
        <filter val="1"/>
      </filters>
    </filterColumn>
  </autoFilter>
  <mergeCells count="28">
    <mergeCell ref="C143:F143"/>
    <mergeCell ref="G143:J143"/>
    <mergeCell ref="C148:F148"/>
    <mergeCell ref="G148:J148"/>
    <mergeCell ref="C139:D139"/>
    <mergeCell ref="F139:G139"/>
    <mergeCell ref="H139:J139"/>
    <mergeCell ref="C141:F141"/>
    <mergeCell ref="G141:J141"/>
    <mergeCell ref="C142:F142"/>
    <mergeCell ref="G142:J142"/>
    <mergeCell ref="C132:D132"/>
    <mergeCell ref="F132:J132"/>
    <mergeCell ref="C133:D133"/>
    <mergeCell ref="F133:J133"/>
    <mergeCell ref="C134:D134"/>
    <mergeCell ref="F134:G134"/>
    <mergeCell ref="H134:J134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75" bottom="0.31" header="0.26" footer="0.02"/>
  <pageSetup paperSize="9" scale="87" orientation="landscape" blackAndWhite="1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BA66-150C-4204-927E-AC199BD432C3}">
  <sheetPr>
    <tabColor rgb="FF0000FF"/>
  </sheetPr>
  <dimension ref="A1:O32"/>
  <sheetViews>
    <sheetView workbookViewId="0">
      <selection activeCell="A2" sqref="A2:G2"/>
    </sheetView>
  </sheetViews>
  <sheetFormatPr defaultColWidth="11" defaultRowHeight="13.2"/>
  <cols>
    <col min="1" max="1" width="6.33203125" style="328" customWidth="1"/>
    <col min="2" max="2" width="34.109375" style="294" customWidth="1"/>
    <col min="3" max="3" width="21.88671875" style="294" customWidth="1"/>
    <col min="4" max="4" width="21.5546875" style="294" customWidth="1"/>
    <col min="5" max="6" width="20" style="294" customWidth="1"/>
    <col min="7" max="7" width="21.5546875" style="294" customWidth="1"/>
    <col min="8" max="8" width="11" style="294"/>
    <col min="9" max="9" width="14" style="294" customWidth="1"/>
    <col min="10" max="258" width="11" style="294"/>
    <col min="259" max="259" width="6.33203125" style="294" customWidth="1"/>
    <col min="260" max="260" width="29.5546875" style="294" customWidth="1"/>
    <col min="261" max="261" width="17" style="294" customWidth="1"/>
    <col min="262" max="262" width="22.109375" style="294" customWidth="1"/>
    <col min="263" max="263" width="16.44140625" style="294" customWidth="1"/>
    <col min="264" max="514" width="11" style="294"/>
    <col min="515" max="515" width="6.33203125" style="294" customWidth="1"/>
    <col min="516" max="516" width="29.5546875" style="294" customWidth="1"/>
    <col min="517" max="517" width="17" style="294" customWidth="1"/>
    <col min="518" max="518" width="22.109375" style="294" customWidth="1"/>
    <col min="519" max="519" width="16.44140625" style="294" customWidth="1"/>
    <col min="520" max="770" width="11" style="294"/>
    <col min="771" max="771" width="6.33203125" style="294" customWidth="1"/>
    <col min="772" max="772" width="29.5546875" style="294" customWidth="1"/>
    <col min="773" max="773" width="17" style="294" customWidth="1"/>
    <col min="774" max="774" width="22.109375" style="294" customWidth="1"/>
    <col min="775" max="775" width="16.44140625" style="294" customWidth="1"/>
    <col min="776" max="1026" width="11" style="294"/>
    <col min="1027" max="1027" width="6.33203125" style="294" customWidth="1"/>
    <col min="1028" max="1028" width="29.5546875" style="294" customWidth="1"/>
    <col min="1029" max="1029" width="17" style="294" customWidth="1"/>
    <col min="1030" max="1030" width="22.109375" style="294" customWidth="1"/>
    <col min="1031" max="1031" width="16.44140625" style="294" customWidth="1"/>
    <col min="1032" max="1282" width="11" style="294"/>
    <col min="1283" max="1283" width="6.33203125" style="294" customWidth="1"/>
    <col min="1284" max="1284" width="29.5546875" style="294" customWidth="1"/>
    <col min="1285" max="1285" width="17" style="294" customWidth="1"/>
    <col min="1286" max="1286" width="22.109375" style="294" customWidth="1"/>
    <col min="1287" max="1287" width="16.44140625" style="294" customWidth="1"/>
    <col min="1288" max="1538" width="11" style="294"/>
    <col min="1539" max="1539" width="6.33203125" style="294" customWidth="1"/>
    <col min="1540" max="1540" width="29.5546875" style="294" customWidth="1"/>
    <col min="1541" max="1541" width="17" style="294" customWidth="1"/>
    <col min="1542" max="1542" width="22.109375" style="294" customWidth="1"/>
    <col min="1543" max="1543" width="16.44140625" style="294" customWidth="1"/>
    <col min="1544" max="1794" width="11" style="294"/>
    <col min="1795" max="1795" width="6.33203125" style="294" customWidth="1"/>
    <col min="1796" max="1796" width="29.5546875" style="294" customWidth="1"/>
    <col min="1797" max="1797" width="17" style="294" customWidth="1"/>
    <col min="1798" max="1798" width="22.109375" style="294" customWidth="1"/>
    <col min="1799" max="1799" width="16.44140625" style="294" customWidth="1"/>
    <col min="1800" max="2050" width="11" style="294"/>
    <col min="2051" max="2051" width="6.33203125" style="294" customWidth="1"/>
    <col min="2052" max="2052" width="29.5546875" style="294" customWidth="1"/>
    <col min="2053" max="2053" width="17" style="294" customWidth="1"/>
    <col min="2054" max="2054" width="22.109375" style="294" customWidth="1"/>
    <col min="2055" max="2055" width="16.44140625" style="294" customWidth="1"/>
    <col min="2056" max="2306" width="11" style="294"/>
    <col min="2307" max="2307" width="6.33203125" style="294" customWidth="1"/>
    <col min="2308" max="2308" width="29.5546875" style="294" customWidth="1"/>
    <col min="2309" max="2309" width="17" style="294" customWidth="1"/>
    <col min="2310" max="2310" width="22.109375" style="294" customWidth="1"/>
    <col min="2311" max="2311" width="16.44140625" style="294" customWidth="1"/>
    <col min="2312" max="2562" width="11" style="294"/>
    <col min="2563" max="2563" width="6.33203125" style="294" customWidth="1"/>
    <col min="2564" max="2564" width="29.5546875" style="294" customWidth="1"/>
    <col min="2565" max="2565" width="17" style="294" customWidth="1"/>
    <col min="2566" max="2566" width="22.109375" style="294" customWidth="1"/>
    <col min="2567" max="2567" width="16.44140625" style="294" customWidth="1"/>
    <col min="2568" max="2818" width="11" style="294"/>
    <col min="2819" max="2819" width="6.33203125" style="294" customWidth="1"/>
    <col min="2820" max="2820" width="29.5546875" style="294" customWidth="1"/>
    <col min="2821" max="2821" width="17" style="294" customWidth="1"/>
    <col min="2822" max="2822" width="22.109375" style="294" customWidth="1"/>
    <col min="2823" max="2823" width="16.44140625" style="294" customWidth="1"/>
    <col min="2824" max="3074" width="11" style="294"/>
    <col min="3075" max="3075" width="6.33203125" style="294" customWidth="1"/>
    <col min="3076" max="3076" width="29.5546875" style="294" customWidth="1"/>
    <col min="3077" max="3077" width="17" style="294" customWidth="1"/>
    <col min="3078" max="3078" width="22.109375" style="294" customWidth="1"/>
    <col min="3079" max="3079" width="16.44140625" style="294" customWidth="1"/>
    <col min="3080" max="3330" width="11" style="294"/>
    <col min="3331" max="3331" width="6.33203125" style="294" customWidth="1"/>
    <col min="3332" max="3332" width="29.5546875" style="294" customWidth="1"/>
    <col min="3333" max="3333" width="17" style="294" customWidth="1"/>
    <col min="3334" max="3334" width="22.109375" style="294" customWidth="1"/>
    <col min="3335" max="3335" width="16.44140625" style="294" customWidth="1"/>
    <col min="3336" max="3586" width="11" style="294"/>
    <col min="3587" max="3587" width="6.33203125" style="294" customWidth="1"/>
    <col min="3588" max="3588" width="29.5546875" style="294" customWidth="1"/>
    <col min="3589" max="3589" width="17" style="294" customWidth="1"/>
    <col min="3590" max="3590" width="22.109375" style="294" customWidth="1"/>
    <col min="3591" max="3591" width="16.44140625" style="294" customWidth="1"/>
    <col min="3592" max="3842" width="11" style="294"/>
    <col min="3843" max="3843" width="6.33203125" style="294" customWidth="1"/>
    <col min="3844" max="3844" width="29.5546875" style="294" customWidth="1"/>
    <col min="3845" max="3845" width="17" style="294" customWidth="1"/>
    <col min="3846" max="3846" width="22.109375" style="294" customWidth="1"/>
    <col min="3847" max="3847" width="16.44140625" style="294" customWidth="1"/>
    <col min="3848" max="4098" width="11" style="294"/>
    <col min="4099" max="4099" width="6.33203125" style="294" customWidth="1"/>
    <col min="4100" max="4100" width="29.5546875" style="294" customWidth="1"/>
    <col min="4101" max="4101" width="17" style="294" customWidth="1"/>
    <col min="4102" max="4102" width="22.109375" style="294" customWidth="1"/>
    <col min="4103" max="4103" width="16.44140625" style="294" customWidth="1"/>
    <col min="4104" max="4354" width="11" style="294"/>
    <col min="4355" max="4355" width="6.33203125" style="294" customWidth="1"/>
    <col min="4356" max="4356" width="29.5546875" style="294" customWidth="1"/>
    <col min="4357" max="4357" width="17" style="294" customWidth="1"/>
    <col min="4358" max="4358" width="22.109375" style="294" customWidth="1"/>
    <col min="4359" max="4359" width="16.44140625" style="294" customWidth="1"/>
    <col min="4360" max="4610" width="11" style="294"/>
    <col min="4611" max="4611" width="6.33203125" style="294" customWidth="1"/>
    <col min="4612" max="4612" width="29.5546875" style="294" customWidth="1"/>
    <col min="4613" max="4613" width="17" style="294" customWidth="1"/>
    <col min="4614" max="4614" width="22.109375" style="294" customWidth="1"/>
    <col min="4615" max="4615" width="16.44140625" style="294" customWidth="1"/>
    <col min="4616" max="4866" width="11" style="294"/>
    <col min="4867" max="4867" width="6.33203125" style="294" customWidth="1"/>
    <col min="4868" max="4868" width="29.5546875" style="294" customWidth="1"/>
    <col min="4869" max="4869" width="17" style="294" customWidth="1"/>
    <col min="4870" max="4870" width="22.109375" style="294" customWidth="1"/>
    <col min="4871" max="4871" width="16.44140625" style="294" customWidth="1"/>
    <col min="4872" max="5122" width="11" style="294"/>
    <col min="5123" max="5123" width="6.33203125" style="294" customWidth="1"/>
    <col min="5124" max="5124" width="29.5546875" style="294" customWidth="1"/>
    <col min="5125" max="5125" width="17" style="294" customWidth="1"/>
    <col min="5126" max="5126" width="22.109375" style="294" customWidth="1"/>
    <col min="5127" max="5127" width="16.44140625" style="294" customWidth="1"/>
    <col min="5128" max="5378" width="11" style="294"/>
    <col min="5379" max="5379" width="6.33203125" style="294" customWidth="1"/>
    <col min="5380" max="5380" width="29.5546875" style="294" customWidth="1"/>
    <col min="5381" max="5381" width="17" style="294" customWidth="1"/>
    <col min="5382" max="5382" width="22.109375" style="294" customWidth="1"/>
    <col min="5383" max="5383" width="16.44140625" style="294" customWidth="1"/>
    <col min="5384" max="5634" width="11" style="294"/>
    <col min="5635" max="5635" width="6.33203125" style="294" customWidth="1"/>
    <col min="5636" max="5636" width="29.5546875" style="294" customWidth="1"/>
    <col min="5637" max="5637" width="17" style="294" customWidth="1"/>
    <col min="5638" max="5638" width="22.109375" style="294" customWidth="1"/>
    <col min="5639" max="5639" width="16.44140625" style="294" customWidth="1"/>
    <col min="5640" max="5890" width="11" style="294"/>
    <col min="5891" max="5891" width="6.33203125" style="294" customWidth="1"/>
    <col min="5892" max="5892" width="29.5546875" style="294" customWidth="1"/>
    <col min="5893" max="5893" width="17" style="294" customWidth="1"/>
    <col min="5894" max="5894" width="22.109375" style="294" customWidth="1"/>
    <col min="5895" max="5895" width="16.44140625" style="294" customWidth="1"/>
    <col min="5896" max="6146" width="11" style="294"/>
    <col min="6147" max="6147" width="6.33203125" style="294" customWidth="1"/>
    <col min="6148" max="6148" width="29.5546875" style="294" customWidth="1"/>
    <col min="6149" max="6149" width="17" style="294" customWidth="1"/>
    <col min="6150" max="6150" width="22.109375" style="294" customWidth="1"/>
    <col min="6151" max="6151" width="16.44140625" style="294" customWidth="1"/>
    <col min="6152" max="6402" width="11" style="294"/>
    <col min="6403" max="6403" width="6.33203125" style="294" customWidth="1"/>
    <col min="6404" max="6404" width="29.5546875" style="294" customWidth="1"/>
    <col min="6405" max="6405" width="17" style="294" customWidth="1"/>
    <col min="6406" max="6406" width="22.109375" style="294" customWidth="1"/>
    <col min="6407" max="6407" width="16.44140625" style="294" customWidth="1"/>
    <col min="6408" max="6658" width="11" style="294"/>
    <col min="6659" max="6659" width="6.33203125" style="294" customWidth="1"/>
    <col min="6660" max="6660" width="29.5546875" style="294" customWidth="1"/>
    <col min="6661" max="6661" width="17" style="294" customWidth="1"/>
    <col min="6662" max="6662" width="22.109375" style="294" customWidth="1"/>
    <col min="6663" max="6663" width="16.44140625" style="294" customWidth="1"/>
    <col min="6664" max="6914" width="11" style="294"/>
    <col min="6915" max="6915" width="6.33203125" style="294" customWidth="1"/>
    <col min="6916" max="6916" width="29.5546875" style="294" customWidth="1"/>
    <col min="6917" max="6917" width="17" style="294" customWidth="1"/>
    <col min="6918" max="6918" width="22.109375" style="294" customWidth="1"/>
    <col min="6919" max="6919" width="16.44140625" style="294" customWidth="1"/>
    <col min="6920" max="7170" width="11" style="294"/>
    <col min="7171" max="7171" width="6.33203125" style="294" customWidth="1"/>
    <col min="7172" max="7172" width="29.5546875" style="294" customWidth="1"/>
    <col min="7173" max="7173" width="17" style="294" customWidth="1"/>
    <col min="7174" max="7174" width="22.109375" style="294" customWidth="1"/>
    <col min="7175" max="7175" width="16.44140625" style="294" customWidth="1"/>
    <col min="7176" max="7426" width="11" style="294"/>
    <col min="7427" max="7427" width="6.33203125" style="294" customWidth="1"/>
    <col min="7428" max="7428" width="29.5546875" style="294" customWidth="1"/>
    <col min="7429" max="7429" width="17" style="294" customWidth="1"/>
    <col min="7430" max="7430" width="22.109375" style="294" customWidth="1"/>
    <col min="7431" max="7431" width="16.44140625" style="294" customWidth="1"/>
    <col min="7432" max="7682" width="11" style="294"/>
    <col min="7683" max="7683" width="6.33203125" style="294" customWidth="1"/>
    <col min="7684" max="7684" width="29.5546875" style="294" customWidth="1"/>
    <col min="7685" max="7685" width="17" style="294" customWidth="1"/>
    <col min="7686" max="7686" width="22.109375" style="294" customWidth="1"/>
    <col min="7687" max="7687" width="16.44140625" style="294" customWidth="1"/>
    <col min="7688" max="7938" width="11" style="294"/>
    <col min="7939" max="7939" width="6.33203125" style="294" customWidth="1"/>
    <col min="7940" max="7940" width="29.5546875" style="294" customWidth="1"/>
    <col min="7941" max="7941" width="17" style="294" customWidth="1"/>
    <col min="7942" max="7942" width="22.109375" style="294" customWidth="1"/>
    <col min="7943" max="7943" width="16.44140625" style="294" customWidth="1"/>
    <col min="7944" max="8194" width="11" style="294"/>
    <col min="8195" max="8195" width="6.33203125" style="294" customWidth="1"/>
    <col min="8196" max="8196" width="29.5546875" style="294" customWidth="1"/>
    <col min="8197" max="8197" width="17" style="294" customWidth="1"/>
    <col min="8198" max="8198" width="22.109375" style="294" customWidth="1"/>
    <col min="8199" max="8199" width="16.44140625" style="294" customWidth="1"/>
    <col min="8200" max="8450" width="11" style="294"/>
    <col min="8451" max="8451" width="6.33203125" style="294" customWidth="1"/>
    <col min="8452" max="8452" width="29.5546875" style="294" customWidth="1"/>
    <col min="8453" max="8453" width="17" style="294" customWidth="1"/>
    <col min="8454" max="8454" width="22.109375" style="294" customWidth="1"/>
    <col min="8455" max="8455" width="16.44140625" style="294" customWidth="1"/>
    <col min="8456" max="8706" width="11" style="294"/>
    <col min="8707" max="8707" width="6.33203125" style="294" customWidth="1"/>
    <col min="8708" max="8708" width="29.5546875" style="294" customWidth="1"/>
    <col min="8709" max="8709" width="17" style="294" customWidth="1"/>
    <col min="8710" max="8710" width="22.109375" style="294" customWidth="1"/>
    <col min="8711" max="8711" width="16.44140625" style="294" customWidth="1"/>
    <col min="8712" max="8962" width="11" style="294"/>
    <col min="8963" max="8963" width="6.33203125" style="294" customWidth="1"/>
    <col min="8964" max="8964" width="29.5546875" style="294" customWidth="1"/>
    <col min="8965" max="8965" width="17" style="294" customWidth="1"/>
    <col min="8966" max="8966" width="22.109375" style="294" customWidth="1"/>
    <col min="8967" max="8967" width="16.44140625" style="294" customWidth="1"/>
    <col min="8968" max="9218" width="11" style="294"/>
    <col min="9219" max="9219" width="6.33203125" style="294" customWidth="1"/>
    <col min="9220" max="9220" width="29.5546875" style="294" customWidth="1"/>
    <col min="9221" max="9221" width="17" style="294" customWidth="1"/>
    <col min="9222" max="9222" width="22.109375" style="294" customWidth="1"/>
    <col min="9223" max="9223" width="16.44140625" style="294" customWidth="1"/>
    <col min="9224" max="9474" width="11" style="294"/>
    <col min="9475" max="9475" width="6.33203125" style="294" customWidth="1"/>
    <col min="9476" max="9476" width="29.5546875" style="294" customWidth="1"/>
    <col min="9477" max="9477" width="17" style="294" customWidth="1"/>
    <col min="9478" max="9478" width="22.109375" style="294" customWidth="1"/>
    <col min="9479" max="9479" width="16.44140625" style="294" customWidth="1"/>
    <col min="9480" max="9730" width="11" style="294"/>
    <col min="9731" max="9731" width="6.33203125" style="294" customWidth="1"/>
    <col min="9732" max="9732" width="29.5546875" style="294" customWidth="1"/>
    <col min="9733" max="9733" width="17" style="294" customWidth="1"/>
    <col min="9734" max="9734" width="22.109375" style="294" customWidth="1"/>
    <col min="9735" max="9735" width="16.44140625" style="294" customWidth="1"/>
    <col min="9736" max="9986" width="11" style="294"/>
    <col min="9987" max="9987" width="6.33203125" style="294" customWidth="1"/>
    <col min="9988" max="9988" width="29.5546875" style="294" customWidth="1"/>
    <col min="9989" max="9989" width="17" style="294" customWidth="1"/>
    <col min="9990" max="9990" width="22.109375" style="294" customWidth="1"/>
    <col min="9991" max="9991" width="16.44140625" style="294" customWidth="1"/>
    <col min="9992" max="10242" width="11" style="294"/>
    <col min="10243" max="10243" width="6.33203125" style="294" customWidth="1"/>
    <col min="10244" max="10244" width="29.5546875" style="294" customWidth="1"/>
    <col min="10245" max="10245" width="17" style="294" customWidth="1"/>
    <col min="10246" max="10246" width="22.109375" style="294" customWidth="1"/>
    <col min="10247" max="10247" width="16.44140625" style="294" customWidth="1"/>
    <col min="10248" max="10498" width="11" style="294"/>
    <col min="10499" max="10499" width="6.33203125" style="294" customWidth="1"/>
    <col min="10500" max="10500" width="29.5546875" style="294" customWidth="1"/>
    <col min="10501" max="10501" width="17" style="294" customWidth="1"/>
    <col min="10502" max="10502" width="22.109375" style="294" customWidth="1"/>
    <col min="10503" max="10503" width="16.44140625" style="294" customWidth="1"/>
    <col min="10504" max="10754" width="11" style="294"/>
    <col min="10755" max="10755" width="6.33203125" style="294" customWidth="1"/>
    <col min="10756" max="10756" width="29.5546875" style="294" customWidth="1"/>
    <col min="10757" max="10757" width="17" style="294" customWidth="1"/>
    <col min="10758" max="10758" width="22.109375" style="294" customWidth="1"/>
    <col min="10759" max="10759" width="16.44140625" style="294" customWidth="1"/>
    <col min="10760" max="11010" width="11" style="294"/>
    <col min="11011" max="11011" width="6.33203125" style="294" customWidth="1"/>
    <col min="11012" max="11012" width="29.5546875" style="294" customWidth="1"/>
    <col min="11013" max="11013" width="17" style="294" customWidth="1"/>
    <col min="11014" max="11014" width="22.109375" style="294" customWidth="1"/>
    <col min="11015" max="11015" width="16.44140625" style="294" customWidth="1"/>
    <col min="11016" max="11266" width="11" style="294"/>
    <col min="11267" max="11267" width="6.33203125" style="294" customWidth="1"/>
    <col min="11268" max="11268" width="29.5546875" style="294" customWidth="1"/>
    <col min="11269" max="11269" width="17" style="294" customWidth="1"/>
    <col min="11270" max="11270" width="22.109375" style="294" customWidth="1"/>
    <col min="11271" max="11271" width="16.44140625" style="294" customWidth="1"/>
    <col min="11272" max="11522" width="11" style="294"/>
    <col min="11523" max="11523" width="6.33203125" style="294" customWidth="1"/>
    <col min="11524" max="11524" width="29.5546875" style="294" customWidth="1"/>
    <col min="11525" max="11525" width="17" style="294" customWidth="1"/>
    <col min="11526" max="11526" width="22.109375" style="294" customWidth="1"/>
    <col min="11527" max="11527" width="16.44140625" style="294" customWidth="1"/>
    <col min="11528" max="11778" width="11" style="294"/>
    <col min="11779" max="11779" width="6.33203125" style="294" customWidth="1"/>
    <col min="11780" max="11780" width="29.5546875" style="294" customWidth="1"/>
    <col min="11781" max="11781" width="17" style="294" customWidth="1"/>
    <col min="11782" max="11782" width="22.109375" style="294" customWidth="1"/>
    <col min="11783" max="11783" width="16.44140625" style="294" customWidth="1"/>
    <col min="11784" max="12034" width="11" style="294"/>
    <col min="12035" max="12035" width="6.33203125" style="294" customWidth="1"/>
    <col min="12036" max="12036" width="29.5546875" style="294" customWidth="1"/>
    <col min="12037" max="12037" width="17" style="294" customWidth="1"/>
    <col min="12038" max="12038" width="22.109375" style="294" customWidth="1"/>
    <col min="12039" max="12039" width="16.44140625" style="294" customWidth="1"/>
    <col min="12040" max="12290" width="11" style="294"/>
    <col min="12291" max="12291" width="6.33203125" style="294" customWidth="1"/>
    <col min="12292" max="12292" width="29.5546875" style="294" customWidth="1"/>
    <col min="12293" max="12293" width="17" style="294" customWidth="1"/>
    <col min="12294" max="12294" width="22.109375" style="294" customWidth="1"/>
    <col min="12295" max="12295" width="16.44140625" style="294" customWidth="1"/>
    <col min="12296" max="12546" width="11" style="294"/>
    <col min="12547" max="12547" width="6.33203125" style="294" customWidth="1"/>
    <col min="12548" max="12548" width="29.5546875" style="294" customWidth="1"/>
    <col min="12549" max="12549" width="17" style="294" customWidth="1"/>
    <col min="12550" max="12550" width="22.109375" style="294" customWidth="1"/>
    <col min="12551" max="12551" width="16.44140625" style="294" customWidth="1"/>
    <col min="12552" max="12802" width="11" style="294"/>
    <col min="12803" max="12803" width="6.33203125" style="294" customWidth="1"/>
    <col min="12804" max="12804" width="29.5546875" style="294" customWidth="1"/>
    <col min="12805" max="12805" width="17" style="294" customWidth="1"/>
    <col min="12806" max="12806" width="22.109375" style="294" customWidth="1"/>
    <col min="12807" max="12807" width="16.44140625" style="294" customWidth="1"/>
    <col min="12808" max="13058" width="11" style="294"/>
    <col min="13059" max="13059" width="6.33203125" style="294" customWidth="1"/>
    <col min="13060" max="13060" width="29.5546875" style="294" customWidth="1"/>
    <col min="13061" max="13061" width="17" style="294" customWidth="1"/>
    <col min="13062" max="13062" width="22.109375" style="294" customWidth="1"/>
    <col min="13063" max="13063" width="16.44140625" style="294" customWidth="1"/>
    <col min="13064" max="13314" width="11" style="294"/>
    <col min="13315" max="13315" width="6.33203125" style="294" customWidth="1"/>
    <col min="13316" max="13316" width="29.5546875" style="294" customWidth="1"/>
    <col min="13317" max="13317" width="17" style="294" customWidth="1"/>
    <col min="13318" max="13318" width="22.109375" style="294" customWidth="1"/>
    <col min="13319" max="13319" width="16.44140625" style="294" customWidth="1"/>
    <col min="13320" max="13570" width="11" style="294"/>
    <col min="13571" max="13571" width="6.33203125" style="294" customWidth="1"/>
    <col min="13572" max="13572" width="29.5546875" style="294" customWidth="1"/>
    <col min="13573" max="13573" width="17" style="294" customWidth="1"/>
    <col min="13574" max="13574" width="22.109375" style="294" customWidth="1"/>
    <col min="13575" max="13575" width="16.44140625" style="294" customWidth="1"/>
    <col min="13576" max="13826" width="11" style="294"/>
    <col min="13827" max="13827" width="6.33203125" style="294" customWidth="1"/>
    <col min="13828" max="13828" width="29.5546875" style="294" customWidth="1"/>
    <col min="13829" max="13829" width="17" style="294" customWidth="1"/>
    <col min="13830" max="13830" width="22.109375" style="294" customWidth="1"/>
    <col min="13831" max="13831" width="16.44140625" style="294" customWidth="1"/>
    <col min="13832" max="14082" width="11" style="294"/>
    <col min="14083" max="14083" width="6.33203125" style="294" customWidth="1"/>
    <col min="14084" max="14084" width="29.5546875" style="294" customWidth="1"/>
    <col min="14085" max="14085" width="17" style="294" customWidth="1"/>
    <col min="14086" max="14086" width="22.109375" style="294" customWidth="1"/>
    <col min="14087" max="14087" width="16.44140625" style="294" customWidth="1"/>
    <col min="14088" max="14338" width="11" style="294"/>
    <col min="14339" max="14339" width="6.33203125" style="294" customWidth="1"/>
    <col min="14340" max="14340" width="29.5546875" style="294" customWidth="1"/>
    <col min="14341" max="14341" width="17" style="294" customWidth="1"/>
    <col min="14342" max="14342" width="22.109375" style="294" customWidth="1"/>
    <col min="14343" max="14343" width="16.44140625" style="294" customWidth="1"/>
    <col min="14344" max="14594" width="11" style="294"/>
    <col min="14595" max="14595" width="6.33203125" style="294" customWidth="1"/>
    <col min="14596" max="14596" width="29.5546875" style="294" customWidth="1"/>
    <col min="14597" max="14597" width="17" style="294" customWidth="1"/>
    <col min="14598" max="14598" width="22.109375" style="294" customWidth="1"/>
    <col min="14599" max="14599" width="16.44140625" style="294" customWidth="1"/>
    <col min="14600" max="14850" width="11" style="294"/>
    <col min="14851" max="14851" width="6.33203125" style="294" customWidth="1"/>
    <col min="14852" max="14852" width="29.5546875" style="294" customWidth="1"/>
    <col min="14853" max="14853" width="17" style="294" customWidth="1"/>
    <col min="14854" max="14854" width="22.109375" style="294" customWidth="1"/>
    <col min="14855" max="14855" width="16.44140625" style="294" customWidth="1"/>
    <col min="14856" max="15106" width="11" style="294"/>
    <col min="15107" max="15107" width="6.33203125" style="294" customWidth="1"/>
    <col min="15108" max="15108" width="29.5546875" style="294" customWidth="1"/>
    <col min="15109" max="15109" width="17" style="294" customWidth="1"/>
    <col min="15110" max="15110" width="22.109375" style="294" customWidth="1"/>
    <col min="15111" max="15111" width="16.44140625" style="294" customWidth="1"/>
    <col min="15112" max="15362" width="11" style="294"/>
    <col min="15363" max="15363" width="6.33203125" style="294" customWidth="1"/>
    <col min="15364" max="15364" width="29.5546875" style="294" customWidth="1"/>
    <col min="15365" max="15365" width="17" style="294" customWidth="1"/>
    <col min="15366" max="15366" width="22.109375" style="294" customWidth="1"/>
    <col min="15367" max="15367" width="16.44140625" style="294" customWidth="1"/>
    <col min="15368" max="15618" width="11" style="294"/>
    <col min="15619" max="15619" width="6.33203125" style="294" customWidth="1"/>
    <col min="15620" max="15620" width="29.5546875" style="294" customWidth="1"/>
    <col min="15621" max="15621" width="17" style="294" customWidth="1"/>
    <col min="15622" max="15622" width="22.109375" style="294" customWidth="1"/>
    <col min="15623" max="15623" width="16.44140625" style="294" customWidth="1"/>
    <col min="15624" max="15874" width="11" style="294"/>
    <col min="15875" max="15875" width="6.33203125" style="294" customWidth="1"/>
    <col min="15876" max="15876" width="29.5546875" style="294" customWidth="1"/>
    <col min="15877" max="15877" width="17" style="294" customWidth="1"/>
    <col min="15878" max="15878" width="22.109375" style="294" customWidth="1"/>
    <col min="15879" max="15879" width="16.44140625" style="294" customWidth="1"/>
    <col min="15880" max="16130" width="11" style="294"/>
    <col min="16131" max="16131" width="6.33203125" style="294" customWidth="1"/>
    <col min="16132" max="16132" width="29.5546875" style="294" customWidth="1"/>
    <col min="16133" max="16133" width="17" style="294" customWidth="1"/>
    <col min="16134" max="16134" width="22.109375" style="294" customWidth="1"/>
    <col min="16135" max="16135" width="16.44140625" style="294" customWidth="1"/>
    <col min="16136" max="16384" width="11" style="294"/>
  </cols>
  <sheetData>
    <row r="1" spans="1:15" ht="23.4" customHeight="1">
      <c r="A1" s="291" t="s">
        <v>146</v>
      </c>
      <c r="B1" s="291"/>
      <c r="C1" s="291"/>
      <c r="D1" s="291"/>
      <c r="E1" s="291"/>
      <c r="F1" s="291"/>
      <c r="G1" s="291"/>
      <c r="H1" s="292"/>
      <c r="I1" s="292"/>
      <c r="J1" s="293"/>
      <c r="K1" s="293"/>
    </row>
    <row r="2" spans="1:15" s="116" customFormat="1" ht="19.2" customHeight="1">
      <c r="A2" s="3" t="str">
        <f>KLTang!C2</f>
        <v>Công trình: Sửa chữa đường dây trung thế huyện Cẩm Mỹ năm 2020.</v>
      </c>
      <c r="B2" s="3"/>
      <c r="C2" s="3"/>
      <c r="D2" s="3"/>
      <c r="E2" s="3"/>
      <c r="F2" s="3"/>
      <c r="G2" s="3"/>
      <c r="H2" s="295"/>
      <c r="I2" s="295"/>
      <c r="J2" s="295"/>
      <c r="K2" s="295"/>
      <c r="L2" s="296"/>
      <c r="M2" s="297"/>
      <c r="N2" s="295"/>
      <c r="O2" s="295"/>
    </row>
    <row r="3" spans="1:15" s="116" customFormat="1" ht="19.2" customHeight="1">
      <c r="A3" s="4" t="str">
        <f>KLTang!C3</f>
        <v>Địa điểm: Huyện Cẩm Mỹ - Tỉnh Đồng Nai</v>
      </c>
      <c r="B3" s="4"/>
      <c r="C3" s="4"/>
      <c r="D3" s="4"/>
      <c r="E3" s="4"/>
      <c r="F3" s="4"/>
      <c r="G3" s="4"/>
      <c r="H3" s="298"/>
      <c r="I3" s="298"/>
      <c r="J3" s="298"/>
      <c r="K3" s="298"/>
      <c r="L3" s="5"/>
      <c r="M3" s="299"/>
      <c r="N3" s="298"/>
      <c r="O3" s="298"/>
    </row>
    <row r="4" spans="1:15" s="190" customFormat="1" ht="6.75" customHeight="1">
      <c r="A4" s="300"/>
      <c r="B4" s="300"/>
      <c r="C4" s="300"/>
      <c r="D4" s="300"/>
      <c r="E4" s="300"/>
      <c r="F4" s="300"/>
      <c r="G4" s="300"/>
      <c r="H4" s="301"/>
      <c r="I4" s="302"/>
      <c r="J4" s="302"/>
      <c r="K4" s="302"/>
    </row>
    <row r="5" spans="1:15" s="175" customFormat="1" ht="16.8">
      <c r="A5" s="303" t="s">
        <v>1</v>
      </c>
      <c r="B5" s="303" t="s">
        <v>147</v>
      </c>
      <c r="C5" s="303" t="s">
        <v>148</v>
      </c>
      <c r="D5" s="303" t="s">
        <v>149</v>
      </c>
      <c r="E5" s="303" t="s">
        <v>150</v>
      </c>
      <c r="F5" s="303" t="s">
        <v>8</v>
      </c>
      <c r="G5" s="303" t="s">
        <v>85</v>
      </c>
    </row>
    <row r="6" spans="1:15" s="309" customFormat="1" ht="16.8">
      <c r="A6" s="304">
        <v>1</v>
      </c>
      <c r="B6" s="305" t="s">
        <v>151</v>
      </c>
      <c r="C6" s="306"/>
      <c r="D6" s="307">
        <f>D7+D8</f>
        <v>1666881.885</v>
      </c>
      <c r="E6" s="307">
        <f>ROUND(D6*0.1,0)</f>
        <v>166688</v>
      </c>
      <c r="F6" s="307">
        <f>D6+E6</f>
        <v>1833569.885</v>
      </c>
      <c r="G6" s="308"/>
    </row>
    <row r="7" spans="1:15" s="309" customFormat="1" ht="18.75" customHeight="1">
      <c r="A7" s="306" t="s">
        <v>152</v>
      </c>
      <c r="B7" s="308" t="s">
        <v>153</v>
      </c>
      <c r="C7" s="306" t="s">
        <v>154</v>
      </c>
      <c r="D7" s="310">
        <f>VLOOKUP(B7,'KLTang (2)'!D:K,7,0)</f>
        <v>1666881.885</v>
      </c>
      <c r="E7" s="310">
        <f t="shared" ref="E7:E11" si="0">ROUND(D7*0.1,0)</f>
        <v>166688</v>
      </c>
      <c r="F7" s="310">
        <f t="shared" ref="F7:F11" si="1">D7+E7</f>
        <v>1833569.885</v>
      </c>
      <c r="G7" s="310"/>
    </row>
    <row r="8" spans="1:15" s="174" customFormat="1" ht="22.95" customHeight="1">
      <c r="A8" s="306" t="s">
        <v>155</v>
      </c>
      <c r="B8" s="308" t="s">
        <v>156</v>
      </c>
      <c r="C8" s="306" t="s">
        <v>154</v>
      </c>
      <c r="D8" s="310">
        <f>'KLTang (2)'!J8</f>
        <v>0</v>
      </c>
      <c r="E8" s="310">
        <f>ROUND(D8*0.1,0)</f>
        <v>0</v>
      </c>
      <c r="F8" s="310">
        <f>D8+E8</f>
        <v>0</v>
      </c>
      <c r="G8" s="307"/>
    </row>
    <row r="9" spans="1:15" s="309" customFormat="1" ht="21" customHeight="1">
      <c r="A9" s="304">
        <v>2</v>
      </c>
      <c r="B9" s="305" t="s">
        <v>157</v>
      </c>
      <c r="C9" s="311"/>
      <c r="D9" s="312" t="e">
        <f>D10+D11</f>
        <v>#NAME?</v>
      </c>
      <c r="E9" s="307" t="e">
        <f t="shared" si="0"/>
        <v>#NAME?</v>
      </c>
      <c r="F9" s="307" t="e">
        <f t="shared" si="1"/>
        <v>#NAME?</v>
      </c>
      <c r="G9" s="311"/>
    </row>
    <row r="10" spans="1:15" s="309" customFormat="1" ht="21.75" customHeight="1">
      <c r="A10" s="306" t="s">
        <v>158</v>
      </c>
      <c r="B10" s="308" t="s">
        <v>153</v>
      </c>
      <c r="C10" s="306" t="s">
        <v>154</v>
      </c>
      <c r="D10" s="310" t="e">
        <f>'KLGiam (2)'!J6</f>
        <v>#NAME?</v>
      </c>
      <c r="E10" s="310" t="e">
        <f t="shared" si="0"/>
        <v>#NAME?</v>
      </c>
      <c r="F10" s="310" t="e">
        <f t="shared" si="1"/>
        <v>#NAME?</v>
      </c>
      <c r="G10" s="311"/>
    </row>
    <row r="11" spans="1:15" s="309" customFormat="1" ht="18" customHeight="1">
      <c r="A11" s="313" t="s">
        <v>159</v>
      </c>
      <c r="B11" s="314" t="s">
        <v>156</v>
      </c>
      <c r="C11" s="313" t="s">
        <v>154</v>
      </c>
      <c r="D11" s="310" t="e">
        <f>'KLGiam (2)'!J31</f>
        <v>#NAME?</v>
      </c>
      <c r="E11" s="310" t="e">
        <f t="shared" si="0"/>
        <v>#NAME?</v>
      </c>
      <c r="F11" s="310" t="e">
        <f t="shared" si="1"/>
        <v>#NAME?</v>
      </c>
      <c r="G11" s="315"/>
      <c r="I11" s="309">
        <f>22*20</f>
        <v>440</v>
      </c>
    </row>
    <row r="12" spans="1:15" s="322" customFormat="1" ht="18.75" customHeight="1">
      <c r="A12" s="316" t="s">
        <v>160</v>
      </c>
      <c r="B12" s="317"/>
      <c r="C12" s="318"/>
      <c r="D12" s="319" t="e">
        <f>D6-D9</f>
        <v>#NAME?</v>
      </c>
      <c r="E12" s="320"/>
      <c r="F12" s="319" t="e">
        <f>ROUND(F6-F9,0)</f>
        <v>#NAME?</v>
      </c>
      <c r="G12" s="321"/>
      <c r="I12" s="322">
        <f>I11*6700</f>
        <v>2948000</v>
      </c>
    </row>
    <row r="13" spans="1:15" s="309" customFormat="1" ht="21.75" customHeight="1">
      <c r="A13" s="323" t="s">
        <v>161</v>
      </c>
      <c r="B13" s="324"/>
      <c r="C13" s="324"/>
      <c r="D13" s="324"/>
      <c r="E13" s="324"/>
      <c r="F13" s="324"/>
      <c r="G13" s="325"/>
      <c r="I13" s="309" t="s">
        <v>162</v>
      </c>
    </row>
    <row r="14" spans="1:15" s="190" customFormat="1" ht="9.75" customHeight="1">
      <c r="A14" s="326"/>
    </row>
    <row r="15" spans="1:15" s="190" customFormat="1" ht="18">
      <c r="A15" s="170" t="s">
        <v>47</v>
      </c>
      <c r="B15" s="170"/>
      <c r="C15" s="170"/>
      <c r="D15" s="171"/>
      <c r="E15" s="170" t="s">
        <v>49</v>
      </c>
      <c r="F15" s="170"/>
      <c r="G15" s="170"/>
      <c r="H15" s="327"/>
      <c r="I15" s="327"/>
      <c r="J15" s="327"/>
    </row>
    <row r="16" spans="1:15" ht="16.8">
      <c r="A16" s="170" t="s">
        <v>50</v>
      </c>
      <c r="B16" s="170"/>
      <c r="C16" s="170"/>
      <c r="D16" s="171"/>
      <c r="E16" s="170" t="s">
        <v>51</v>
      </c>
      <c r="F16" s="170"/>
      <c r="G16" s="170"/>
    </row>
    <row r="17" spans="1:7" ht="16.8">
      <c r="A17" s="170" t="s">
        <v>52</v>
      </c>
      <c r="B17" s="170"/>
      <c r="C17" s="170"/>
      <c r="D17" s="174"/>
      <c r="E17" s="184" t="s">
        <v>52</v>
      </c>
      <c r="F17" s="184"/>
      <c r="G17" s="184"/>
    </row>
    <row r="18" spans="1:7" ht="16.8">
      <c r="A18" s="173"/>
      <c r="B18" s="173"/>
      <c r="C18" s="175"/>
      <c r="D18" s="173"/>
      <c r="E18" s="176"/>
      <c r="F18" s="176"/>
      <c r="G18" s="172"/>
    </row>
    <row r="19" spans="1:7" ht="16.8">
      <c r="A19" s="173"/>
      <c r="B19" s="173"/>
      <c r="C19" s="175"/>
      <c r="D19" s="173"/>
      <c r="E19" s="176"/>
      <c r="F19" s="176"/>
      <c r="G19" s="172"/>
    </row>
    <row r="20" spans="1:7" ht="16.8">
      <c r="A20" s="173"/>
      <c r="B20" s="173"/>
      <c r="C20" s="175"/>
      <c r="D20" s="173"/>
      <c r="E20" s="176"/>
      <c r="F20" s="176"/>
      <c r="G20" s="172"/>
    </row>
    <row r="21" spans="1:7" ht="16.8">
      <c r="A21" s="173"/>
      <c r="B21" s="173"/>
      <c r="C21" s="175"/>
      <c r="D21" s="173"/>
      <c r="E21" s="176"/>
      <c r="F21" s="176"/>
      <c r="G21" s="172"/>
    </row>
    <row r="22" spans="1:7" ht="16.8">
      <c r="A22" s="170" t="s">
        <v>53</v>
      </c>
      <c r="B22" s="170"/>
      <c r="C22" s="170"/>
      <c r="D22" s="174"/>
      <c r="E22" s="184" t="s">
        <v>54</v>
      </c>
      <c r="F22" s="184"/>
      <c r="G22" s="184"/>
    </row>
    <row r="23" spans="1:7" ht="4.5" customHeight="1">
      <c r="A23" s="177"/>
      <c r="B23" s="178"/>
      <c r="C23" s="179"/>
      <c r="D23" s="178"/>
      <c r="E23" s="178"/>
      <c r="F23" s="178"/>
      <c r="G23" s="178"/>
    </row>
    <row r="24" spans="1:7" ht="16.8">
      <c r="A24" s="170" t="s">
        <v>48</v>
      </c>
      <c r="B24" s="170"/>
      <c r="C24" s="170"/>
      <c r="D24" s="171"/>
      <c r="E24" s="180" t="s">
        <v>135</v>
      </c>
      <c r="F24" s="180"/>
      <c r="G24" s="180"/>
    </row>
    <row r="25" spans="1:7" ht="16.8">
      <c r="A25" s="181" t="s">
        <v>136</v>
      </c>
      <c r="B25" s="181"/>
      <c r="C25" s="181"/>
      <c r="D25" s="192"/>
      <c r="E25" s="182" t="s">
        <v>137</v>
      </c>
      <c r="F25" s="182"/>
      <c r="G25" s="182"/>
    </row>
    <row r="26" spans="1:7" ht="16.8">
      <c r="A26" s="184" t="s">
        <v>163</v>
      </c>
      <c r="B26" s="184"/>
      <c r="C26" s="184"/>
      <c r="D26" s="174"/>
      <c r="E26" s="184" t="s">
        <v>52</v>
      </c>
      <c r="F26" s="184"/>
      <c r="G26" s="184"/>
    </row>
    <row r="27" spans="1:7" ht="16.8">
      <c r="A27" s="185"/>
      <c r="B27" s="186"/>
      <c r="C27" s="172"/>
      <c r="D27" s="172"/>
      <c r="E27" s="172"/>
      <c r="F27" s="175"/>
      <c r="G27" s="175"/>
    </row>
    <row r="28" spans="1:7" ht="16.8">
      <c r="A28" s="185"/>
      <c r="B28" s="186"/>
      <c r="C28" s="172"/>
      <c r="D28" s="172"/>
      <c r="E28" s="172"/>
      <c r="F28" s="175"/>
      <c r="G28" s="175"/>
    </row>
    <row r="29" spans="1:7" ht="16.8">
      <c r="A29" s="185"/>
      <c r="B29" s="186"/>
      <c r="C29" s="172"/>
      <c r="D29" s="172"/>
      <c r="E29" s="172"/>
      <c r="F29" s="179"/>
      <c r="G29" s="178"/>
    </row>
    <row r="30" spans="1:7" ht="16.8">
      <c r="A30" s="185"/>
      <c r="B30" s="186"/>
      <c r="C30" s="172"/>
      <c r="D30" s="172"/>
      <c r="E30" s="172"/>
      <c r="F30" s="179"/>
      <c r="G30" s="178"/>
    </row>
    <row r="31" spans="1:7" ht="16.8">
      <c r="A31" s="184" t="s">
        <v>164</v>
      </c>
      <c r="B31" s="184"/>
      <c r="C31" s="184"/>
      <c r="D31" s="174"/>
      <c r="E31" s="184" t="s">
        <v>58</v>
      </c>
      <c r="F31" s="184"/>
      <c r="G31" s="184"/>
    </row>
    <row r="32" spans="1:7" ht="15.6">
      <c r="A32" s="165"/>
      <c r="B32" s="165"/>
      <c r="C32" s="166"/>
      <c r="D32" s="165"/>
      <c r="E32" s="167"/>
      <c r="F32" s="168"/>
      <c r="G32" s="162"/>
    </row>
  </sheetData>
  <mergeCells count="22">
    <mergeCell ref="A26:C26"/>
    <mergeCell ref="E26:G26"/>
    <mergeCell ref="A31:C31"/>
    <mergeCell ref="E31:G31"/>
    <mergeCell ref="A22:C22"/>
    <mergeCell ref="E22:G22"/>
    <mergeCell ref="A24:C24"/>
    <mergeCell ref="E24:G24"/>
    <mergeCell ref="A25:C25"/>
    <mergeCell ref="E25:G25"/>
    <mergeCell ref="A15:C15"/>
    <mergeCell ref="E15:G15"/>
    <mergeCell ref="A16:C16"/>
    <mergeCell ref="E16:G16"/>
    <mergeCell ref="A17:C17"/>
    <mergeCell ref="E17:G17"/>
    <mergeCell ref="A1:G1"/>
    <mergeCell ref="A2:G2"/>
    <mergeCell ref="A3:G3"/>
    <mergeCell ref="A4:G4"/>
    <mergeCell ref="A12:C12"/>
    <mergeCell ref="A13:G13"/>
  </mergeCells>
  <pageMargins left="0.39" right="0.44" top="0.75" bottom="0.2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0755-43AD-4318-A87B-6C937F14059A}">
  <sheetPr>
    <tabColor rgb="FF7030A0"/>
  </sheetPr>
  <dimension ref="A1:L146"/>
  <sheetViews>
    <sheetView showGridLines="0" showZeros="0" topLeftCell="B4" zoomScale="70" zoomScaleNormal="70" zoomScaleSheetLayoutView="70" workbookViewId="0">
      <selection activeCell="J32" sqref="J32"/>
    </sheetView>
  </sheetViews>
  <sheetFormatPr defaultColWidth="9.109375" defaultRowHeight="14.4"/>
  <cols>
    <col min="1" max="1" width="3.6640625" style="329" hidden="1" customWidth="1"/>
    <col min="2" max="2" width="9.109375" style="431" customWidth="1"/>
    <col min="3" max="3" width="74.88671875" style="432" customWidth="1"/>
    <col min="4" max="4" width="9.33203125" style="431" bestFit="1" customWidth="1"/>
    <col min="5" max="5" width="12.109375" style="433" bestFit="1" customWidth="1"/>
    <col min="6" max="6" width="10.109375" style="433" bestFit="1" customWidth="1"/>
    <col min="7" max="8" width="9.5546875" style="433" bestFit="1" customWidth="1"/>
    <col min="9" max="9" width="39.88671875" style="434" customWidth="1"/>
    <col min="10" max="10" width="9.109375" style="329"/>
    <col min="11" max="11" width="13.5546875" style="329" customWidth="1"/>
    <col min="12" max="16384" width="9.109375" style="329"/>
  </cols>
  <sheetData>
    <row r="1" spans="1:12" ht="20.100000000000001" customHeight="1">
      <c r="B1" s="330"/>
      <c r="C1" s="331" t="s">
        <v>51</v>
      </c>
      <c r="D1" s="436" t="s">
        <v>59</v>
      </c>
      <c r="E1" s="436"/>
      <c r="F1" s="436"/>
      <c r="G1" s="436"/>
      <c r="H1" s="436"/>
      <c r="I1" s="436"/>
    </row>
    <row r="2" spans="1:12" ht="20.100000000000001" customHeight="1">
      <c r="B2" s="330"/>
      <c r="C2" s="333" t="s">
        <v>165</v>
      </c>
      <c r="D2" s="436" t="s">
        <v>166</v>
      </c>
      <c r="E2" s="436"/>
      <c r="F2" s="436"/>
      <c r="G2" s="436"/>
      <c r="H2" s="436"/>
      <c r="I2" s="436"/>
    </row>
    <row r="3" spans="1:12" ht="19.5" customHeight="1">
      <c r="B3" s="330"/>
      <c r="C3" s="334"/>
      <c r="D3" s="330" t="s">
        <v>167</v>
      </c>
      <c r="E3" s="330"/>
      <c r="F3" s="330"/>
      <c r="G3" s="330"/>
      <c r="H3" s="330"/>
      <c r="I3" s="330"/>
    </row>
    <row r="4" spans="1:12" ht="16.8" customHeight="1">
      <c r="B4" s="652" t="s">
        <v>168</v>
      </c>
      <c r="C4" s="652"/>
      <c r="D4" s="652"/>
      <c r="E4" s="652"/>
      <c r="F4" s="652"/>
      <c r="G4" s="652"/>
      <c r="H4" s="652"/>
      <c r="I4" s="652"/>
    </row>
    <row r="5" spans="1:12" ht="20.100000000000001" customHeight="1">
      <c r="B5" s="436" t="s">
        <v>169</v>
      </c>
      <c r="C5" s="436"/>
      <c r="D5" s="436"/>
      <c r="E5" s="436"/>
      <c r="F5" s="436"/>
      <c r="G5" s="436"/>
      <c r="H5" s="436"/>
      <c r="I5" s="436"/>
    </row>
    <row r="6" spans="1:12" ht="20.100000000000001" customHeight="1">
      <c r="B6" s="436" t="s">
        <v>170</v>
      </c>
      <c r="C6" s="436"/>
      <c r="D6" s="436"/>
      <c r="E6" s="436"/>
      <c r="F6" s="436"/>
      <c r="G6" s="436"/>
      <c r="H6" s="436"/>
      <c r="I6" s="436"/>
    </row>
    <row r="7" spans="1:12" ht="20.100000000000001" customHeight="1">
      <c r="B7" s="436" t="s">
        <v>171</v>
      </c>
      <c r="C7" s="436"/>
      <c r="D7" s="436"/>
      <c r="E7" s="436"/>
      <c r="F7" s="436"/>
      <c r="G7" s="436"/>
      <c r="H7" s="436"/>
      <c r="I7" s="436"/>
    </row>
    <row r="8" spans="1:12" s="341" customFormat="1" ht="21.9" customHeight="1">
      <c r="A8" s="338"/>
      <c r="B8" s="459" t="s">
        <v>172</v>
      </c>
      <c r="C8" s="459" t="s">
        <v>173</v>
      </c>
      <c r="D8" s="459" t="s">
        <v>69</v>
      </c>
      <c r="E8" s="342" t="s">
        <v>83</v>
      </c>
      <c r="F8" s="342"/>
      <c r="G8" s="342" t="s">
        <v>174</v>
      </c>
      <c r="H8" s="342"/>
      <c r="I8" s="342" t="s">
        <v>85</v>
      </c>
      <c r="J8" s="338"/>
      <c r="K8" s="338"/>
      <c r="L8" s="341" t="s">
        <v>90</v>
      </c>
    </row>
    <row r="9" spans="1:12" s="341" customFormat="1" ht="21.9" customHeight="1">
      <c r="A9" s="338"/>
      <c r="B9" s="459"/>
      <c r="C9" s="459"/>
      <c r="D9" s="459"/>
      <c r="E9" s="342" t="s">
        <v>175</v>
      </c>
      <c r="F9" s="343" t="s">
        <v>176</v>
      </c>
      <c r="G9" s="343" t="s">
        <v>177</v>
      </c>
      <c r="H9" s="343" t="s">
        <v>178</v>
      </c>
      <c r="I9" s="342"/>
      <c r="J9" s="338"/>
      <c r="K9" s="338"/>
      <c r="L9" s="341" t="s">
        <v>492</v>
      </c>
    </row>
    <row r="10" spans="1:12" s="350" customFormat="1" ht="21.9" customHeight="1">
      <c r="A10" s="344"/>
      <c r="B10" s="345" t="s">
        <v>90</v>
      </c>
      <c r="C10" s="346" t="s">
        <v>179</v>
      </c>
      <c r="D10" s="347"/>
      <c r="E10" s="348"/>
      <c r="F10" s="348"/>
      <c r="G10" s="348" t="str">
        <f>IF(F10&gt;E10,F10-E10,"")</f>
        <v/>
      </c>
      <c r="H10" s="348" t="str">
        <f>IF(E10&gt;F10,E10-F10,"")</f>
        <v/>
      </c>
      <c r="I10" s="349"/>
      <c r="J10" s="344"/>
      <c r="K10" s="344"/>
    </row>
    <row r="11" spans="1:12" s="350" customFormat="1" ht="21.9" customHeight="1">
      <c r="A11" s="344"/>
      <c r="B11" s="351" t="s">
        <v>94</v>
      </c>
      <c r="C11" s="352" t="s">
        <v>180</v>
      </c>
      <c r="D11" s="353"/>
      <c r="E11" s="354"/>
      <c r="F11" s="354"/>
      <c r="G11" s="348" t="str">
        <f t="shared" ref="G11:G76" si="0">IF(F11&gt;E11,F11-E11,"")</f>
        <v/>
      </c>
      <c r="H11" s="348" t="str">
        <f t="shared" ref="H11:H74" si="1">IF(E11&gt;F11,E11-F11,"")</f>
        <v/>
      </c>
      <c r="I11" s="355"/>
      <c r="J11" s="344" t="e">
        <f>VLOOKUP(C11,_klhd!C:J,8,0)</f>
        <v>#N/A</v>
      </c>
      <c r="K11" s="344" t="s">
        <v>597</v>
      </c>
      <c r="L11" s="350" t="e">
        <f>IF(OR(AND($L$8=J11,H11&gt;0),ISERROR(J11)),1,0)</f>
        <v>#N/A</v>
      </c>
    </row>
    <row r="12" spans="1:12" s="350" customFormat="1" ht="21.9" customHeight="1">
      <c r="A12" s="344" t="s">
        <v>181</v>
      </c>
      <c r="B12" s="351">
        <v>1</v>
      </c>
      <c r="C12" s="352" t="s">
        <v>182</v>
      </c>
      <c r="D12" s="351" t="s">
        <v>183</v>
      </c>
      <c r="E12" s="351">
        <v>19</v>
      </c>
      <c r="F12" s="351">
        <v>19</v>
      </c>
      <c r="G12" s="356" t="str">
        <f t="shared" si="0"/>
        <v/>
      </c>
      <c r="H12" s="356" t="str">
        <f t="shared" si="1"/>
        <v/>
      </c>
      <c r="I12" s="357"/>
      <c r="J12" s="344" t="e">
        <f>VLOOKUP(C12,_klhd!C:J,8,0)</f>
        <v>#N/A</v>
      </c>
      <c r="K12" s="344" t="s">
        <v>597</v>
      </c>
      <c r="L12" s="350" t="e">
        <f t="shared" ref="L12:L75" si="2">IF(OR(AND($L$8=J12,H12&gt;0),ISERROR(J12)),1,0)</f>
        <v>#N/A</v>
      </c>
    </row>
    <row r="13" spans="1:12" s="344" customFormat="1" ht="21.9" customHeight="1">
      <c r="B13" s="351">
        <v>2</v>
      </c>
      <c r="C13" s="352" t="s">
        <v>184</v>
      </c>
      <c r="D13" s="351" t="s">
        <v>185</v>
      </c>
      <c r="E13" s="351">
        <v>33</v>
      </c>
      <c r="F13" s="351">
        <v>33</v>
      </c>
      <c r="G13" s="356" t="str">
        <f t="shared" si="0"/>
        <v/>
      </c>
      <c r="H13" s="356" t="str">
        <f t="shared" si="1"/>
        <v/>
      </c>
      <c r="I13" s="357"/>
      <c r="J13" s="344" t="e">
        <f>VLOOKUP(C13,_klhd!C:J,8,0)</f>
        <v>#N/A</v>
      </c>
      <c r="K13" s="344" t="s">
        <v>597</v>
      </c>
      <c r="L13" s="350" t="e">
        <f t="shared" si="2"/>
        <v>#N/A</v>
      </c>
    </row>
    <row r="14" spans="1:12" s="344" customFormat="1" ht="21.9" customHeight="1">
      <c r="B14" s="356"/>
      <c r="C14" s="358" t="s">
        <v>186</v>
      </c>
      <c r="D14" s="356" t="s">
        <v>30</v>
      </c>
      <c r="E14" s="356">
        <v>67</v>
      </c>
      <c r="F14" s="356">
        <f>E14</f>
        <v>67</v>
      </c>
      <c r="G14" s="356" t="str">
        <f t="shared" si="0"/>
        <v/>
      </c>
      <c r="H14" s="356" t="str">
        <f t="shared" si="1"/>
        <v/>
      </c>
      <c r="I14" s="359"/>
      <c r="J14" s="344" t="str">
        <f>VLOOKUP(C14,_klhd!C:J,8,0)</f>
        <v>A</v>
      </c>
      <c r="K14" s="344" t="str">
        <f>VLOOKUP(C14,_klhd!C:C,1,0)</f>
        <v>Cáp đồng trần M25mm2 (0,224kg/m)</v>
      </c>
      <c r="L14" s="350">
        <f t="shared" si="2"/>
        <v>1</v>
      </c>
    </row>
    <row r="15" spans="1:12" s="344" customFormat="1" ht="21.9" customHeight="1">
      <c r="B15" s="356"/>
      <c r="C15" s="358" t="s">
        <v>187</v>
      </c>
      <c r="D15" s="356" t="s">
        <v>188</v>
      </c>
      <c r="E15" s="356">
        <v>33</v>
      </c>
      <c r="F15" s="356">
        <f t="shared" ref="F15:F18" si="3">E15</f>
        <v>33</v>
      </c>
      <c r="G15" s="356" t="str">
        <f t="shared" si="0"/>
        <v/>
      </c>
      <c r="H15" s="356" t="str">
        <f t="shared" si="1"/>
        <v/>
      </c>
      <c r="I15" s="359"/>
      <c r="J15" s="344" t="str">
        <f>VLOOKUP(C15,_klhd!C:J,8,0)</f>
        <v>B</v>
      </c>
      <c r="K15" s="344" t="str">
        <f>VLOOKUP(C15,_klhd!C:C,1,0)</f>
        <v>Cọc tiếp địa mạ đồng 16x2400</v>
      </c>
      <c r="L15" s="350">
        <f t="shared" si="2"/>
        <v>0</v>
      </c>
    </row>
    <row r="16" spans="1:12" s="344" customFormat="1" ht="21.9" customHeight="1">
      <c r="B16" s="356"/>
      <c r="C16" s="358" t="s">
        <v>189</v>
      </c>
      <c r="D16" s="356" t="s">
        <v>190</v>
      </c>
      <c r="E16" s="356">
        <v>66</v>
      </c>
      <c r="F16" s="356">
        <f t="shared" si="3"/>
        <v>66</v>
      </c>
      <c r="G16" s="356" t="str">
        <f t="shared" si="0"/>
        <v/>
      </c>
      <c r="H16" s="356" t="str">
        <f t="shared" si="1"/>
        <v/>
      </c>
      <c r="I16" s="359"/>
      <c r="J16" s="344" t="str">
        <f>VLOOKUP(C16,_klhd!C:J,8,0)</f>
        <v>B</v>
      </c>
      <c r="K16" s="344" t="str">
        <f>VLOOKUP(C16,_klhd!C:C,1,0)</f>
        <v>Kẹp ép WR 279</v>
      </c>
      <c r="L16" s="350">
        <f t="shared" si="2"/>
        <v>0</v>
      </c>
    </row>
    <row r="17" spans="1:12" s="344" customFormat="1" ht="21.9" customHeight="1">
      <c r="B17" s="356"/>
      <c r="C17" s="358" t="s">
        <v>191</v>
      </c>
      <c r="D17" s="356" t="s">
        <v>190</v>
      </c>
      <c r="E17" s="356">
        <v>66</v>
      </c>
      <c r="F17" s="356">
        <f t="shared" si="3"/>
        <v>66</v>
      </c>
      <c r="G17" s="356" t="str">
        <f t="shared" si="0"/>
        <v/>
      </c>
      <c r="H17" s="356" t="str">
        <f t="shared" si="1"/>
        <v/>
      </c>
      <c r="I17" s="359"/>
      <c r="J17" s="344" t="str">
        <f>VLOOKUP(C17,_klhd!C:J,8,0)</f>
        <v>B</v>
      </c>
      <c r="K17" s="344" t="str">
        <f>VLOOKUP(C17,_klhd!C:C,1,0)</f>
        <v>Ốc siết cáp 38mm2</v>
      </c>
      <c r="L17" s="350">
        <f t="shared" si="2"/>
        <v>0</v>
      </c>
    </row>
    <row r="18" spans="1:12" s="344" customFormat="1" ht="21.9" customHeight="1">
      <c r="B18" s="356"/>
      <c r="C18" s="358" t="s">
        <v>192</v>
      </c>
      <c r="D18" s="356" t="s">
        <v>190</v>
      </c>
      <c r="E18" s="356">
        <v>33</v>
      </c>
      <c r="F18" s="356">
        <f t="shared" si="3"/>
        <v>33</v>
      </c>
      <c r="G18" s="356" t="str">
        <f t="shared" si="0"/>
        <v/>
      </c>
      <c r="H18" s="356" t="str">
        <f t="shared" si="1"/>
        <v/>
      </c>
      <c r="I18" s="359"/>
      <c r="J18" s="344" t="str">
        <f>VLOOKUP(C18,_klhd!C:J,8,0)</f>
        <v>B</v>
      </c>
      <c r="K18" s="344" t="str">
        <f>VLOOKUP(C18,_klhd!C:C,1,0)</f>
        <v>Kẹp cọc tiếp địa Cu</v>
      </c>
      <c r="L18" s="350">
        <f t="shared" si="2"/>
        <v>0</v>
      </c>
    </row>
    <row r="19" spans="1:12" s="350" customFormat="1" ht="21.9" customHeight="1">
      <c r="A19" s="360" t="s">
        <v>193</v>
      </c>
      <c r="B19" s="351">
        <v>3</v>
      </c>
      <c r="C19" s="352" t="s">
        <v>194</v>
      </c>
      <c r="D19" s="351" t="s">
        <v>195</v>
      </c>
      <c r="E19" s="351">
        <v>19</v>
      </c>
      <c r="F19" s="351">
        <v>19</v>
      </c>
      <c r="G19" s="356" t="str">
        <f t="shared" si="0"/>
        <v/>
      </c>
      <c r="H19" s="356" t="str">
        <f t="shared" si="1"/>
        <v/>
      </c>
      <c r="I19" s="357"/>
      <c r="J19" s="344" t="e">
        <f>VLOOKUP(C19,_klhd!C:J,8,0)</f>
        <v>#N/A</v>
      </c>
      <c r="K19" s="344" t="s">
        <v>597</v>
      </c>
      <c r="L19" s="350" t="e">
        <f t="shared" si="2"/>
        <v>#N/A</v>
      </c>
    </row>
    <row r="20" spans="1:12" s="344" customFormat="1" ht="21.9" customHeight="1">
      <c r="B20" s="356"/>
      <c r="C20" s="358" t="s">
        <v>196</v>
      </c>
      <c r="D20" s="356" t="s">
        <v>197</v>
      </c>
      <c r="E20" s="356">
        <v>19</v>
      </c>
      <c r="F20" s="356">
        <f>F19</f>
        <v>19</v>
      </c>
      <c r="G20" s="356" t="str">
        <f t="shared" si="0"/>
        <v/>
      </c>
      <c r="H20" s="356" t="str">
        <f t="shared" si="1"/>
        <v/>
      </c>
      <c r="I20" s="359"/>
      <c r="J20" s="344" t="str">
        <f>VLOOKUP(C20,_klhd!C:J,8,0)</f>
        <v>A</v>
      </c>
      <c r="K20" s="344" t="str">
        <f>VLOOKUP(C20,_klhd!C:C,1,0)</f>
        <v>Trụ BTLT 12m F540 dự ứng lực</v>
      </c>
      <c r="L20" s="350">
        <f t="shared" si="2"/>
        <v>1</v>
      </c>
    </row>
    <row r="21" spans="1:12" s="350" customFormat="1" ht="21.9" customHeight="1">
      <c r="A21" s="344"/>
      <c r="B21" s="351" t="s">
        <v>95</v>
      </c>
      <c r="C21" s="352" t="s">
        <v>198</v>
      </c>
      <c r="D21" s="361"/>
      <c r="E21" s="356"/>
      <c r="F21" s="356"/>
      <c r="G21" s="356" t="str">
        <f t="shared" si="0"/>
        <v/>
      </c>
      <c r="H21" s="356" t="str">
        <f t="shared" si="1"/>
        <v/>
      </c>
      <c r="I21" s="355"/>
      <c r="J21" s="344" t="e">
        <f>VLOOKUP(C21,_klhd!C:J,8,0)</f>
        <v>#N/A</v>
      </c>
      <c r="K21" s="344" t="s">
        <v>597</v>
      </c>
      <c r="L21" s="350" t="e">
        <f t="shared" si="2"/>
        <v>#N/A</v>
      </c>
    </row>
    <row r="22" spans="1:12" s="350" customFormat="1" ht="21.9" customHeight="1">
      <c r="A22" s="344"/>
      <c r="B22" s="351">
        <v>1</v>
      </c>
      <c r="C22" s="352" t="s">
        <v>199</v>
      </c>
      <c r="D22" s="351" t="s">
        <v>185</v>
      </c>
      <c r="E22" s="351">
        <v>52</v>
      </c>
      <c r="F22" s="362">
        <v>52</v>
      </c>
      <c r="G22" s="356" t="str">
        <f t="shared" si="0"/>
        <v/>
      </c>
      <c r="H22" s="356" t="str">
        <f t="shared" si="1"/>
        <v/>
      </c>
      <c r="I22" s="357"/>
      <c r="J22" s="344" t="e">
        <f>VLOOKUP(C22,_klhd!C:J,8,0)</f>
        <v>#N/A</v>
      </c>
      <c r="K22" s="344" t="s">
        <v>597</v>
      </c>
      <c r="L22" s="350" t="e">
        <f t="shared" si="2"/>
        <v>#N/A</v>
      </c>
    </row>
    <row r="23" spans="1:12" s="350" customFormat="1" ht="21.9" customHeight="1">
      <c r="A23" s="344"/>
      <c r="B23" s="356"/>
      <c r="C23" s="358" t="s">
        <v>200</v>
      </c>
      <c r="D23" s="356" t="s">
        <v>190</v>
      </c>
      <c r="E23" s="356">
        <v>52</v>
      </c>
      <c r="F23" s="356">
        <f>F22</f>
        <v>52</v>
      </c>
      <c r="G23" s="356" t="str">
        <f t="shared" si="0"/>
        <v/>
      </c>
      <c r="H23" s="356" t="str">
        <f t="shared" si="1"/>
        <v/>
      </c>
      <c r="I23" s="363"/>
      <c r="J23" s="344" t="str">
        <f>VLOOKUP(C23,_klhd!C:J,8,0)</f>
        <v>A</v>
      </c>
      <c r="K23" s="344" t="str">
        <f>VLOOKUP(C23,_klhd!C:C,1,0)</f>
        <v>Đà tháp U160x64x5 - 2200mm (1 cái/ bộ)</v>
      </c>
      <c r="L23" s="350">
        <f t="shared" si="2"/>
        <v>1</v>
      </c>
    </row>
    <row r="24" spans="1:12" s="350" customFormat="1" ht="21.9" customHeight="1">
      <c r="A24" s="344"/>
      <c r="B24" s="361"/>
      <c r="C24" s="358" t="s">
        <v>201</v>
      </c>
      <c r="D24" s="356" t="s">
        <v>190</v>
      </c>
      <c r="E24" s="356">
        <v>52</v>
      </c>
      <c r="F24" s="356">
        <f>F22</f>
        <v>52</v>
      </c>
      <c r="G24" s="356" t="str">
        <f t="shared" si="0"/>
        <v/>
      </c>
      <c r="H24" s="356" t="str">
        <f t="shared" si="1"/>
        <v/>
      </c>
      <c r="I24" s="364" t="s">
        <v>202</v>
      </c>
      <c r="J24" s="344" t="str">
        <f>VLOOKUP(C24,_klhd!C:J,8,0)</f>
        <v>A</v>
      </c>
      <c r="K24" s="344" t="str">
        <f>VLOOKUP(C24,_klhd!C:C,1,0)</f>
        <v>Chân sứ đỉnh thẳng dài 870 - 4 ly sứ 24kV (không bọc chì)</v>
      </c>
      <c r="L24" s="350">
        <f t="shared" si="2"/>
        <v>1</v>
      </c>
    </row>
    <row r="25" spans="1:12" s="350" customFormat="1" ht="21.9" customHeight="1">
      <c r="A25" s="344"/>
      <c r="B25" s="356"/>
      <c r="C25" s="358" t="s">
        <v>203</v>
      </c>
      <c r="D25" s="356" t="s">
        <v>190</v>
      </c>
      <c r="E25" s="356">
        <v>104</v>
      </c>
      <c r="F25" s="356">
        <f>F22*2</f>
        <v>104</v>
      </c>
      <c r="G25" s="356" t="str">
        <f t="shared" si="0"/>
        <v/>
      </c>
      <c r="H25" s="356" t="str">
        <f t="shared" si="1"/>
        <v/>
      </c>
      <c r="I25" s="363"/>
      <c r="J25" s="344" t="str">
        <f>VLOOKUP(C25,_klhd!C:J,8,0)</f>
        <v>B</v>
      </c>
      <c r="K25" s="344" t="str">
        <f>VLOOKUP(C25,_klhd!C:C,1,0)</f>
        <v>Boulon D16x50 + 02 long đền vuông D18-50x50x3/Zn: (02 cái/ bộ)</v>
      </c>
      <c r="L25" s="350">
        <f t="shared" si="2"/>
        <v>0</v>
      </c>
    </row>
    <row r="26" spans="1:12" s="350" customFormat="1" ht="21.9" customHeight="1">
      <c r="A26" s="344"/>
      <c r="B26" s="356"/>
      <c r="C26" s="358" t="s">
        <v>204</v>
      </c>
      <c r="D26" s="356" t="s">
        <v>190</v>
      </c>
      <c r="E26" s="356">
        <v>104</v>
      </c>
      <c r="F26" s="356">
        <f>F22*2</f>
        <v>104</v>
      </c>
      <c r="G26" s="356" t="str">
        <f t="shared" si="0"/>
        <v/>
      </c>
      <c r="H26" s="356" t="str">
        <f t="shared" si="1"/>
        <v/>
      </c>
      <c r="I26" s="363"/>
      <c r="J26" s="344" t="str">
        <f>VLOOKUP(C26,_klhd!C:J,8,0)</f>
        <v>B</v>
      </c>
      <c r="K26" s="344" t="str">
        <f>VLOOKUP(C26,_klhd!C:C,1,0)</f>
        <v>Boulon D16x300VRS + 02 long đền vuông D18-50x50x3/Zn: (02 cái/ bộ)</v>
      </c>
      <c r="L26" s="350">
        <f t="shared" si="2"/>
        <v>0</v>
      </c>
    </row>
    <row r="27" spans="1:12" s="350" customFormat="1" ht="21.9" customHeight="1">
      <c r="A27" s="344"/>
      <c r="B27" s="351">
        <v>2</v>
      </c>
      <c r="C27" s="352" t="s">
        <v>205</v>
      </c>
      <c r="D27" s="351" t="s">
        <v>185</v>
      </c>
      <c r="E27" s="351">
        <v>10</v>
      </c>
      <c r="F27" s="362">
        <v>8</v>
      </c>
      <c r="G27" s="356" t="str">
        <f t="shared" si="0"/>
        <v/>
      </c>
      <c r="H27" s="356">
        <f t="shared" si="1"/>
        <v>2</v>
      </c>
      <c r="I27" s="653" t="s">
        <v>206</v>
      </c>
      <c r="J27" s="344" t="e">
        <f>VLOOKUP(C27,_klhd!C:J,8,0)</f>
        <v>#N/A</v>
      </c>
      <c r="K27" s="344" t="s">
        <v>597</v>
      </c>
      <c r="L27" s="350" t="e">
        <f t="shared" si="2"/>
        <v>#N/A</v>
      </c>
    </row>
    <row r="28" spans="1:12" s="350" customFormat="1" ht="21.9" customHeight="1">
      <c r="A28" s="344"/>
      <c r="B28" s="361"/>
      <c r="C28" s="358" t="s">
        <v>207</v>
      </c>
      <c r="D28" s="361" t="s">
        <v>190</v>
      </c>
      <c r="E28" s="361">
        <v>10</v>
      </c>
      <c r="F28" s="367">
        <v>6</v>
      </c>
      <c r="G28" s="356" t="str">
        <f t="shared" si="0"/>
        <v/>
      </c>
      <c r="H28" s="361">
        <f>IF(E28&gt;F28,E28-F28-F29,"")</f>
        <v>2</v>
      </c>
      <c r="I28" s="653"/>
      <c r="J28" s="344" t="str">
        <f>VLOOKUP(C28,_klhd!C:J,8,0)</f>
        <v>A</v>
      </c>
      <c r="K28" s="344" t="str">
        <f>VLOOKUP(C28,_klhd!C:C,1,0)</f>
        <v>Đà hộp composite 110x80x5-800</v>
      </c>
      <c r="L28" s="350">
        <f t="shared" si="2"/>
        <v>1</v>
      </c>
    </row>
    <row r="29" spans="1:12" s="350" customFormat="1" ht="21.9" customHeight="1">
      <c r="A29" s="344"/>
      <c r="B29" s="361"/>
      <c r="C29" s="358" t="s">
        <v>208</v>
      </c>
      <c r="D29" s="361"/>
      <c r="E29" s="361"/>
      <c r="F29" s="367">
        <v>2</v>
      </c>
      <c r="G29" s="356"/>
      <c r="H29" s="361"/>
      <c r="I29" s="653"/>
      <c r="J29" s="344" t="str">
        <f>VLOOKUP(C29,_klhd!C:J,8,0)</f>
        <v>A</v>
      </c>
      <c r="K29" s="344" t="str">
        <f>VLOOKUP(C29,_klhd!C:C,1,0)</f>
        <v>Đà hộp composite 110x80x5-800 SDL</v>
      </c>
      <c r="L29" s="350">
        <f t="shared" si="2"/>
        <v>0</v>
      </c>
    </row>
    <row r="30" spans="1:12" s="350" customFormat="1" ht="21.9" customHeight="1">
      <c r="A30" s="344"/>
      <c r="B30" s="361"/>
      <c r="C30" s="358" t="s">
        <v>209</v>
      </c>
      <c r="D30" s="361" t="s">
        <v>190</v>
      </c>
      <c r="E30" s="361">
        <v>10</v>
      </c>
      <c r="F30" s="367">
        <v>7</v>
      </c>
      <c r="G30" s="356" t="str">
        <f t="shared" si="0"/>
        <v/>
      </c>
      <c r="H30" s="656">
        <f>E30-F30-F31</f>
        <v>2</v>
      </c>
      <c r="I30" s="653"/>
      <c r="J30" s="344" t="str">
        <f>VLOOKUP(C30,_klhd!C:J,8,0)</f>
        <v>A</v>
      </c>
      <c r="K30" s="344" t="str">
        <f>VLOOKUP(C30,_klhd!C:C,1,0)</f>
        <v>Thanh chống composite 10x40x720</v>
      </c>
      <c r="L30" s="350">
        <f t="shared" si="2"/>
        <v>1</v>
      </c>
    </row>
    <row r="31" spans="1:12" s="350" customFormat="1" ht="21.9" customHeight="1">
      <c r="A31" s="344"/>
      <c r="B31" s="361"/>
      <c r="C31" s="358" t="s">
        <v>210</v>
      </c>
      <c r="D31" s="361"/>
      <c r="E31" s="361"/>
      <c r="F31" s="367">
        <v>1</v>
      </c>
      <c r="G31" s="356"/>
      <c r="H31" s="361"/>
      <c r="I31" s="653"/>
      <c r="J31" s="344" t="str">
        <f>VLOOKUP(C31,_klhd!C:J,8,0)</f>
        <v>A</v>
      </c>
      <c r="K31" s="344" t="str">
        <f>VLOOKUP(C31,_klhd!C:C,1,0)</f>
        <v>Thanh chống composite 10x40x710</v>
      </c>
      <c r="L31" s="350">
        <f t="shared" si="2"/>
        <v>0</v>
      </c>
    </row>
    <row r="32" spans="1:12" s="350" customFormat="1" ht="21.9" customHeight="1">
      <c r="A32" s="344"/>
      <c r="B32" s="356"/>
      <c r="C32" s="358" t="s">
        <v>211</v>
      </c>
      <c r="D32" s="356" t="s">
        <v>212</v>
      </c>
      <c r="E32" s="356">
        <v>10</v>
      </c>
      <c r="F32" s="367">
        <v>8</v>
      </c>
      <c r="G32" s="356" t="str">
        <f t="shared" si="0"/>
        <v/>
      </c>
      <c r="H32" s="356">
        <f t="shared" si="1"/>
        <v>2</v>
      </c>
      <c r="I32" s="653"/>
      <c r="J32" s="344" t="str">
        <f>VLOOKUP(C32,_klhd!C:J,8,0)</f>
        <v>B</v>
      </c>
      <c r="K32" s="344" t="str">
        <f>VLOOKUP(C32,_klhd!C:C,1,0)</f>
        <v>Boulon 16x350+ 2 long đền vuông D18-50x50x3/Zn</v>
      </c>
      <c r="L32" s="350">
        <f t="shared" si="2"/>
        <v>0</v>
      </c>
    </row>
    <row r="33" spans="1:12" s="350" customFormat="1" ht="21.9" customHeight="1">
      <c r="A33" s="344"/>
      <c r="B33" s="356"/>
      <c r="C33" s="358" t="s">
        <v>213</v>
      </c>
      <c r="D33" s="356" t="s">
        <v>212</v>
      </c>
      <c r="E33" s="356">
        <v>10</v>
      </c>
      <c r="F33" s="367">
        <v>4</v>
      </c>
      <c r="G33" s="356" t="str">
        <f t="shared" si="0"/>
        <v/>
      </c>
      <c r="H33" s="356">
        <f t="shared" si="1"/>
        <v>6</v>
      </c>
      <c r="I33" s="653"/>
      <c r="J33" s="344" t="str">
        <f>VLOOKUP(C33,_klhd!C:J,8,0)</f>
        <v>B</v>
      </c>
      <c r="K33" s="344" t="str">
        <f>VLOOKUP(C33,_klhd!C:C,1,0)</f>
        <v>Boulon 16x250 + 02 long đền vuông D18-50x50x3/Zn</v>
      </c>
      <c r="L33" s="350">
        <f t="shared" si="2"/>
        <v>0</v>
      </c>
    </row>
    <row r="34" spans="1:12" s="350" customFormat="1" ht="21.9" customHeight="1">
      <c r="A34" s="344"/>
      <c r="B34" s="356"/>
      <c r="C34" s="358" t="s">
        <v>214</v>
      </c>
      <c r="D34" s="356" t="s">
        <v>212</v>
      </c>
      <c r="E34" s="356">
        <v>10</v>
      </c>
      <c r="F34" s="367">
        <v>5</v>
      </c>
      <c r="G34" s="356" t="str">
        <f t="shared" si="0"/>
        <v/>
      </c>
      <c r="H34" s="356">
        <f t="shared" si="1"/>
        <v>5</v>
      </c>
      <c r="I34" s="653"/>
      <c r="J34" s="344" t="str">
        <f>VLOOKUP(C34,_klhd!C:J,8,0)</f>
        <v>B</v>
      </c>
      <c r="K34" s="344" t="str">
        <f>VLOOKUP(C34,_klhd!C:C,1,0)</f>
        <v>Boulon 14x120+ 2 long đền vuông D16-50x50x3/Zn</v>
      </c>
      <c r="L34" s="350">
        <f t="shared" si="2"/>
        <v>0</v>
      </c>
    </row>
    <row r="35" spans="1:12" s="344" customFormat="1" ht="21.9" customHeight="1">
      <c r="A35" s="344" t="s">
        <v>215</v>
      </c>
      <c r="B35" s="351">
        <v>3</v>
      </c>
      <c r="C35" s="352" t="s">
        <v>216</v>
      </c>
      <c r="D35" s="351" t="s">
        <v>185</v>
      </c>
      <c r="E35" s="351">
        <v>111</v>
      </c>
      <c r="F35" s="351">
        <v>109</v>
      </c>
      <c r="G35" s="356" t="str">
        <f t="shared" si="0"/>
        <v/>
      </c>
      <c r="H35" s="351">
        <f t="shared" si="1"/>
        <v>2</v>
      </c>
      <c r="I35" s="653" t="s">
        <v>217</v>
      </c>
      <c r="J35" s="344" t="e">
        <f>VLOOKUP(C35,_klhd!C:J,8,0)</f>
        <v>#N/A</v>
      </c>
      <c r="K35" s="344" t="s">
        <v>597</v>
      </c>
      <c r="L35" s="350" t="e">
        <f t="shared" si="2"/>
        <v>#N/A</v>
      </c>
    </row>
    <row r="36" spans="1:12" s="374" customFormat="1" ht="21.9" customHeight="1">
      <c r="A36" s="369"/>
      <c r="B36" s="370"/>
      <c r="C36" s="371" t="s">
        <v>218</v>
      </c>
      <c r="D36" s="356" t="s">
        <v>219</v>
      </c>
      <c r="E36" s="367">
        <v>1665</v>
      </c>
      <c r="F36" s="367">
        <f>F35*15</f>
        <v>1635</v>
      </c>
      <c r="G36" s="356" t="str">
        <f t="shared" si="0"/>
        <v/>
      </c>
      <c r="H36" s="372">
        <f t="shared" si="1"/>
        <v>30</v>
      </c>
      <c r="I36" s="653"/>
      <c r="J36" s="344" t="str">
        <f>VLOOKUP(C36,_klhd!C:J,8,0)</f>
        <v>A</v>
      </c>
      <c r="K36" s="344" t="str">
        <f>VLOOKUP(C36,_klhd!C:C,1,0)</f>
        <v>Cáp chằng D5/8" mạ kẽm nhúng</v>
      </c>
      <c r="L36" s="350">
        <f t="shared" si="2"/>
        <v>1</v>
      </c>
    </row>
    <row r="37" spans="1:12" s="344" customFormat="1" ht="21.9" customHeight="1">
      <c r="B37" s="356"/>
      <c r="C37" s="371" t="s">
        <v>220</v>
      </c>
      <c r="D37" s="356" t="s">
        <v>190</v>
      </c>
      <c r="E37" s="367">
        <v>111</v>
      </c>
      <c r="F37" s="367">
        <f>F35</f>
        <v>109</v>
      </c>
      <c r="G37" s="356" t="str">
        <f t="shared" si="0"/>
        <v/>
      </c>
      <c r="H37" s="372">
        <f t="shared" si="1"/>
        <v>2</v>
      </c>
      <c r="I37" s="653"/>
      <c r="J37" s="344" t="str">
        <f>VLOOKUP(C37,_klhd!C:J,8,0)</f>
        <v>A</v>
      </c>
      <c r="K37" s="344" t="str">
        <f>VLOOKUP(C37,_klhd!C:C,1,0)</f>
        <v>Sứ chằng lớn (90N): 01 cái/ bộ</v>
      </c>
      <c r="L37" s="350">
        <f t="shared" si="2"/>
        <v>1</v>
      </c>
    </row>
    <row r="38" spans="1:12" s="344" customFormat="1" ht="21.9" customHeight="1">
      <c r="B38" s="356"/>
      <c r="C38" s="371" t="s">
        <v>221</v>
      </c>
      <c r="D38" s="356" t="s">
        <v>190</v>
      </c>
      <c r="E38" s="367">
        <v>888</v>
      </c>
      <c r="F38" s="367">
        <f>F35*8</f>
        <v>872</v>
      </c>
      <c r="G38" s="356" t="str">
        <f t="shared" si="0"/>
        <v/>
      </c>
      <c r="H38" s="356">
        <f t="shared" si="1"/>
        <v>16</v>
      </c>
      <c r="I38" s="653"/>
      <c r="J38" s="344" t="str">
        <f>VLOOKUP(C38,_klhd!C:J,8,0)</f>
        <v>B</v>
      </c>
      <c r="K38" s="344" t="str">
        <f>VLOOKUP(C38,_klhd!C:C,1,0)</f>
        <v>Kẹp chằng 3 boulon 5/8"/Zn (B46x130): 08 cái/ bộ</v>
      </c>
      <c r="L38" s="350">
        <f t="shared" si="2"/>
        <v>0</v>
      </c>
    </row>
    <row r="39" spans="1:12" s="344" customFormat="1" ht="21.9" customHeight="1">
      <c r="B39" s="356"/>
      <c r="C39" s="358" t="s">
        <v>222</v>
      </c>
      <c r="D39" s="356" t="s">
        <v>212</v>
      </c>
      <c r="E39" s="367">
        <v>111</v>
      </c>
      <c r="F39" s="367">
        <f>F35</f>
        <v>109</v>
      </c>
      <c r="G39" s="356" t="str">
        <f t="shared" si="0"/>
        <v/>
      </c>
      <c r="H39" s="356">
        <f t="shared" si="1"/>
        <v>2</v>
      </c>
      <c r="I39" s="653"/>
      <c r="J39" s="344" t="str">
        <f>VLOOKUP(C39,_klhd!C:J,8,0)</f>
        <v>B</v>
      </c>
      <c r="K39" s="344" t="str">
        <f>VLOOKUP(C39,_klhd!C:C,1,0)</f>
        <v>Boulon mắt 16x250 + 01 long đền vuông D18-50x50x3/Zn</v>
      </c>
      <c r="L39" s="350">
        <f t="shared" si="2"/>
        <v>0</v>
      </c>
    </row>
    <row r="40" spans="1:12" s="375" customFormat="1" ht="21.9" customHeight="1">
      <c r="A40" s="344"/>
      <c r="B40" s="356"/>
      <c r="C40" s="358" t="s">
        <v>223</v>
      </c>
      <c r="D40" s="356" t="s">
        <v>190</v>
      </c>
      <c r="E40" s="367">
        <v>222</v>
      </c>
      <c r="F40" s="367">
        <f>F35*2</f>
        <v>218</v>
      </c>
      <c r="G40" s="356" t="str">
        <f t="shared" si="0"/>
        <v/>
      </c>
      <c r="H40" s="356">
        <f t="shared" si="1"/>
        <v>4</v>
      </c>
      <c r="I40" s="653"/>
      <c r="J40" s="344" t="str">
        <f>VLOOKUP(C40,_klhd!C:J,8,0)</f>
        <v>B</v>
      </c>
      <c r="K40" s="344" t="str">
        <f>VLOOKUP(C40,_klhd!C:C,1,0)</f>
        <v>Yếm đỡ dây chằng Ø1/2" mạ kẽm - dày 2mm đỡ dây chằng 5/8: 02 cái / bộ</v>
      </c>
      <c r="L40" s="350">
        <f t="shared" si="2"/>
        <v>0</v>
      </c>
    </row>
    <row r="41" spans="1:12" s="344" customFormat="1" ht="21.9" customHeight="1">
      <c r="B41" s="356"/>
      <c r="C41" s="358" t="s">
        <v>224</v>
      </c>
      <c r="D41" s="356" t="s">
        <v>190</v>
      </c>
      <c r="E41" s="367">
        <v>111</v>
      </c>
      <c r="F41" s="367">
        <f>F35</f>
        <v>109</v>
      </c>
      <c r="G41" s="356" t="str">
        <f t="shared" si="0"/>
        <v/>
      </c>
      <c r="H41" s="356">
        <f t="shared" si="1"/>
        <v>2</v>
      </c>
      <c r="I41" s="653"/>
      <c r="J41" s="344" t="str">
        <f>VLOOKUP(C41,_klhd!C:J,8,0)</f>
        <v>B</v>
      </c>
      <c r="K41" s="344" t="str">
        <f>VLOOKUP(C41,_klhd!C:C,1,0)</f>
        <v>Máng che dây chằng 0,8x2000: 01 cái/ bộ</v>
      </c>
      <c r="L41" s="350">
        <f t="shared" si="2"/>
        <v>0</v>
      </c>
    </row>
    <row r="42" spans="1:12" s="344" customFormat="1" ht="21.9" customHeight="1">
      <c r="A42" s="344" t="s">
        <v>225</v>
      </c>
      <c r="B42" s="351">
        <v>4</v>
      </c>
      <c r="C42" s="352" t="s">
        <v>226</v>
      </c>
      <c r="D42" s="351" t="s">
        <v>185</v>
      </c>
      <c r="E42" s="367">
        <v>32</v>
      </c>
      <c r="F42" s="367">
        <v>32</v>
      </c>
      <c r="G42" s="356" t="str">
        <f t="shared" si="0"/>
        <v/>
      </c>
      <c r="H42" s="356" t="str">
        <f t="shared" si="1"/>
        <v/>
      </c>
      <c r="I42" s="357"/>
      <c r="J42" s="344" t="e">
        <f>VLOOKUP(C42,_klhd!C:J,8,0)</f>
        <v>#N/A</v>
      </c>
      <c r="K42" s="344" t="s">
        <v>597</v>
      </c>
      <c r="L42" s="350" t="e">
        <f t="shared" si="2"/>
        <v>#N/A</v>
      </c>
    </row>
    <row r="43" spans="1:12" s="377" customFormat="1" ht="21.9" customHeight="1">
      <c r="A43" s="369"/>
      <c r="B43" s="370"/>
      <c r="C43" s="371" t="s">
        <v>218</v>
      </c>
      <c r="D43" s="356" t="s">
        <v>219</v>
      </c>
      <c r="E43" s="367">
        <v>416</v>
      </c>
      <c r="F43" s="367">
        <f>F42*13</f>
        <v>416</v>
      </c>
      <c r="G43" s="356" t="str">
        <f t="shared" si="0"/>
        <v/>
      </c>
      <c r="H43" s="356" t="str">
        <f t="shared" si="1"/>
        <v/>
      </c>
      <c r="I43" s="376"/>
      <c r="J43" s="344" t="str">
        <f>VLOOKUP(C43,_klhd!C:J,8,0)</f>
        <v>A</v>
      </c>
      <c r="K43" s="344" t="str">
        <f>VLOOKUP(C43,_klhd!C:C,1,0)</f>
        <v>Cáp chằng D5/8" mạ kẽm nhúng</v>
      </c>
      <c r="L43" s="350">
        <f t="shared" si="2"/>
        <v>1</v>
      </c>
    </row>
    <row r="44" spans="1:12" s="344" customFormat="1" ht="21.9" customHeight="1">
      <c r="B44" s="356"/>
      <c r="C44" s="371" t="s">
        <v>220</v>
      </c>
      <c r="D44" s="356" t="s">
        <v>190</v>
      </c>
      <c r="E44" s="367">
        <v>32</v>
      </c>
      <c r="F44" s="367">
        <f>F42</f>
        <v>32</v>
      </c>
      <c r="G44" s="356" t="str">
        <f t="shared" si="0"/>
        <v/>
      </c>
      <c r="H44" s="356" t="str">
        <f t="shared" si="1"/>
        <v/>
      </c>
      <c r="I44" s="359"/>
      <c r="J44" s="344" t="str">
        <f>VLOOKUP(C44,_klhd!C:J,8,0)</f>
        <v>A</v>
      </c>
      <c r="K44" s="344" t="str">
        <f>VLOOKUP(C44,_klhd!C:C,1,0)</f>
        <v>Sứ chằng lớn (90N): 01 cái/ bộ</v>
      </c>
      <c r="L44" s="350">
        <f t="shared" si="2"/>
        <v>1</v>
      </c>
    </row>
    <row r="45" spans="1:12" s="344" customFormat="1" ht="21.9" customHeight="1">
      <c r="B45" s="356"/>
      <c r="C45" s="371" t="s">
        <v>221</v>
      </c>
      <c r="D45" s="356" t="s">
        <v>190</v>
      </c>
      <c r="E45" s="367">
        <v>256</v>
      </c>
      <c r="F45" s="367">
        <f>F42*8</f>
        <v>256</v>
      </c>
      <c r="G45" s="356" t="str">
        <f t="shared" si="0"/>
        <v/>
      </c>
      <c r="H45" s="356" t="str">
        <f t="shared" si="1"/>
        <v/>
      </c>
      <c r="I45" s="359"/>
      <c r="J45" s="344" t="str">
        <f>VLOOKUP(C45,_klhd!C:J,8,0)</f>
        <v>B</v>
      </c>
      <c r="K45" s="344" t="str">
        <f>VLOOKUP(C45,_klhd!C:C,1,0)</f>
        <v>Kẹp chằng 3 boulon 5/8"/Zn (B46x130): 08 cái/ bộ</v>
      </c>
      <c r="L45" s="350">
        <f t="shared" si="2"/>
        <v>0</v>
      </c>
    </row>
    <row r="46" spans="1:12" s="344" customFormat="1" ht="21.9" customHeight="1">
      <c r="B46" s="356"/>
      <c r="C46" s="358" t="s">
        <v>227</v>
      </c>
      <c r="D46" s="356" t="s">
        <v>212</v>
      </c>
      <c r="E46" s="367">
        <v>32</v>
      </c>
      <c r="F46" s="367">
        <f>F42</f>
        <v>32</v>
      </c>
      <c r="G46" s="356" t="str">
        <f t="shared" si="0"/>
        <v/>
      </c>
      <c r="H46" s="356" t="str">
        <f t="shared" si="1"/>
        <v/>
      </c>
      <c r="I46" s="359"/>
      <c r="J46" s="344" t="str">
        <f>VLOOKUP(C46,_klhd!C:J,8,0)</f>
        <v>B</v>
      </c>
      <c r="K46" s="344" t="str">
        <f>VLOOKUP(C46,_klhd!C:C,1,0)</f>
        <v>Bộ chống chằng hẹp Φ60/50x1500+2BL12x40+BL16x250/80</v>
      </c>
      <c r="L46" s="350">
        <f t="shared" si="2"/>
        <v>0</v>
      </c>
    </row>
    <row r="47" spans="1:12" s="344" customFormat="1" ht="21.9" customHeight="1">
      <c r="B47" s="356"/>
      <c r="C47" s="358" t="s">
        <v>222</v>
      </c>
      <c r="D47" s="356" t="s">
        <v>212</v>
      </c>
      <c r="E47" s="367">
        <v>32</v>
      </c>
      <c r="F47" s="367">
        <f>F42</f>
        <v>32</v>
      </c>
      <c r="G47" s="356" t="str">
        <f t="shared" si="0"/>
        <v/>
      </c>
      <c r="H47" s="356" t="str">
        <f t="shared" si="1"/>
        <v/>
      </c>
      <c r="I47" s="359"/>
      <c r="J47" s="344" t="str">
        <f>VLOOKUP(C47,_klhd!C:J,8,0)</f>
        <v>B</v>
      </c>
      <c r="K47" s="344" t="str">
        <f>VLOOKUP(C47,_klhd!C:C,1,0)</f>
        <v>Boulon mắt 16x250 + 01 long đền vuông D18-50x50x3/Zn</v>
      </c>
      <c r="L47" s="350">
        <f t="shared" si="2"/>
        <v>0</v>
      </c>
    </row>
    <row r="48" spans="1:12" s="344" customFormat="1" ht="21.9" customHeight="1">
      <c r="B48" s="356"/>
      <c r="C48" s="358" t="s">
        <v>223</v>
      </c>
      <c r="D48" s="356" t="s">
        <v>190</v>
      </c>
      <c r="E48" s="367">
        <v>64</v>
      </c>
      <c r="F48" s="367">
        <f>F42*2</f>
        <v>64</v>
      </c>
      <c r="G48" s="356" t="str">
        <f t="shared" si="0"/>
        <v/>
      </c>
      <c r="H48" s="356" t="str">
        <f t="shared" si="1"/>
        <v/>
      </c>
      <c r="I48" s="359"/>
      <c r="J48" s="344" t="str">
        <f>VLOOKUP(C48,_klhd!C:J,8,0)</f>
        <v>B</v>
      </c>
      <c r="K48" s="344" t="str">
        <f>VLOOKUP(C48,_klhd!C:C,1,0)</f>
        <v>Yếm đỡ dây chằng Ø1/2" mạ kẽm - dày 2mm đỡ dây chằng 5/8: 02 cái / bộ</v>
      </c>
      <c r="L48" s="350">
        <f t="shared" si="2"/>
        <v>0</v>
      </c>
    </row>
    <row r="49" spans="1:12" s="344" customFormat="1" ht="21.9" customHeight="1">
      <c r="B49" s="356"/>
      <c r="C49" s="358" t="s">
        <v>224</v>
      </c>
      <c r="D49" s="356" t="s">
        <v>190</v>
      </c>
      <c r="E49" s="367">
        <v>32</v>
      </c>
      <c r="F49" s="367">
        <f>F42</f>
        <v>32</v>
      </c>
      <c r="G49" s="356" t="str">
        <f t="shared" si="0"/>
        <v/>
      </c>
      <c r="H49" s="356" t="str">
        <f t="shared" si="1"/>
        <v/>
      </c>
      <c r="I49" s="359"/>
      <c r="J49" s="344" t="str">
        <f>VLOOKUP(C49,_klhd!C:J,8,0)</f>
        <v>B</v>
      </c>
      <c r="K49" s="344" t="str">
        <f>VLOOKUP(C49,_klhd!C:C,1,0)</f>
        <v>Máng che dây chằng 0,8x2000: 01 cái/ bộ</v>
      </c>
      <c r="L49" s="350">
        <f t="shared" si="2"/>
        <v>0</v>
      </c>
    </row>
    <row r="50" spans="1:12" s="378" customFormat="1" ht="21.9" customHeight="1">
      <c r="A50" s="344"/>
      <c r="B50" s="362">
        <v>5</v>
      </c>
      <c r="C50" s="352" t="s">
        <v>228</v>
      </c>
      <c r="D50" s="351" t="s">
        <v>185</v>
      </c>
      <c r="E50" s="351">
        <v>3</v>
      </c>
      <c r="F50" s="351">
        <v>3</v>
      </c>
      <c r="G50" s="356" t="str">
        <f t="shared" si="0"/>
        <v/>
      </c>
      <c r="H50" s="351" t="str">
        <f t="shared" si="1"/>
        <v/>
      </c>
      <c r="I50" s="357"/>
      <c r="J50" s="344" t="e">
        <f>VLOOKUP(C50,_klhd!C:J,8,0)</f>
        <v>#N/A</v>
      </c>
      <c r="K50" s="344" t="s">
        <v>597</v>
      </c>
      <c r="L50" s="350" t="e">
        <f t="shared" si="2"/>
        <v>#N/A</v>
      </c>
    </row>
    <row r="51" spans="1:12" s="378" customFormat="1" ht="21.9" customHeight="1">
      <c r="A51" s="344"/>
      <c r="B51" s="367"/>
      <c r="C51" s="371" t="s">
        <v>218</v>
      </c>
      <c r="D51" s="356" t="s">
        <v>219</v>
      </c>
      <c r="E51" s="356">
        <v>60</v>
      </c>
      <c r="F51" s="356">
        <f>F50*20</f>
        <v>60</v>
      </c>
      <c r="G51" s="356" t="str">
        <f t="shared" si="0"/>
        <v/>
      </c>
      <c r="H51" s="356" t="str">
        <f t="shared" si="1"/>
        <v/>
      </c>
      <c r="I51" s="376"/>
      <c r="J51" s="344" t="str">
        <f>VLOOKUP(C51,_klhd!C:J,8,0)</f>
        <v>A</v>
      </c>
      <c r="K51" s="344" t="str">
        <f>VLOOKUP(C51,_klhd!C:C,1,0)</f>
        <v>Cáp chằng D5/8" mạ kẽm nhúng</v>
      </c>
      <c r="L51" s="350">
        <f t="shared" si="2"/>
        <v>1</v>
      </c>
    </row>
    <row r="52" spans="1:12" s="378" customFormat="1" ht="21.9" customHeight="1">
      <c r="A52" s="344"/>
      <c r="B52" s="367"/>
      <c r="C52" s="371" t="s">
        <v>220</v>
      </c>
      <c r="D52" s="356" t="s">
        <v>190</v>
      </c>
      <c r="E52" s="356">
        <v>3</v>
      </c>
      <c r="F52" s="356">
        <f>F50</f>
        <v>3</v>
      </c>
      <c r="G52" s="356" t="str">
        <f t="shared" si="0"/>
        <v/>
      </c>
      <c r="H52" s="356" t="str">
        <f t="shared" si="1"/>
        <v/>
      </c>
      <c r="I52" s="359"/>
      <c r="J52" s="344" t="str">
        <f>VLOOKUP(C52,_klhd!C:J,8,0)</f>
        <v>A</v>
      </c>
      <c r="K52" s="344" t="str">
        <f>VLOOKUP(C52,_klhd!C:C,1,0)</f>
        <v>Sứ chằng lớn (90N): 01 cái/ bộ</v>
      </c>
      <c r="L52" s="350">
        <f t="shared" si="2"/>
        <v>1</v>
      </c>
    </row>
    <row r="53" spans="1:12" s="378" customFormat="1" ht="21.9" customHeight="1">
      <c r="A53" s="344"/>
      <c r="B53" s="367"/>
      <c r="C53" s="371" t="s">
        <v>221</v>
      </c>
      <c r="D53" s="356" t="s">
        <v>190</v>
      </c>
      <c r="E53" s="356">
        <v>24</v>
      </c>
      <c r="F53" s="356">
        <f>F50*8</f>
        <v>24</v>
      </c>
      <c r="G53" s="356" t="str">
        <f t="shared" si="0"/>
        <v/>
      </c>
      <c r="H53" s="356" t="str">
        <f t="shared" si="1"/>
        <v/>
      </c>
      <c r="I53" s="359"/>
      <c r="J53" s="344" t="str">
        <f>VLOOKUP(C53,_klhd!C:J,8,0)</f>
        <v>B</v>
      </c>
      <c r="K53" s="344" t="str">
        <f>VLOOKUP(C53,_klhd!C:C,1,0)</f>
        <v>Kẹp chằng 3 boulon 5/8"/Zn (B46x130): 08 cái/ bộ</v>
      </c>
      <c r="L53" s="350">
        <f t="shared" si="2"/>
        <v>0</v>
      </c>
    </row>
    <row r="54" spans="1:12" s="378" customFormat="1" ht="21.9" customHeight="1">
      <c r="A54" s="344"/>
      <c r="B54" s="367"/>
      <c r="C54" s="358" t="s">
        <v>222</v>
      </c>
      <c r="D54" s="356" t="s">
        <v>190</v>
      </c>
      <c r="E54" s="356">
        <v>6</v>
      </c>
      <c r="F54" s="356">
        <f>F50*2</f>
        <v>6</v>
      </c>
      <c r="G54" s="356" t="str">
        <f t="shared" si="0"/>
        <v/>
      </c>
      <c r="H54" s="356" t="str">
        <f t="shared" si="1"/>
        <v/>
      </c>
      <c r="I54" s="359"/>
      <c r="J54" s="344" t="str">
        <f>VLOOKUP(C54,_klhd!C:J,8,0)</f>
        <v>B</v>
      </c>
      <c r="K54" s="344" t="str">
        <f>VLOOKUP(C54,_klhd!C:C,1,0)</f>
        <v>Boulon mắt 16x250 + 01 long đền vuông D18-50x50x3/Zn</v>
      </c>
      <c r="L54" s="350">
        <f t="shared" si="2"/>
        <v>0</v>
      </c>
    </row>
    <row r="55" spans="1:12" s="378" customFormat="1" ht="21.9" customHeight="1">
      <c r="A55" s="344"/>
      <c r="B55" s="367"/>
      <c r="C55" s="358" t="s">
        <v>223</v>
      </c>
      <c r="D55" s="356" t="s">
        <v>190</v>
      </c>
      <c r="E55" s="356">
        <v>6</v>
      </c>
      <c r="F55" s="356">
        <f>F50*2</f>
        <v>6</v>
      </c>
      <c r="G55" s="356" t="str">
        <f t="shared" si="0"/>
        <v/>
      </c>
      <c r="H55" s="356" t="str">
        <f t="shared" si="1"/>
        <v/>
      </c>
      <c r="I55" s="359"/>
      <c r="J55" s="344" t="str">
        <f>VLOOKUP(C55,_klhd!C:J,8,0)</f>
        <v>B</v>
      </c>
      <c r="K55" s="344" t="str">
        <f>VLOOKUP(C55,_klhd!C:C,1,0)</f>
        <v>Yếm đỡ dây chằng Ø1/2" mạ kẽm - dày 2mm đỡ dây chằng 5/8: 02 cái / bộ</v>
      </c>
      <c r="L55" s="350">
        <f t="shared" si="2"/>
        <v>0</v>
      </c>
    </row>
    <row r="56" spans="1:12" s="344" customFormat="1" ht="21.9" customHeight="1">
      <c r="A56" s="360" t="s">
        <v>229</v>
      </c>
      <c r="B56" s="351">
        <v>6</v>
      </c>
      <c r="C56" s="352" t="s">
        <v>230</v>
      </c>
      <c r="D56" s="351" t="s">
        <v>185</v>
      </c>
      <c r="E56" s="351">
        <v>5</v>
      </c>
      <c r="F56" s="351">
        <v>3</v>
      </c>
      <c r="G56" s="356" t="str">
        <f t="shared" si="0"/>
        <v/>
      </c>
      <c r="H56" s="351">
        <f t="shared" si="1"/>
        <v>2</v>
      </c>
      <c r="I56" s="653" t="s">
        <v>231</v>
      </c>
      <c r="J56" s="344" t="e">
        <f>VLOOKUP(C56,_klhd!C:J,8,0)</f>
        <v>#N/A</v>
      </c>
      <c r="K56" s="344" t="s">
        <v>597</v>
      </c>
      <c r="L56" s="350" t="e">
        <f t="shared" si="2"/>
        <v>#N/A</v>
      </c>
    </row>
    <row r="57" spans="1:12" s="344" customFormat="1" ht="21.9" customHeight="1">
      <c r="B57" s="356"/>
      <c r="C57" s="358" t="s">
        <v>232</v>
      </c>
      <c r="D57" s="356" t="s">
        <v>190</v>
      </c>
      <c r="E57" s="356">
        <v>5</v>
      </c>
      <c r="F57" s="356">
        <f>F56</f>
        <v>3</v>
      </c>
      <c r="G57" s="356" t="str">
        <f t="shared" si="0"/>
        <v/>
      </c>
      <c r="H57" s="356">
        <f t="shared" si="1"/>
        <v>2</v>
      </c>
      <c r="I57" s="654"/>
      <c r="J57" s="344" t="str">
        <f>VLOOKUP(C57,_klhd!C:J,8,0)</f>
        <v>B</v>
      </c>
      <c r="K57" s="344" t="str">
        <f>VLOOKUP(C57,_klhd!C:C,1,0)</f>
        <v>Ty neo Ø22x2400</v>
      </c>
      <c r="L57" s="350">
        <f t="shared" si="2"/>
        <v>0</v>
      </c>
    </row>
    <row r="58" spans="1:12" s="344" customFormat="1" ht="21.9" customHeight="1">
      <c r="B58" s="356"/>
      <c r="C58" s="358" t="s">
        <v>233</v>
      </c>
      <c r="D58" s="356" t="s">
        <v>190</v>
      </c>
      <c r="E58" s="356">
        <v>5</v>
      </c>
      <c r="F58" s="356">
        <f>F56</f>
        <v>3</v>
      </c>
      <c r="G58" s="356" t="str">
        <f t="shared" si="0"/>
        <v/>
      </c>
      <c r="H58" s="356">
        <f t="shared" si="1"/>
        <v>2</v>
      </c>
      <c r="I58" s="654"/>
      <c r="J58" s="344" t="str">
        <f>VLOOKUP(C58,_klhd!C:J,8,0)</f>
        <v>B</v>
      </c>
      <c r="K58" s="344" t="str">
        <f>VLOOKUP(C58,_klhd!C:C,1,0)</f>
        <v>Neo xòe 8H-135inch2 + đĩa sen (sơn đen)</v>
      </c>
      <c r="L58" s="350">
        <f t="shared" si="2"/>
        <v>0</v>
      </c>
    </row>
    <row r="59" spans="1:12" s="350" customFormat="1" ht="21.9" customHeight="1">
      <c r="A59" s="344"/>
      <c r="B59" s="351" t="s">
        <v>234</v>
      </c>
      <c r="C59" s="352" t="s">
        <v>235</v>
      </c>
      <c r="D59" s="361"/>
      <c r="E59" s="356"/>
      <c r="F59" s="356"/>
      <c r="G59" s="356" t="str">
        <f t="shared" si="0"/>
        <v/>
      </c>
      <c r="H59" s="356" t="str">
        <f t="shared" si="1"/>
        <v/>
      </c>
      <c r="I59" s="355"/>
      <c r="J59" s="344" t="e">
        <f>VLOOKUP(C59,_klhd!C:J,8,0)</f>
        <v>#N/A</v>
      </c>
      <c r="K59" s="344" t="s">
        <v>597</v>
      </c>
      <c r="L59" s="350" t="e">
        <f t="shared" si="2"/>
        <v>#N/A</v>
      </c>
    </row>
    <row r="60" spans="1:12" s="344" customFormat="1" ht="21.9" customHeight="1">
      <c r="B60" s="380" t="s">
        <v>236</v>
      </c>
      <c r="C60" s="358" t="s">
        <v>237</v>
      </c>
      <c r="D60" s="356" t="s">
        <v>30</v>
      </c>
      <c r="E60" s="367">
        <v>359</v>
      </c>
      <c r="F60" s="367">
        <v>351</v>
      </c>
      <c r="G60" s="356" t="str">
        <f t="shared" si="0"/>
        <v/>
      </c>
      <c r="H60" s="356">
        <f>IF(E60&gt;F60,E60-F60,"")</f>
        <v>8</v>
      </c>
      <c r="I60" s="655" t="s">
        <v>238</v>
      </c>
      <c r="J60" s="344" t="e">
        <f>VLOOKUP(C60,_klhd!C:J,8,0)</f>
        <v>#N/A</v>
      </c>
      <c r="K60" s="344" t="e">
        <f>VLOOKUP(C60,_klhd!C:C,1,0)</f>
        <v>#N/A</v>
      </c>
      <c r="L60" s="350" t="e">
        <f t="shared" si="2"/>
        <v>#N/A</v>
      </c>
    </row>
    <row r="61" spans="1:12" s="344" customFormat="1" ht="21.9" customHeight="1">
      <c r="B61" s="382"/>
      <c r="C61" s="358" t="s">
        <v>239</v>
      </c>
      <c r="D61" s="356" t="s">
        <v>219</v>
      </c>
      <c r="E61" s="367">
        <v>12162</v>
      </c>
      <c r="F61" s="367">
        <v>12144</v>
      </c>
      <c r="G61" s="356" t="str">
        <f t="shared" si="0"/>
        <v/>
      </c>
      <c r="H61" s="356">
        <f t="shared" si="1"/>
        <v>18</v>
      </c>
      <c r="I61" s="354"/>
      <c r="J61" s="344" t="str">
        <f>VLOOKUP(C61,_klhd!C:J,8,0)</f>
        <v>A</v>
      </c>
      <c r="K61" s="344" t="str">
        <f>VLOOKUP(C61,_klhd!C:C,1,0)</f>
        <v>Cáp ACX 50/8mm2 (24)KV: (1,02xCd)</v>
      </c>
      <c r="L61" s="350">
        <f t="shared" si="2"/>
        <v>1</v>
      </c>
    </row>
    <row r="62" spans="1:12" s="384" customFormat="1" ht="21.9" customHeight="1">
      <c r="B62" s="351">
        <v>1</v>
      </c>
      <c r="C62" s="352" t="s">
        <v>240</v>
      </c>
      <c r="D62" s="351" t="s">
        <v>185</v>
      </c>
      <c r="E62" s="351">
        <v>31</v>
      </c>
      <c r="F62" s="351">
        <v>31</v>
      </c>
      <c r="G62" s="356" t="str">
        <f t="shared" si="0"/>
        <v/>
      </c>
      <c r="H62" s="351" t="str">
        <f t="shared" si="1"/>
        <v/>
      </c>
      <c r="I62" s="385"/>
      <c r="J62" s="344" t="e">
        <f>VLOOKUP(C62,_klhd!C:J,8,0)</f>
        <v>#N/A</v>
      </c>
      <c r="K62" s="344" t="s">
        <v>597</v>
      </c>
      <c r="L62" s="350" t="e">
        <f t="shared" si="2"/>
        <v>#N/A</v>
      </c>
    </row>
    <row r="63" spans="1:12" s="344" customFormat="1" ht="21.9" customHeight="1">
      <c r="B63" s="356"/>
      <c r="C63" s="358" t="s">
        <v>241</v>
      </c>
      <c r="D63" s="356" t="s">
        <v>212</v>
      </c>
      <c r="E63" s="356">
        <v>31</v>
      </c>
      <c r="F63" s="356">
        <f>F62</f>
        <v>31</v>
      </c>
      <c r="G63" s="356" t="str">
        <f t="shared" si="0"/>
        <v/>
      </c>
      <c r="H63" s="356" t="str">
        <f t="shared" si="1"/>
        <v/>
      </c>
      <c r="I63" s="359"/>
      <c r="J63" s="344" t="str">
        <f>VLOOKUP(C63,_klhd!C:J,8,0)</f>
        <v>A</v>
      </c>
      <c r="K63" s="344" t="str">
        <f>VLOOKUP(C63,_klhd!C:C,1,0)</f>
        <v>Uclevis - 3mm</v>
      </c>
      <c r="L63" s="350">
        <f t="shared" si="2"/>
        <v>1</v>
      </c>
    </row>
    <row r="64" spans="1:12" s="344" customFormat="1" ht="21.9" customHeight="1">
      <c r="B64" s="356"/>
      <c r="C64" s="358" t="s">
        <v>242</v>
      </c>
      <c r="D64" s="356" t="s">
        <v>190</v>
      </c>
      <c r="E64" s="356">
        <v>31</v>
      </c>
      <c r="F64" s="356">
        <f>F62</f>
        <v>31</v>
      </c>
      <c r="G64" s="356" t="str">
        <f t="shared" si="0"/>
        <v/>
      </c>
      <c r="H64" s="356" t="str">
        <f t="shared" si="1"/>
        <v/>
      </c>
      <c r="I64" s="359"/>
      <c r="J64" s="344" t="str">
        <f>VLOOKUP(C64,_klhd!C:J,8,0)</f>
        <v>A</v>
      </c>
      <c r="K64" s="344" t="str">
        <f>VLOOKUP(C64,_klhd!C:C,1,0)</f>
        <v>Sứ ống chỉ</v>
      </c>
      <c r="L64" s="350">
        <f t="shared" si="2"/>
        <v>1</v>
      </c>
    </row>
    <row r="65" spans="1:12" s="344" customFormat="1" ht="21.9" customHeight="1">
      <c r="B65" s="356"/>
      <c r="C65" s="358" t="s">
        <v>213</v>
      </c>
      <c r="D65" s="356" t="s">
        <v>212</v>
      </c>
      <c r="E65" s="356">
        <v>31</v>
      </c>
      <c r="F65" s="356">
        <f>F62</f>
        <v>31</v>
      </c>
      <c r="G65" s="356" t="str">
        <f t="shared" si="0"/>
        <v/>
      </c>
      <c r="H65" s="356" t="str">
        <f t="shared" si="1"/>
        <v/>
      </c>
      <c r="I65" s="359"/>
      <c r="J65" s="344" t="str">
        <f>VLOOKUP(C65,_klhd!C:J,8,0)</f>
        <v>B</v>
      </c>
      <c r="K65" s="344" t="str">
        <f>VLOOKUP(C65,_klhd!C:C,1,0)</f>
        <v>Boulon 16x250 + 02 long đền vuông D18-50x50x3/Zn</v>
      </c>
      <c r="L65" s="350">
        <f t="shared" si="2"/>
        <v>0</v>
      </c>
    </row>
    <row r="66" spans="1:12" s="384" customFormat="1" ht="21.9" customHeight="1">
      <c r="A66" s="344"/>
      <c r="B66" s="351">
        <v>2</v>
      </c>
      <c r="C66" s="352" t="s">
        <v>243</v>
      </c>
      <c r="D66" s="351" t="s">
        <v>185</v>
      </c>
      <c r="E66" s="351">
        <v>74</v>
      </c>
      <c r="F66" s="351">
        <v>72</v>
      </c>
      <c r="G66" s="356" t="str">
        <f t="shared" si="0"/>
        <v/>
      </c>
      <c r="H66" s="351">
        <f t="shared" si="1"/>
        <v>2</v>
      </c>
      <c r="I66" s="653" t="s">
        <v>244</v>
      </c>
      <c r="J66" s="344" t="e">
        <f>VLOOKUP(C66,_klhd!C:J,8,0)</f>
        <v>#N/A</v>
      </c>
      <c r="K66" s="344" t="s">
        <v>597</v>
      </c>
      <c r="L66" s="350" t="e">
        <f t="shared" si="2"/>
        <v>#N/A</v>
      </c>
    </row>
    <row r="67" spans="1:12" s="344" customFormat="1" ht="21.9" customHeight="1">
      <c r="B67" s="356"/>
      <c r="C67" s="358" t="s">
        <v>245</v>
      </c>
      <c r="D67" s="356" t="s">
        <v>190</v>
      </c>
      <c r="E67" s="356">
        <v>74</v>
      </c>
      <c r="F67" s="356">
        <f>F66</f>
        <v>72</v>
      </c>
      <c r="G67" s="356" t="str">
        <f t="shared" si="0"/>
        <v/>
      </c>
      <c r="H67" s="356">
        <f t="shared" si="1"/>
        <v>2</v>
      </c>
      <c r="I67" s="654"/>
      <c r="J67" s="344" t="str">
        <f>VLOOKUP(C67,_klhd!C:J,8,0)</f>
        <v>B</v>
      </c>
      <c r="K67" s="344" t="str">
        <f>VLOOKUP(C67,_klhd!C:C,1,0)</f>
        <v>Kẹp dừng dây 3U-4mm (50-70mm2)</v>
      </c>
      <c r="L67" s="350">
        <f t="shared" si="2"/>
        <v>0</v>
      </c>
    </row>
    <row r="68" spans="1:12" s="350" customFormat="1" ht="21.9" customHeight="1">
      <c r="A68" s="344"/>
      <c r="B68" s="356"/>
      <c r="C68" s="358" t="s">
        <v>246</v>
      </c>
      <c r="D68" s="356" t="s">
        <v>212</v>
      </c>
      <c r="E68" s="356">
        <v>74</v>
      </c>
      <c r="F68" s="356">
        <f>F66</f>
        <v>72</v>
      </c>
      <c r="G68" s="356" t="str">
        <f t="shared" si="0"/>
        <v/>
      </c>
      <c r="H68" s="356">
        <f t="shared" si="1"/>
        <v>2</v>
      </c>
      <c r="I68" s="654"/>
      <c r="J68" s="344" t="str">
        <f>VLOOKUP(C68,_klhd!C:J,8,0)</f>
        <v>B</v>
      </c>
      <c r="K68" s="344" t="str">
        <f>VLOOKUP(C68,_klhd!C:C,1,0)</f>
        <v>Boulon mắt 16x300 + 1 long đền vuông D18-50x50x3/Zn</v>
      </c>
      <c r="L68" s="350">
        <f t="shared" si="2"/>
        <v>0</v>
      </c>
    </row>
    <row r="69" spans="1:12" s="384" customFormat="1" ht="26.25" customHeight="1">
      <c r="B69" s="351">
        <v>3</v>
      </c>
      <c r="C69" s="352" t="s">
        <v>247</v>
      </c>
      <c r="D69" s="351" t="s">
        <v>185</v>
      </c>
      <c r="E69" s="351">
        <v>29</v>
      </c>
      <c r="F69" s="351">
        <v>22</v>
      </c>
      <c r="G69" s="356" t="str">
        <f t="shared" si="0"/>
        <v/>
      </c>
      <c r="H69" s="356">
        <f t="shared" si="1"/>
        <v>7</v>
      </c>
      <c r="I69" s="653" t="s">
        <v>248</v>
      </c>
      <c r="J69" s="344" t="e">
        <f>VLOOKUP(C69,_klhd!C:J,8,0)</f>
        <v>#N/A</v>
      </c>
      <c r="K69" s="344" t="s">
        <v>597</v>
      </c>
      <c r="L69" s="350" t="e">
        <f t="shared" si="2"/>
        <v>#N/A</v>
      </c>
    </row>
    <row r="70" spans="1:12" s="344" customFormat="1" ht="26.25" customHeight="1">
      <c r="B70" s="356"/>
      <c r="C70" s="358" t="s">
        <v>249</v>
      </c>
      <c r="D70" s="356" t="s">
        <v>190</v>
      </c>
      <c r="E70" s="356">
        <v>29</v>
      </c>
      <c r="F70" s="356">
        <f>F69</f>
        <v>22</v>
      </c>
      <c r="G70" s="356" t="str">
        <f t="shared" si="0"/>
        <v/>
      </c>
      <c r="H70" s="356">
        <f t="shared" si="1"/>
        <v>7</v>
      </c>
      <c r="I70" s="653"/>
      <c r="J70" s="344" t="str">
        <f>VLOOKUP(C70,_klhd!C:J,8,0)</f>
        <v>A</v>
      </c>
      <c r="K70" s="344" t="str">
        <f>VLOOKUP(C70,_klhd!C:C,1,0)</f>
        <v>Sứ đứng 24KV ĐR540mm (không bọc chì)</v>
      </c>
      <c r="L70" s="350">
        <f t="shared" si="2"/>
        <v>1</v>
      </c>
    </row>
    <row r="71" spans="1:12" s="344" customFormat="1" ht="26.25" customHeight="1">
      <c r="B71" s="356"/>
      <c r="C71" s="358" t="s">
        <v>201</v>
      </c>
      <c r="D71" s="356" t="s">
        <v>190</v>
      </c>
      <c r="E71" s="356">
        <v>29</v>
      </c>
      <c r="F71" s="356">
        <f>F69</f>
        <v>22</v>
      </c>
      <c r="G71" s="356" t="str">
        <f t="shared" si="0"/>
        <v/>
      </c>
      <c r="H71" s="356">
        <f t="shared" si="1"/>
        <v>7</v>
      </c>
      <c r="I71" s="653"/>
      <c r="J71" s="344" t="str">
        <f>VLOOKUP(C71,_klhd!C:J,8,0)</f>
        <v>A</v>
      </c>
      <c r="K71" s="344" t="str">
        <f>VLOOKUP(C71,_klhd!C:C,1,0)</f>
        <v>Chân sứ đỉnh thẳng dài 870 - 4 ly sứ 24kV (không bọc chì)</v>
      </c>
      <c r="L71" s="350">
        <f t="shared" si="2"/>
        <v>1</v>
      </c>
    </row>
    <row r="72" spans="1:12" s="344" customFormat="1" ht="26.25" customHeight="1">
      <c r="B72" s="356"/>
      <c r="C72" s="358" t="s">
        <v>213</v>
      </c>
      <c r="D72" s="356" t="s">
        <v>212</v>
      </c>
      <c r="E72" s="356">
        <v>58</v>
      </c>
      <c r="F72" s="356">
        <f>F69*2</f>
        <v>44</v>
      </c>
      <c r="G72" s="356" t="str">
        <f t="shared" si="0"/>
        <v/>
      </c>
      <c r="H72" s="356">
        <f t="shared" si="1"/>
        <v>14</v>
      </c>
      <c r="I72" s="653"/>
      <c r="J72" s="344" t="str">
        <f>VLOOKUP(C72,_klhd!C:J,8,0)</f>
        <v>B</v>
      </c>
      <c r="K72" s="344" t="str">
        <f>VLOOKUP(C72,_klhd!C:C,1,0)</f>
        <v>Boulon 16x250 + 02 long đền vuông D18-50x50x3/Zn</v>
      </c>
      <c r="L72" s="350">
        <f t="shared" si="2"/>
        <v>0</v>
      </c>
    </row>
    <row r="73" spans="1:12" s="344" customFormat="1" ht="21.9" customHeight="1">
      <c r="B73" s="351">
        <v>4</v>
      </c>
      <c r="C73" s="352" t="s">
        <v>250</v>
      </c>
      <c r="D73" s="351" t="s">
        <v>185</v>
      </c>
      <c r="E73" s="351">
        <v>6</v>
      </c>
      <c r="F73" s="351">
        <v>5</v>
      </c>
      <c r="G73" s="356" t="str">
        <f t="shared" si="0"/>
        <v/>
      </c>
      <c r="H73" s="351">
        <f t="shared" si="1"/>
        <v>1</v>
      </c>
      <c r="I73" s="653" t="s">
        <v>251</v>
      </c>
      <c r="J73" s="344" t="e">
        <f>VLOOKUP(C73,_klhd!C:J,8,0)</f>
        <v>#N/A</v>
      </c>
      <c r="K73" s="344" t="s">
        <v>597</v>
      </c>
      <c r="L73" s="350" t="e">
        <f t="shared" si="2"/>
        <v>#N/A</v>
      </c>
    </row>
    <row r="74" spans="1:12" s="344" customFormat="1" ht="21.9" customHeight="1">
      <c r="B74" s="356"/>
      <c r="C74" s="358" t="s">
        <v>249</v>
      </c>
      <c r="D74" s="356" t="s">
        <v>190</v>
      </c>
      <c r="E74" s="356">
        <v>12</v>
      </c>
      <c r="F74" s="356">
        <f>F73*2</f>
        <v>10</v>
      </c>
      <c r="G74" s="356" t="str">
        <f t="shared" si="0"/>
        <v/>
      </c>
      <c r="H74" s="356">
        <f t="shared" si="1"/>
        <v>2</v>
      </c>
      <c r="I74" s="653"/>
      <c r="J74" s="344" t="str">
        <f>VLOOKUP(C74,_klhd!C:J,8,0)</f>
        <v>A</v>
      </c>
      <c r="K74" s="344" t="str">
        <f>VLOOKUP(C74,_klhd!C:C,1,0)</f>
        <v>Sứ đứng 24KV ĐR540mm (không bọc chì)</v>
      </c>
      <c r="L74" s="350">
        <f t="shared" si="2"/>
        <v>1</v>
      </c>
    </row>
    <row r="75" spans="1:12" s="344" customFormat="1" ht="21.9" customHeight="1">
      <c r="B75" s="356"/>
      <c r="C75" s="358" t="s">
        <v>252</v>
      </c>
      <c r="D75" s="356" t="s">
        <v>190</v>
      </c>
      <c r="E75" s="356">
        <v>12</v>
      </c>
      <c r="F75" s="356">
        <f>F73*2</f>
        <v>10</v>
      </c>
      <c r="G75" s="356" t="str">
        <f t="shared" si="0"/>
        <v/>
      </c>
      <c r="H75" s="356">
        <f t="shared" ref="H75:H138" si="4">IF(E75&gt;F75,E75-F75,"")</f>
        <v>2</v>
      </c>
      <c r="I75" s="653"/>
      <c r="J75" s="344" t="str">
        <f>VLOOKUP(C75,_klhd!C:J,8,0)</f>
        <v>A</v>
      </c>
      <c r="K75" s="344" t="str">
        <f>VLOOKUP(C75,_klhd!C:C,1,0)</f>
        <v>Chân sứ đỉnh cong dài 870 - 4 ly  sứ 24kV (không bọc chì)</v>
      </c>
      <c r="L75" s="350">
        <f t="shared" si="2"/>
        <v>1</v>
      </c>
    </row>
    <row r="76" spans="1:12" s="344" customFormat="1" ht="21.9" customHeight="1">
      <c r="B76" s="356"/>
      <c r="C76" s="358" t="s">
        <v>253</v>
      </c>
      <c r="D76" s="356" t="s">
        <v>212</v>
      </c>
      <c r="E76" s="356">
        <v>12</v>
      </c>
      <c r="F76" s="356">
        <f>F73*2</f>
        <v>10</v>
      </c>
      <c r="G76" s="356" t="str">
        <f t="shared" si="0"/>
        <v/>
      </c>
      <c r="H76" s="356">
        <f t="shared" si="4"/>
        <v>2</v>
      </c>
      <c r="I76" s="653"/>
      <c r="J76" s="344" t="str">
        <f>VLOOKUP(C76,_klhd!C:J,8,0)</f>
        <v>B</v>
      </c>
      <c r="K76" s="344" t="str">
        <f>VLOOKUP(C76,_klhd!C:C,1,0)</f>
        <v>Boulon 16x300 + 02 long đền vuông D18-50x50x3/Zn</v>
      </c>
      <c r="L76" s="350">
        <f t="shared" ref="L76:L130" si="5">IF(OR(AND($L$8=J76,H76&gt;0),ISERROR(J76)),1,0)</f>
        <v>0</v>
      </c>
    </row>
    <row r="77" spans="1:12" s="344" customFormat="1" ht="21.9" customHeight="1">
      <c r="B77" s="351">
        <v>5</v>
      </c>
      <c r="C77" s="352" t="s">
        <v>254</v>
      </c>
      <c r="D77" s="351" t="s">
        <v>185</v>
      </c>
      <c r="E77" s="351">
        <v>21</v>
      </c>
      <c r="F77" s="351">
        <v>21</v>
      </c>
      <c r="G77" s="356" t="str">
        <f t="shared" ref="G77:G130" si="6">IF(F77&gt;E77,F77-E77,"")</f>
        <v/>
      </c>
      <c r="H77" s="351" t="str">
        <f t="shared" si="4"/>
        <v/>
      </c>
      <c r="I77" s="357"/>
      <c r="J77" s="344" t="e">
        <f>VLOOKUP(C77,_klhd!C:J,8,0)</f>
        <v>#N/A</v>
      </c>
      <c r="K77" s="344" t="s">
        <v>597</v>
      </c>
      <c r="L77" s="350" t="e">
        <f t="shared" si="5"/>
        <v>#N/A</v>
      </c>
    </row>
    <row r="78" spans="1:12" s="344" customFormat="1" ht="21.9" customHeight="1">
      <c r="B78" s="356"/>
      <c r="C78" s="358" t="s">
        <v>201</v>
      </c>
      <c r="D78" s="356" t="s">
        <v>190</v>
      </c>
      <c r="E78" s="356">
        <v>21</v>
      </c>
      <c r="F78" s="356">
        <f>F77</f>
        <v>21</v>
      </c>
      <c r="G78" s="356" t="str">
        <f t="shared" si="6"/>
        <v/>
      </c>
      <c r="H78" s="356" t="str">
        <f t="shared" si="4"/>
        <v/>
      </c>
      <c r="I78" s="359"/>
      <c r="J78" s="344" t="str">
        <f>VLOOKUP(C78,_klhd!C:J,8,0)</f>
        <v>A</v>
      </c>
      <c r="K78" s="344" t="str">
        <f>VLOOKUP(C78,_klhd!C:C,1,0)</f>
        <v>Chân sứ đỉnh thẳng dài 870 - 4 ly sứ 24kV (không bọc chì)</v>
      </c>
      <c r="L78" s="350">
        <f t="shared" si="5"/>
        <v>1</v>
      </c>
    </row>
    <row r="79" spans="1:12" s="344" customFormat="1" ht="50.4">
      <c r="B79" s="356"/>
      <c r="C79" s="358" t="s">
        <v>213</v>
      </c>
      <c r="D79" s="356" t="s">
        <v>212</v>
      </c>
      <c r="E79" s="356">
        <v>42</v>
      </c>
      <c r="F79" s="356">
        <f>F77*2-1</f>
        <v>41</v>
      </c>
      <c r="G79" s="356" t="str">
        <f t="shared" si="6"/>
        <v/>
      </c>
      <c r="H79" s="356">
        <f t="shared" si="4"/>
        <v>1</v>
      </c>
      <c r="I79" s="386" t="s">
        <v>255</v>
      </c>
      <c r="J79" s="344" t="str">
        <f>VLOOKUP(C79,_klhd!C:J,8,0)</f>
        <v>B</v>
      </c>
      <c r="K79" s="344" t="str">
        <f>VLOOKUP(C79,_klhd!C:C,1,0)</f>
        <v>Boulon 16x250 + 02 long đền vuông D18-50x50x3/Zn</v>
      </c>
      <c r="L79" s="350">
        <f t="shared" si="5"/>
        <v>0</v>
      </c>
    </row>
    <row r="80" spans="1:12" s="384" customFormat="1" ht="21.9" customHeight="1">
      <c r="B80" s="351">
        <v>6</v>
      </c>
      <c r="C80" s="352" t="s">
        <v>256</v>
      </c>
      <c r="D80" s="351" t="s">
        <v>185</v>
      </c>
      <c r="E80" s="351">
        <v>80</v>
      </c>
      <c r="F80" s="351">
        <v>80</v>
      </c>
      <c r="G80" s="356" t="str">
        <f t="shared" si="6"/>
        <v/>
      </c>
      <c r="H80" s="351" t="str">
        <f t="shared" si="4"/>
        <v/>
      </c>
      <c r="I80" s="385"/>
      <c r="J80" s="344" t="e">
        <f>VLOOKUP(C80,_klhd!C:J,8,0)</f>
        <v>#N/A</v>
      </c>
      <c r="K80" s="344" t="s">
        <v>597</v>
      </c>
      <c r="L80" s="350" t="e">
        <f t="shared" si="5"/>
        <v>#N/A</v>
      </c>
    </row>
    <row r="81" spans="1:12" s="344" customFormat="1" ht="21.9" customHeight="1">
      <c r="B81" s="356"/>
      <c r="C81" s="358" t="s">
        <v>252</v>
      </c>
      <c r="D81" s="356" t="s">
        <v>190</v>
      </c>
      <c r="E81" s="356">
        <v>160</v>
      </c>
      <c r="F81" s="356">
        <f>F80*2</f>
        <v>160</v>
      </c>
      <c r="G81" s="356" t="str">
        <f t="shared" si="6"/>
        <v/>
      </c>
      <c r="H81" s="356" t="str">
        <f t="shared" si="4"/>
        <v/>
      </c>
      <c r="I81" s="359"/>
      <c r="J81" s="344" t="str">
        <f>VLOOKUP(C81,_klhd!C:J,8,0)</f>
        <v>A</v>
      </c>
      <c r="K81" s="344" t="str">
        <f>VLOOKUP(C81,_klhd!C:C,1,0)</f>
        <v>Chân sứ đỉnh cong dài 870 - 4 ly  sứ 24kV (không bọc chì)</v>
      </c>
      <c r="L81" s="350">
        <f t="shared" si="5"/>
        <v>1</v>
      </c>
    </row>
    <row r="82" spans="1:12" s="344" customFormat="1" ht="21.9" customHeight="1">
      <c r="B82" s="356"/>
      <c r="C82" s="358" t="s">
        <v>253</v>
      </c>
      <c r="D82" s="356" t="s">
        <v>212</v>
      </c>
      <c r="E82" s="356">
        <v>160</v>
      </c>
      <c r="F82" s="356">
        <f>F80*2</f>
        <v>160</v>
      </c>
      <c r="G82" s="356" t="str">
        <f t="shared" si="6"/>
        <v/>
      </c>
      <c r="H82" s="356" t="str">
        <f t="shared" si="4"/>
        <v/>
      </c>
      <c r="I82" s="359"/>
      <c r="J82" s="344" t="str">
        <f>VLOOKUP(C82,_klhd!C:J,8,0)</f>
        <v>B</v>
      </c>
      <c r="K82" s="344" t="str">
        <f>VLOOKUP(C82,_klhd!C:C,1,0)</f>
        <v>Boulon 16x300 + 02 long đền vuông D18-50x50x3/Zn</v>
      </c>
      <c r="L82" s="350">
        <f t="shared" si="5"/>
        <v>0</v>
      </c>
    </row>
    <row r="83" spans="1:12" s="387" customFormat="1" ht="21.9" customHeight="1">
      <c r="A83" s="344"/>
      <c r="B83" s="351">
        <v>7</v>
      </c>
      <c r="C83" s="352" t="s">
        <v>257</v>
      </c>
      <c r="D83" s="351" t="s">
        <v>185</v>
      </c>
      <c r="E83" s="351">
        <v>70</v>
      </c>
      <c r="F83" s="362">
        <v>50</v>
      </c>
      <c r="G83" s="356" t="str">
        <f t="shared" si="6"/>
        <v/>
      </c>
      <c r="H83" s="351">
        <f t="shared" si="4"/>
        <v>20</v>
      </c>
      <c r="I83" s="385"/>
      <c r="J83" s="344" t="e">
        <f>VLOOKUP(C83,_klhd!C:J,8,0)</f>
        <v>#N/A</v>
      </c>
      <c r="K83" s="344" t="s">
        <v>597</v>
      </c>
      <c r="L83" s="350" t="e">
        <f t="shared" si="5"/>
        <v>#N/A</v>
      </c>
    </row>
    <row r="84" spans="1:12" s="344" customFormat="1" ht="21.9" customHeight="1">
      <c r="B84" s="388"/>
      <c r="C84" s="389" t="s">
        <v>258</v>
      </c>
      <c r="D84" s="390" t="s">
        <v>259</v>
      </c>
      <c r="E84" s="390">
        <v>70</v>
      </c>
      <c r="F84" s="388">
        <v>50</v>
      </c>
      <c r="G84" s="390" t="str">
        <f t="shared" si="6"/>
        <v/>
      </c>
      <c r="H84" s="390">
        <f t="shared" si="4"/>
        <v>20</v>
      </c>
      <c r="I84" s="391" t="s">
        <v>260</v>
      </c>
      <c r="J84" s="344" t="str">
        <f>VLOOKUP(C84,_klhd!C:J,8,0)</f>
        <v>A</v>
      </c>
      <c r="K84" s="344" t="str">
        <f>VLOOKUP(C84,_klhd!C:C,1,0)</f>
        <v>Sứ treo polymer 24kV</v>
      </c>
      <c r="L84" s="350">
        <f t="shared" si="5"/>
        <v>1</v>
      </c>
    </row>
    <row r="85" spans="1:12" s="344" customFormat="1" ht="21.9" customHeight="1">
      <c r="B85" s="367"/>
      <c r="C85" s="358" t="s">
        <v>222</v>
      </c>
      <c r="D85" s="356" t="s">
        <v>212</v>
      </c>
      <c r="E85" s="356">
        <v>70</v>
      </c>
      <c r="F85" s="367">
        <v>70</v>
      </c>
      <c r="G85" s="356" t="str">
        <f t="shared" si="6"/>
        <v/>
      </c>
      <c r="H85" s="356" t="str">
        <f t="shared" si="4"/>
        <v/>
      </c>
      <c r="I85" s="359"/>
      <c r="J85" s="344" t="str">
        <f>VLOOKUP(C85,_klhd!C:J,8,0)</f>
        <v>B</v>
      </c>
      <c r="K85" s="344" t="str">
        <f>VLOOKUP(C85,_klhd!C:C,1,0)</f>
        <v>Boulon mắt 16x250 + 01 long đền vuông D18-50x50x3/Zn</v>
      </c>
      <c r="L85" s="350">
        <f t="shared" si="5"/>
        <v>0</v>
      </c>
    </row>
    <row r="86" spans="1:12" s="344" customFormat="1" ht="21.9" customHeight="1">
      <c r="B86" s="356"/>
      <c r="C86" s="392" t="s">
        <v>261</v>
      </c>
      <c r="D86" s="356" t="s">
        <v>190</v>
      </c>
      <c r="E86" s="356">
        <v>70</v>
      </c>
      <c r="F86" s="367">
        <v>70</v>
      </c>
      <c r="G86" s="356" t="str">
        <f t="shared" si="6"/>
        <v/>
      </c>
      <c r="H86" s="356" t="str">
        <f t="shared" si="4"/>
        <v/>
      </c>
      <c r="I86" s="359"/>
      <c r="J86" s="344" t="str">
        <f>VLOOKUP(C86,_klhd!C:J,8,0)</f>
        <v>B</v>
      </c>
      <c r="K86" s="344" t="str">
        <f>VLOOKUP(C86,_klhd!C:C,1,0)</f>
        <v>Móc treo chữ U Ø16: dài 100</v>
      </c>
      <c r="L86" s="350">
        <f t="shared" si="5"/>
        <v>0</v>
      </c>
    </row>
    <row r="87" spans="1:12" s="387" customFormat="1" ht="21.9" customHeight="1">
      <c r="A87" s="344"/>
      <c r="B87" s="351">
        <v>8</v>
      </c>
      <c r="C87" s="352" t="s">
        <v>262</v>
      </c>
      <c r="D87" s="351" t="s">
        <v>185</v>
      </c>
      <c r="E87" s="351">
        <v>4</v>
      </c>
      <c r="F87" s="362">
        <v>4</v>
      </c>
      <c r="G87" s="356" t="str">
        <f t="shared" si="6"/>
        <v/>
      </c>
      <c r="H87" s="351" t="str">
        <f t="shared" si="4"/>
        <v/>
      </c>
      <c r="I87" s="385"/>
      <c r="J87" s="344" t="e">
        <f>VLOOKUP(C87,_klhd!C:J,8,0)</f>
        <v>#N/A</v>
      </c>
      <c r="K87" s="344" t="s">
        <v>597</v>
      </c>
      <c r="L87" s="350" t="e">
        <f t="shared" si="5"/>
        <v>#N/A</v>
      </c>
    </row>
    <row r="88" spans="1:12" s="344" customFormat="1" ht="21.9" customHeight="1">
      <c r="B88" s="388"/>
      <c r="C88" s="389" t="s">
        <v>258</v>
      </c>
      <c r="D88" s="390" t="s">
        <v>259</v>
      </c>
      <c r="E88" s="390">
        <v>4</v>
      </c>
      <c r="F88" s="388">
        <v>4</v>
      </c>
      <c r="G88" s="390" t="str">
        <f t="shared" si="6"/>
        <v/>
      </c>
      <c r="H88" s="390" t="str">
        <f t="shared" si="4"/>
        <v/>
      </c>
      <c r="I88" s="391"/>
      <c r="J88" s="344" t="str">
        <f>VLOOKUP(C88,_klhd!C:J,8,0)</f>
        <v>A</v>
      </c>
      <c r="K88" s="344" t="str">
        <f>VLOOKUP(C88,_klhd!C:C,1,0)</f>
        <v>Sứ treo polymer 24kV</v>
      </c>
      <c r="L88" s="350">
        <f t="shared" si="5"/>
        <v>1</v>
      </c>
    </row>
    <row r="89" spans="1:12" s="344" customFormat="1" ht="21.9" customHeight="1">
      <c r="B89" s="356"/>
      <c r="C89" s="392" t="s">
        <v>261</v>
      </c>
      <c r="D89" s="356" t="s">
        <v>190</v>
      </c>
      <c r="E89" s="356">
        <v>4</v>
      </c>
      <c r="F89" s="356">
        <f>F87</f>
        <v>4</v>
      </c>
      <c r="G89" s="356" t="str">
        <f t="shared" si="6"/>
        <v/>
      </c>
      <c r="H89" s="356" t="str">
        <f t="shared" si="4"/>
        <v/>
      </c>
      <c r="I89" s="359"/>
      <c r="J89" s="344" t="str">
        <f>VLOOKUP(C89,_klhd!C:J,8,0)</f>
        <v>B</v>
      </c>
      <c r="K89" s="344" t="str">
        <f>VLOOKUP(C89,_klhd!C:C,1,0)</f>
        <v>Móc treo chữ U Ø16: dài 100</v>
      </c>
      <c r="L89" s="350">
        <f t="shared" si="5"/>
        <v>0</v>
      </c>
    </row>
    <row r="90" spans="1:12" s="344" customFormat="1" ht="21.9" customHeight="1">
      <c r="B90" s="351">
        <v>9</v>
      </c>
      <c r="C90" s="393" t="s">
        <v>263</v>
      </c>
      <c r="D90" s="351" t="s">
        <v>212</v>
      </c>
      <c r="E90" s="351">
        <v>74</v>
      </c>
      <c r="F90" s="351">
        <v>74</v>
      </c>
      <c r="G90" s="356" t="str">
        <f t="shared" si="6"/>
        <v/>
      </c>
      <c r="H90" s="351" t="str">
        <f t="shared" si="4"/>
        <v/>
      </c>
      <c r="I90" s="357"/>
      <c r="J90" s="344" t="str">
        <f>VLOOKUP(C90,_klhd!C:J,8,0)</f>
        <v>B</v>
      </c>
      <c r="K90" s="344" t="str">
        <f>VLOOKUP(C90,_klhd!C:C,1,0)</f>
        <v>Giáp níu dừng dây bọc trung thế ACX50mm2 + Yếm móng U giáp níu</v>
      </c>
      <c r="L90" s="350">
        <f t="shared" si="5"/>
        <v>0</v>
      </c>
    </row>
    <row r="91" spans="1:12" s="395" customFormat="1" ht="21.9" customHeight="1">
      <c r="A91" s="384"/>
      <c r="B91" s="351">
        <v>10</v>
      </c>
      <c r="C91" s="352" t="s">
        <v>264</v>
      </c>
      <c r="D91" s="351"/>
      <c r="E91" s="356"/>
      <c r="F91" s="356"/>
      <c r="G91" s="356" t="str">
        <f t="shared" si="6"/>
        <v/>
      </c>
      <c r="H91" s="356" t="str">
        <f t="shared" si="4"/>
        <v/>
      </c>
      <c r="I91" s="394"/>
      <c r="J91" s="344" t="e">
        <f>VLOOKUP(C91,_klhd!C:J,8,0)</f>
        <v>#N/A</v>
      </c>
      <c r="K91" s="344" t="s">
        <v>597</v>
      </c>
      <c r="L91" s="350" t="e">
        <f t="shared" si="5"/>
        <v>#N/A</v>
      </c>
    </row>
    <row r="92" spans="1:12" s="396" customFormat="1" ht="21.9" customHeight="1">
      <c r="A92" s="344"/>
      <c r="B92" s="356"/>
      <c r="C92" s="358" t="s">
        <v>189</v>
      </c>
      <c r="D92" s="356" t="s">
        <v>190</v>
      </c>
      <c r="E92" s="356">
        <v>4</v>
      </c>
      <c r="F92" s="356">
        <v>4</v>
      </c>
      <c r="G92" s="356" t="str">
        <f t="shared" si="6"/>
        <v/>
      </c>
      <c r="H92" s="356" t="str">
        <f t="shared" si="4"/>
        <v/>
      </c>
      <c r="I92" s="359"/>
      <c r="J92" s="344" t="str">
        <f>VLOOKUP(C92,_klhd!C:J,8,0)</f>
        <v>B</v>
      </c>
      <c r="K92" s="344" t="str">
        <f>VLOOKUP(C92,_klhd!C:C,1,0)</f>
        <v>Kẹp ép WR 279</v>
      </c>
      <c r="L92" s="350">
        <f t="shared" si="5"/>
        <v>0</v>
      </c>
    </row>
    <row r="93" spans="1:12" s="344" customFormat="1" ht="21.9" customHeight="1">
      <c r="B93" s="397"/>
      <c r="C93" s="358" t="s">
        <v>265</v>
      </c>
      <c r="D93" s="356" t="s">
        <v>190</v>
      </c>
      <c r="E93" s="356">
        <v>4</v>
      </c>
      <c r="F93" s="356">
        <v>4</v>
      </c>
      <c r="G93" s="356" t="str">
        <f t="shared" si="6"/>
        <v/>
      </c>
      <c r="H93" s="356" t="str">
        <f t="shared" si="4"/>
        <v/>
      </c>
      <c r="I93" s="359"/>
      <c r="J93" s="344" t="str">
        <f>VLOOKUP(C93,_klhd!C:J,8,0)</f>
        <v>B</v>
      </c>
      <c r="K93" s="344" t="str">
        <f>VLOOKUP(C93,_klhd!C:C,1,0)</f>
        <v>Kẹp ép WR 419 (120/120)</v>
      </c>
      <c r="L93" s="350">
        <f t="shared" si="5"/>
        <v>0</v>
      </c>
    </row>
    <row r="94" spans="1:12" s="344" customFormat="1" ht="21.9" customHeight="1">
      <c r="B94" s="397"/>
      <c r="C94" s="358" t="s">
        <v>266</v>
      </c>
      <c r="D94" s="356" t="s">
        <v>219</v>
      </c>
      <c r="E94" s="356">
        <v>6</v>
      </c>
      <c r="F94" s="356">
        <v>27.5</v>
      </c>
      <c r="G94" s="356">
        <f t="shared" si="6"/>
        <v>21.5</v>
      </c>
      <c r="H94" s="356" t="str">
        <f t="shared" si="4"/>
        <v/>
      </c>
      <c r="I94" s="354" t="s">
        <v>267</v>
      </c>
      <c r="J94" s="344" t="str">
        <f>VLOOKUP(C94,_klhd!C:J,8,0)</f>
        <v>A</v>
      </c>
      <c r="K94" s="344" t="str">
        <f>VLOOKUP(C94,_klhd!C:C,1,0)</f>
        <v>Cáp CXV 25mm2</v>
      </c>
      <c r="L94" s="350">
        <f t="shared" si="5"/>
        <v>1</v>
      </c>
    </row>
    <row r="95" spans="1:12" s="344" customFormat="1" ht="21.9" customHeight="1">
      <c r="B95" s="397"/>
      <c r="C95" s="358" t="s">
        <v>268</v>
      </c>
      <c r="D95" s="356" t="s">
        <v>219</v>
      </c>
      <c r="E95" s="356">
        <v>21.5</v>
      </c>
      <c r="F95" s="356">
        <v>0</v>
      </c>
      <c r="G95" s="356" t="str">
        <f t="shared" si="6"/>
        <v/>
      </c>
      <c r="H95" s="356">
        <f t="shared" si="4"/>
        <v>21.5</v>
      </c>
      <c r="I95" s="354"/>
      <c r="J95" s="344" t="str">
        <f>VLOOKUP(C95,_klhd!C:J,8,0)</f>
        <v>A</v>
      </c>
      <c r="K95" s="344" t="str">
        <f>VLOOKUP(C95,_klhd!C:C,1,0)</f>
        <v>Cáp CXV 50mm2</v>
      </c>
      <c r="L95" s="350">
        <f t="shared" si="5"/>
        <v>1</v>
      </c>
    </row>
    <row r="96" spans="1:12" s="377" customFormat="1" ht="33.6">
      <c r="A96" s="369">
        <f>A94+1</f>
        <v>1</v>
      </c>
      <c r="B96" s="398"/>
      <c r="C96" s="358" t="s">
        <v>269</v>
      </c>
      <c r="D96" s="356" t="s">
        <v>212</v>
      </c>
      <c r="E96" s="356">
        <v>35</v>
      </c>
      <c r="F96" s="356">
        <v>34</v>
      </c>
      <c r="G96" s="356" t="str">
        <f t="shared" si="6"/>
        <v/>
      </c>
      <c r="H96" s="356">
        <f t="shared" si="4"/>
        <v>1</v>
      </c>
      <c r="I96" s="386" t="s">
        <v>270</v>
      </c>
      <c r="J96" s="344" t="str">
        <f>VLOOKUP(C96,_klhd!C:J,8,0)</f>
        <v>B</v>
      </c>
      <c r="K96" s="344" t="str">
        <f>VLOOKUP(C96,_klhd!C:C,1,0)</f>
        <v>Kẹp quai Al-Cu 8 ly (4/0)</v>
      </c>
      <c r="L96" s="350">
        <f t="shared" si="5"/>
        <v>0</v>
      </c>
    </row>
    <row r="97" spans="1:12" s="377" customFormat="1" ht="21.9" customHeight="1">
      <c r="A97" s="369">
        <f>A96+1</f>
        <v>2</v>
      </c>
      <c r="B97" s="398"/>
      <c r="C97" s="399" t="s">
        <v>271</v>
      </c>
      <c r="D97" s="400" t="s">
        <v>190</v>
      </c>
      <c r="E97" s="356">
        <v>16</v>
      </c>
      <c r="F97" s="356">
        <v>16</v>
      </c>
      <c r="G97" s="356" t="str">
        <f t="shared" si="6"/>
        <v/>
      </c>
      <c r="H97" s="356" t="str">
        <f t="shared" si="4"/>
        <v/>
      </c>
      <c r="I97" s="359"/>
      <c r="J97" s="344" t="str">
        <f>VLOOKUP(C97,_klhd!C:J,8,0)</f>
        <v>B</v>
      </c>
      <c r="K97" s="344" t="str">
        <f>VLOOKUP(C97,_klhd!C:C,1,0)</f>
        <v>Hotline clamp mạ Sn 2/0</v>
      </c>
      <c r="L97" s="350">
        <f t="shared" si="5"/>
        <v>0</v>
      </c>
    </row>
    <row r="98" spans="1:12" s="377" customFormat="1" ht="21.9" customHeight="1">
      <c r="A98" s="369"/>
      <c r="B98" s="398"/>
      <c r="C98" s="399" t="s">
        <v>272</v>
      </c>
      <c r="D98" s="400" t="s">
        <v>190</v>
      </c>
      <c r="E98" s="356">
        <v>8</v>
      </c>
      <c r="F98" s="356">
        <v>8</v>
      </c>
      <c r="G98" s="356" t="str">
        <f t="shared" si="6"/>
        <v/>
      </c>
      <c r="H98" s="356" t="str">
        <f t="shared" si="4"/>
        <v/>
      </c>
      <c r="I98" s="359"/>
      <c r="J98" s="344" t="str">
        <f>VLOOKUP(C98,_klhd!C:J,8,0)</f>
        <v>B</v>
      </c>
      <c r="K98" s="344" t="str">
        <f>VLOOKUP(C98,_klhd!C:C,1,0)</f>
        <v>Hotline clamp mạ Sn 4/0</v>
      </c>
      <c r="L98" s="350">
        <f t="shared" si="5"/>
        <v>0</v>
      </c>
    </row>
    <row r="99" spans="1:12" s="377" customFormat="1" ht="33.6">
      <c r="A99" s="369">
        <f>A94+1</f>
        <v>1</v>
      </c>
      <c r="B99" s="370"/>
      <c r="C99" s="401" t="s">
        <v>273</v>
      </c>
      <c r="D99" s="400" t="s">
        <v>190</v>
      </c>
      <c r="E99" s="356">
        <v>33</v>
      </c>
      <c r="F99" s="356">
        <v>31</v>
      </c>
      <c r="G99" s="356" t="str">
        <f t="shared" si="6"/>
        <v/>
      </c>
      <c r="H99" s="356">
        <f>IF(E99&gt;F99,E99-F99,"")</f>
        <v>2</v>
      </c>
      <c r="I99" s="402" t="s">
        <v>274</v>
      </c>
      <c r="J99" s="344" t="str">
        <f>VLOOKUP(C99,_klhd!C:J,8,0)</f>
        <v>B</v>
      </c>
      <c r="K99" s="344" t="str">
        <f>VLOOKUP(C99,_klhd!C:C,1,0)</f>
        <v>Chụp kẹp quai hotline</v>
      </c>
      <c r="L99" s="350">
        <f t="shared" si="5"/>
        <v>0</v>
      </c>
    </row>
    <row r="100" spans="1:12" s="377" customFormat="1" ht="21.9" customHeight="1">
      <c r="A100" s="369"/>
      <c r="B100" s="370"/>
      <c r="C100" s="401" t="s">
        <v>275</v>
      </c>
      <c r="D100" s="400" t="s">
        <v>190</v>
      </c>
      <c r="E100" s="356">
        <v>10</v>
      </c>
      <c r="F100" s="356">
        <v>10</v>
      </c>
      <c r="G100" s="356" t="str">
        <f t="shared" si="6"/>
        <v/>
      </c>
      <c r="H100" s="356" t="str">
        <f t="shared" si="4"/>
        <v/>
      </c>
      <c r="I100" s="403"/>
      <c r="J100" s="344" t="str">
        <f>VLOOKUP(C100,_klhd!C:J,8,0)</f>
        <v>B</v>
      </c>
      <c r="K100" s="344" t="str">
        <f>VLOOKUP(C100,_klhd!C:C,1,0)</f>
        <v>Chụp FCO (Trên + Dưới)</v>
      </c>
      <c r="L100" s="350">
        <f t="shared" si="5"/>
        <v>0</v>
      </c>
    </row>
    <row r="101" spans="1:12" s="377" customFormat="1" ht="33.6">
      <c r="A101" s="369"/>
      <c r="B101" s="370"/>
      <c r="C101" s="401" t="s">
        <v>276</v>
      </c>
      <c r="D101" s="400" t="s">
        <v>190</v>
      </c>
      <c r="E101" s="356">
        <v>5</v>
      </c>
      <c r="F101" s="356">
        <v>4</v>
      </c>
      <c r="G101" s="356" t="str">
        <f t="shared" si="6"/>
        <v/>
      </c>
      <c r="H101" s="356">
        <f t="shared" si="4"/>
        <v>1</v>
      </c>
      <c r="I101" s="402" t="s">
        <v>277</v>
      </c>
      <c r="J101" s="344" t="str">
        <f>VLOOKUP(C101,_klhd!C:J,8,0)</f>
        <v>B</v>
      </c>
      <c r="K101" s="344" t="str">
        <f>VLOOKUP(C101,_klhd!C:C,1,0)</f>
        <v>Chụp LA</v>
      </c>
      <c r="L101" s="350">
        <f t="shared" si="5"/>
        <v>0</v>
      </c>
    </row>
    <row r="102" spans="1:12" s="377" customFormat="1" ht="21.9" customHeight="1">
      <c r="A102" s="404"/>
      <c r="B102" s="370"/>
      <c r="C102" s="401" t="s">
        <v>278</v>
      </c>
      <c r="D102" s="400" t="s">
        <v>212</v>
      </c>
      <c r="E102" s="356">
        <v>6</v>
      </c>
      <c r="F102" s="356">
        <v>6</v>
      </c>
      <c r="G102" s="356" t="str">
        <f t="shared" si="6"/>
        <v/>
      </c>
      <c r="H102" s="356" t="str">
        <f t="shared" si="4"/>
        <v/>
      </c>
      <c r="I102" s="403"/>
      <c r="J102" s="344" t="str">
        <f>VLOOKUP(C102,_klhd!C:J,8,0)</f>
        <v>B</v>
      </c>
      <c r="K102" s="344" t="str">
        <f>VLOOKUP(C102,_klhd!C:C,1,0)</f>
        <v>Bass LI bắt FCO</v>
      </c>
      <c r="L102" s="350">
        <f t="shared" si="5"/>
        <v>0</v>
      </c>
    </row>
    <row r="103" spans="1:12" s="377" customFormat="1" ht="21.9" customHeight="1">
      <c r="A103" s="404"/>
      <c r="B103" s="370"/>
      <c r="C103" s="401" t="s">
        <v>279</v>
      </c>
      <c r="D103" s="400" t="s">
        <v>212</v>
      </c>
      <c r="E103" s="356">
        <v>4</v>
      </c>
      <c r="F103" s="356">
        <v>4</v>
      </c>
      <c r="G103" s="356" t="str">
        <f t="shared" si="6"/>
        <v/>
      </c>
      <c r="H103" s="356" t="str">
        <f t="shared" si="4"/>
        <v/>
      </c>
      <c r="I103" s="403"/>
      <c r="J103" s="344" t="str">
        <f>VLOOKUP(C103,_klhd!C:J,8,0)</f>
        <v>B</v>
      </c>
      <c r="K103" s="344" t="str">
        <f>VLOOKUP(C103,_klhd!C:C,1,0)</f>
        <v>Bass LL bắt FCO &amp; LA</v>
      </c>
      <c r="L103" s="350">
        <f t="shared" si="5"/>
        <v>0</v>
      </c>
    </row>
    <row r="104" spans="1:12" s="377" customFormat="1" ht="21.9" customHeight="1">
      <c r="A104" s="404"/>
      <c r="B104" s="370"/>
      <c r="C104" s="401" t="s">
        <v>280</v>
      </c>
      <c r="D104" s="356" t="s">
        <v>190</v>
      </c>
      <c r="E104" s="356">
        <v>106</v>
      </c>
      <c r="F104" s="356">
        <v>99</v>
      </c>
      <c r="G104" s="356" t="str">
        <f t="shared" si="6"/>
        <v/>
      </c>
      <c r="H104" s="356">
        <f t="shared" si="4"/>
        <v>7</v>
      </c>
      <c r="I104" s="405" t="s">
        <v>281</v>
      </c>
      <c r="J104" s="344" t="str">
        <f>VLOOKUP(C104,_klhd!C:J,8,0)</f>
        <v>B</v>
      </c>
      <c r="K104" s="344" t="str">
        <f>VLOOKUP(C104,_klhd!C:C,1,0)</f>
        <v>Dây buộc cổ sứ đỡ thẳng vào dây ACX50mm2</v>
      </c>
      <c r="L104" s="350">
        <f t="shared" si="5"/>
        <v>0</v>
      </c>
    </row>
    <row r="105" spans="1:12" s="377" customFormat="1" ht="21.9" customHeight="1">
      <c r="A105" s="404"/>
      <c r="B105" s="370"/>
      <c r="C105" s="401" t="s">
        <v>282</v>
      </c>
      <c r="D105" s="400" t="s">
        <v>190</v>
      </c>
      <c r="E105" s="356">
        <v>172</v>
      </c>
      <c r="F105" s="356">
        <v>170</v>
      </c>
      <c r="G105" s="356" t="str">
        <f t="shared" si="6"/>
        <v/>
      </c>
      <c r="H105" s="356">
        <f t="shared" si="4"/>
        <v>2</v>
      </c>
      <c r="I105" s="405" t="s">
        <v>281</v>
      </c>
      <c r="J105" s="344" t="str">
        <f>VLOOKUP(C105,_klhd!C:J,8,0)</f>
        <v>B</v>
      </c>
      <c r="K105" s="344" t="str">
        <f>VLOOKUP(C105,_klhd!C:C,1,0)</f>
        <v>Dây buộc cổ sứ đỡ góc vào dây ACX50mm2</v>
      </c>
      <c r="L105" s="350">
        <f t="shared" si="5"/>
        <v>0</v>
      </c>
    </row>
    <row r="106" spans="1:12" s="344" customFormat="1" ht="21.9" customHeight="1">
      <c r="B106" s="356"/>
      <c r="C106" s="358" t="s">
        <v>283</v>
      </c>
      <c r="D106" s="356" t="s">
        <v>284</v>
      </c>
      <c r="E106" s="356">
        <v>1</v>
      </c>
      <c r="F106" s="356">
        <v>1</v>
      </c>
      <c r="G106" s="356" t="str">
        <f t="shared" si="6"/>
        <v/>
      </c>
      <c r="H106" s="356" t="str">
        <f t="shared" si="4"/>
        <v/>
      </c>
      <c r="I106" s="406"/>
      <c r="J106" s="344" t="str">
        <f>VLOOKUP(C106,_klhd!C:J,8,0)</f>
        <v>B</v>
      </c>
      <c r="K106" s="344" t="str">
        <f>VLOOKUP(C106,_klhd!C:C,1,0)</f>
        <v>Ống nối dây AC95mm2 (không có lõi thép)</v>
      </c>
      <c r="L106" s="350">
        <f t="shared" si="5"/>
        <v>0</v>
      </c>
    </row>
    <row r="107" spans="1:12" s="344" customFormat="1" ht="21.9" customHeight="1">
      <c r="B107" s="356"/>
      <c r="C107" s="358" t="s">
        <v>285</v>
      </c>
      <c r="D107" s="356" t="s">
        <v>284</v>
      </c>
      <c r="E107" s="356">
        <v>41</v>
      </c>
      <c r="F107" s="407">
        <v>20</v>
      </c>
      <c r="G107" s="356" t="str">
        <f t="shared" si="6"/>
        <v/>
      </c>
      <c r="H107" s="356">
        <f t="shared" si="4"/>
        <v>21</v>
      </c>
      <c r="I107" s="405" t="s">
        <v>281</v>
      </c>
      <c r="J107" s="344" t="str">
        <f>VLOOKUP(C107,_klhd!C:J,8,0)</f>
        <v>B</v>
      </c>
      <c r="K107" s="344" t="str">
        <f>VLOOKUP(C107,_klhd!C:C,1,0)</f>
        <v>Ống nối dây AC50mm2 (không có lõi thép)</v>
      </c>
      <c r="L107" s="350">
        <f t="shared" si="5"/>
        <v>0</v>
      </c>
    </row>
    <row r="108" spans="1:12" s="350" customFormat="1" ht="21.9" customHeight="1">
      <c r="A108" s="344"/>
      <c r="B108" s="356"/>
      <c r="C108" s="358" t="s">
        <v>286</v>
      </c>
      <c r="D108" s="356" t="s">
        <v>219</v>
      </c>
      <c r="E108" s="356">
        <v>41</v>
      </c>
      <c r="F108" s="408">
        <v>20.5</v>
      </c>
      <c r="G108" s="356" t="str">
        <f t="shared" si="6"/>
        <v/>
      </c>
      <c r="H108" s="356">
        <f t="shared" si="4"/>
        <v>20.5</v>
      </c>
      <c r="I108" s="405" t="s">
        <v>281</v>
      </c>
      <c r="J108" s="344" t="str">
        <f>VLOOKUP(C108,_klhd!C:J,8,0)</f>
        <v>B</v>
      </c>
      <c r="K108" s="344" t="str">
        <f>VLOOKUP(C108,_klhd!C:C,1,0)</f>
        <v>Ống co nhiệt cách điện loại Ф 50/25 độ dày &gt;1mm</v>
      </c>
      <c r="L108" s="350">
        <f t="shared" si="5"/>
        <v>0</v>
      </c>
    </row>
    <row r="109" spans="1:12" s="350" customFormat="1" ht="21.9" customHeight="1">
      <c r="A109" s="344"/>
      <c r="B109" s="356"/>
      <c r="C109" s="358" t="s">
        <v>287</v>
      </c>
      <c r="D109" s="356" t="s">
        <v>30</v>
      </c>
      <c r="E109" s="356">
        <v>1</v>
      </c>
      <c r="F109" s="356">
        <f>E109</f>
        <v>1</v>
      </c>
      <c r="G109" s="356" t="str">
        <f t="shared" si="6"/>
        <v/>
      </c>
      <c r="H109" s="356" t="str">
        <f t="shared" si="4"/>
        <v/>
      </c>
      <c r="I109" s="359"/>
      <c r="J109" s="344" t="str">
        <f>VLOOKUP(C109,_klhd!C:J,8,0)</f>
        <v>A</v>
      </c>
      <c r="K109" s="344" t="str">
        <f>VLOOKUP(C109,_klhd!C:C,1,0)</f>
        <v>Dây nhôm A70 (buộc sứ ống chỉ vào AC 70; 1,2m/tao/sứ)</v>
      </c>
      <c r="L109" s="350">
        <f t="shared" si="5"/>
        <v>1</v>
      </c>
    </row>
    <row r="110" spans="1:12" s="350" customFormat="1" ht="21.9" customHeight="1">
      <c r="A110" s="344"/>
      <c r="B110" s="367"/>
      <c r="C110" s="358" t="s">
        <v>288</v>
      </c>
      <c r="D110" s="356" t="s">
        <v>30</v>
      </c>
      <c r="E110" s="356">
        <v>1</v>
      </c>
      <c r="F110" s="356">
        <f>E110</f>
        <v>1</v>
      </c>
      <c r="G110" s="356" t="str">
        <f t="shared" si="6"/>
        <v/>
      </c>
      <c r="H110" s="356" t="str">
        <f t="shared" si="4"/>
        <v/>
      </c>
      <c r="I110" s="359"/>
      <c r="J110" s="344" t="str">
        <f>VLOOKUP(C110,_klhd!C:J,8,0)</f>
        <v>B</v>
      </c>
      <c r="K110" s="344" t="str">
        <f>VLOOKUP(C110,_klhd!C:C,1,0)</f>
        <v>Sơn trắng (sơn nền):1kg/20 trụ</v>
      </c>
      <c r="L110" s="350">
        <f t="shared" si="5"/>
        <v>0</v>
      </c>
    </row>
    <row r="111" spans="1:12" s="350" customFormat="1" ht="21.9" customHeight="1">
      <c r="A111" s="344"/>
      <c r="B111" s="367"/>
      <c r="C111" s="358" t="s">
        <v>289</v>
      </c>
      <c r="D111" s="356" t="s">
        <v>290</v>
      </c>
      <c r="E111" s="356">
        <v>1</v>
      </c>
      <c r="F111" s="356">
        <f>E111</f>
        <v>1</v>
      </c>
      <c r="G111" s="356" t="str">
        <f t="shared" si="6"/>
        <v/>
      </c>
      <c r="H111" s="356" t="str">
        <f t="shared" si="4"/>
        <v/>
      </c>
      <c r="I111" s="359"/>
      <c r="J111" s="344" t="str">
        <f>VLOOKUP(C111,_klhd!C:J,8,0)</f>
        <v>B</v>
      </c>
      <c r="K111" s="344" t="str">
        <f>VLOOKUP(C111,_klhd!C:C,1,0)</f>
        <v>Sơn đen (sơn chữ): 400ml (1bình/15 trụ)</v>
      </c>
      <c r="L111" s="350">
        <f t="shared" si="5"/>
        <v>0</v>
      </c>
    </row>
    <row r="112" spans="1:12" s="413" customFormat="1" ht="21.9" customHeight="1">
      <c r="B112" s="409" t="s">
        <v>92</v>
      </c>
      <c r="C112" s="410" t="s">
        <v>291</v>
      </c>
      <c r="D112" s="409"/>
      <c r="E112" s="411"/>
      <c r="F112" s="411"/>
      <c r="G112" s="351" t="str">
        <f t="shared" si="6"/>
        <v/>
      </c>
      <c r="H112" s="351" t="str">
        <f t="shared" si="4"/>
        <v/>
      </c>
      <c r="I112" s="412"/>
      <c r="J112" s="344" t="e">
        <f>VLOOKUP(C112,_klhd!C:J,8,0)</f>
        <v>#N/A</v>
      </c>
      <c r="K112" s="344" t="s">
        <v>597</v>
      </c>
      <c r="L112" s="350" t="e">
        <f t="shared" si="5"/>
        <v>#N/A</v>
      </c>
    </row>
    <row r="113" spans="2:12" ht="37.5" customHeight="1">
      <c r="B113" s="361"/>
      <c r="C113" s="414" t="s">
        <v>292</v>
      </c>
      <c r="D113" s="415" t="s">
        <v>293</v>
      </c>
      <c r="E113" s="416">
        <v>5.5</v>
      </c>
      <c r="F113" s="416">
        <f>E113</f>
        <v>5.5</v>
      </c>
      <c r="G113" s="356" t="str">
        <f t="shared" si="6"/>
        <v/>
      </c>
      <c r="H113" s="356" t="str">
        <f t="shared" si="4"/>
        <v/>
      </c>
      <c r="I113" s="355"/>
      <c r="J113" s="344" t="str">
        <f>VLOOKUP(C113,_klhd!C:J,8,0)</f>
        <v>B</v>
      </c>
      <c r="K113" s="344" t="str">
        <f>VLOOKUP(C113,_klhd!C:C,1,0)</f>
        <v>Đào đất cấp III : 0,226m3/móng M12; 0,25m3/móng neo xuống; 0,25m3/móng neo lệch.</v>
      </c>
      <c r="L113" s="350">
        <f t="shared" si="5"/>
        <v>0</v>
      </c>
    </row>
    <row r="114" spans="2:12" ht="34.5" customHeight="1">
      <c r="B114" s="361"/>
      <c r="C114" s="414" t="s">
        <v>294</v>
      </c>
      <c r="D114" s="415" t="s">
        <v>293</v>
      </c>
      <c r="E114" s="416">
        <v>4.7</v>
      </c>
      <c r="F114" s="416">
        <f>E114</f>
        <v>4.7</v>
      </c>
      <c r="G114" s="356" t="str">
        <f t="shared" si="6"/>
        <v/>
      </c>
      <c r="H114" s="356" t="str">
        <f t="shared" si="4"/>
        <v/>
      </c>
      <c r="I114" s="355"/>
      <c r="J114" s="344" t="str">
        <f>VLOOKUP(C114,_klhd!C:J,8,0)</f>
        <v>B</v>
      </c>
      <c r="K114" s="344" t="str">
        <f>VLOOKUP(C114,_klhd!C:C,1,0)</f>
        <v>Đắp đất k=0,9 : 0,18m3/móng M12; 0,25m3/móng neo xuống; 0,25m3/móng neo lệch.</v>
      </c>
      <c r="L114" s="350">
        <f t="shared" si="5"/>
        <v>0</v>
      </c>
    </row>
    <row r="115" spans="2:12" ht="21.9" customHeight="1">
      <c r="B115" s="361"/>
      <c r="C115" s="414" t="s">
        <v>295</v>
      </c>
      <c r="D115" s="415" t="s">
        <v>188</v>
      </c>
      <c r="E115" s="417">
        <v>33</v>
      </c>
      <c r="F115" s="417">
        <f>F15</f>
        <v>33</v>
      </c>
      <c r="G115" s="356" t="str">
        <f t="shared" si="6"/>
        <v/>
      </c>
      <c r="H115" s="356" t="str">
        <f t="shared" si="4"/>
        <v/>
      </c>
      <c r="I115" s="355"/>
      <c r="J115" s="344" t="str">
        <f>VLOOKUP(C115,_klhd!C:J,8,0)</f>
        <v>B</v>
      </c>
      <c r="K115" s="344" t="str">
        <f>VLOOKUP(C115,_klhd!C:C,1,0)</f>
        <v>Đóng trực tiếp cọc tiếp địa xuống đất</v>
      </c>
      <c r="L115" s="350">
        <f t="shared" si="5"/>
        <v>0</v>
      </c>
    </row>
    <row r="116" spans="2:12" ht="21.9" customHeight="1">
      <c r="B116" s="361"/>
      <c r="C116" s="418" t="s">
        <v>296</v>
      </c>
      <c r="D116" s="415" t="s">
        <v>197</v>
      </c>
      <c r="E116" s="419">
        <v>19</v>
      </c>
      <c r="F116" s="417">
        <f>F20</f>
        <v>19</v>
      </c>
      <c r="G116" s="356" t="str">
        <f t="shared" si="6"/>
        <v/>
      </c>
      <c r="H116" s="356" t="str">
        <f t="shared" si="4"/>
        <v/>
      </c>
      <c r="I116" s="355"/>
      <c r="J116" s="344" t="str">
        <f>VLOOKUP(C116,_klhd!C:J,8,0)</f>
        <v>B</v>
      </c>
      <c r="K116" s="344" t="str">
        <f>VLOOKUP(C116,_klhd!C:C,1,0)</f>
        <v>Thay trụ ≤12m : bằng cẩu + thủ công</v>
      </c>
      <c r="L116" s="350">
        <f t="shared" si="5"/>
        <v>0</v>
      </c>
    </row>
    <row r="117" spans="2:12" ht="21.9" customHeight="1">
      <c r="B117" s="361"/>
      <c r="C117" s="418" t="s">
        <v>297</v>
      </c>
      <c r="D117" s="415" t="s">
        <v>212</v>
      </c>
      <c r="E117" s="419">
        <v>141</v>
      </c>
      <c r="F117" s="417">
        <v>141</v>
      </c>
      <c r="G117" s="356" t="str">
        <f t="shared" si="6"/>
        <v/>
      </c>
      <c r="H117" s="356" t="str">
        <f t="shared" si="4"/>
        <v/>
      </c>
      <c r="I117" s="355"/>
      <c r="J117" s="344" t="str">
        <f>VLOOKUP(C117,_klhd!C:J,8,0)</f>
        <v>B</v>
      </c>
      <c r="K117" s="344" t="str">
        <f>VLOOKUP(C117,_klhd!C:C,1,0)</f>
        <v>Tháo bộ dây chằng</v>
      </c>
      <c r="L117" s="350">
        <f t="shared" si="5"/>
        <v>0</v>
      </c>
    </row>
    <row r="118" spans="2:12" ht="21.9" customHeight="1">
      <c r="B118" s="361"/>
      <c r="C118" s="418" t="s">
        <v>298</v>
      </c>
      <c r="D118" s="415" t="s">
        <v>212</v>
      </c>
      <c r="E118" s="419">
        <v>146</v>
      </c>
      <c r="F118" s="417">
        <v>144</v>
      </c>
      <c r="G118" s="356" t="str">
        <f t="shared" si="6"/>
        <v/>
      </c>
      <c r="H118" s="356">
        <f t="shared" si="4"/>
        <v>2</v>
      </c>
      <c r="I118" s="405" t="s">
        <v>281</v>
      </c>
      <c r="J118" s="344" t="str">
        <f>VLOOKUP(C118,_klhd!C:J,8,0)</f>
        <v>B</v>
      </c>
      <c r="K118" s="344" t="str">
        <f>VLOOKUP(C118,_klhd!C:C,1,0)</f>
        <v>Lắp bộ dây chằng</v>
      </c>
      <c r="L118" s="350">
        <f t="shared" si="5"/>
        <v>0</v>
      </c>
    </row>
    <row r="119" spans="2:12" ht="21.9" customHeight="1">
      <c r="B119" s="361"/>
      <c r="C119" s="418" t="s">
        <v>299</v>
      </c>
      <c r="D119" s="415" t="s">
        <v>212</v>
      </c>
      <c r="E119" s="419">
        <v>52</v>
      </c>
      <c r="F119" s="417">
        <v>52</v>
      </c>
      <c r="G119" s="356" t="str">
        <f t="shared" si="6"/>
        <v/>
      </c>
      <c r="H119" s="356" t="str">
        <f t="shared" si="4"/>
        <v/>
      </c>
      <c r="I119" s="355"/>
      <c r="J119" s="344" t="str">
        <f>VLOOKUP(C119,_klhd!C:J,8,0)</f>
        <v>B</v>
      </c>
      <c r="K119" s="344" t="str">
        <f>VLOOKUP(C119,_klhd!C:C,1,0)</f>
        <v>Lắp xà thép U160x64x5 - 2200mm đơn (35,9kg)</v>
      </c>
      <c r="L119" s="350">
        <f t="shared" si="5"/>
        <v>0</v>
      </c>
    </row>
    <row r="120" spans="2:12" ht="21.9" customHeight="1">
      <c r="B120" s="361"/>
      <c r="C120" s="418" t="s">
        <v>300</v>
      </c>
      <c r="D120" s="415" t="s">
        <v>212</v>
      </c>
      <c r="E120" s="419">
        <v>243</v>
      </c>
      <c r="F120" s="417">
        <v>243</v>
      </c>
      <c r="G120" s="356" t="str">
        <f t="shared" si="6"/>
        <v/>
      </c>
      <c r="H120" s="356" t="str">
        <f t="shared" si="4"/>
        <v/>
      </c>
      <c r="I120" s="355"/>
      <c r="J120" s="344" t="str">
        <f>VLOOKUP(C120,_klhd!C:J,8,0)</f>
        <v>B</v>
      </c>
      <c r="K120" s="344" t="str">
        <f>VLOOKUP(C120,_klhd!C:C,1,0)</f>
        <v>Tháo sứ đứng 15-22kV</v>
      </c>
      <c r="L120" s="350">
        <f t="shared" si="5"/>
        <v>0</v>
      </c>
    </row>
    <row r="121" spans="2:12" ht="21.9" customHeight="1">
      <c r="B121" s="361"/>
      <c r="C121" s="418" t="s">
        <v>301</v>
      </c>
      <c r="D121" s="415" t="s">
        <v>212</v>
      </c>
      <c r="E121" s="419">
        <v>276</v>
      </c>
      <c r="F121" s="417">
        <v>267</v>
      </c>
      <c r="G121" s="356" t="str">
        <f t="shared" si="6"/>
        <v/>
      </c>
      <c r="H121" s="356">
        <f t="shared" si="4"/>
        <v>9</v>
      </c>
      <c r="I121" s="405" t="s">
        <v>281</v>
      </c>
      <c r="J121" s="344" t="str">
        <f>VLOOKUP(C121,_klhd!C:J,8,0)</f>
        <v>B</v>
      </c>
      <c r="K121" s="344" t="str">
        <f>VLOOKUP(C121,_klhd!C:C,1,0)</f>
        <v>Lắp sứ đứng 15-22kV</v>
      </c>
      <c r="L121" s="350">
        <f t="shared" si="5"/>
        <v>0</v>
      </c>
    </row>
    <row r="122" spans="2:12" ht="21.9" customHeight="1">
      <c r="B122" s="361"/>
      <c r="C122" s="418" t="s">
        <v>302</v>
      </c>
      <c r="D122" s="415" t="s">
        <v>212</v>
      </c>
      <c r="E122" s="419">
        <v>67</v>
      </c>
      <c r="F122" s="417">
        <v>51</v>
      </c>
      <c r="G122" s="356" t="str">
        <f t="shared" si="6"/>
        <v/>
      </c>
      <c r="H122" s="356">
        <f t="shared" si="4"/>
        <v>16</v>
      </c>
      <c r="I122" s="405" t="s">
        <v>281</v>
      </c>
      <c r="J122" s="344" t="str">
        <f>VLOOKUP(C122,_klhd!C:J,8,0)</f>
        <v>B</v>
      </c>
      <c r="K122" s="344" t="str">
        <f>VLOOKUP(C122,_klhd!C:C,1,0)</f>
        <v>Tháo sứ treo polymer néo đơn</v>
      </c>
      <c r="L122" s="350">
        <f t="shared" si="5"/>
        <v>0</v>
      </c>
    </row>
    <row r="123" spans="2:12" ht="21.9" customHeight="1">
      <c r="B123" s="361"/>
      <c r="C123" s="418" t="s">
        <v>303</v>
      </c>
      <c r="D123" s="415" t="s">
        <v>212</v>
      </c>
      <c r="E123" s="419">
        <v>74</v>
      </c>
      <c r="F123" s="417">
        <v>54</v>
      </c>
      <c r="G123" s="356" t="str">
        <f t="shared" si="6"/>
        <v/>
      </c>
      <c r="H123" s="356">
        <f t="shared" si="4"/>
        <v>20</v>
      </c>
      <c r="I123" s="405" t="s">
        <v>281</v>
      </c>
      <c r="J123" s="344" t="str">
        <f>VLOOKUP(C123,_klhd!C:J,8,0)</f>
        <v>B</v>
      </c>
      <c r="K123" s="344" t="str">
        <f>VLOOKUP(C123,_klhd!C:C,1,0)</f>
        <v>Lắp sứ treo polymer néo đơn</v>
      </c>
      <c r="L123" s="350">
        <f t="shared" si="5"/>
        <v>0</v>
      </c>
    </row>
    <row r="124" spans="2:12" ht="21.9" customHeight="1">
      <c r="B124" s="361"/>
      <c r="C124" s="418" t="s">
        <v>304</v>
      </c>
      <c r="D124" s="415" t="s">
        <v>212</v>
      </c>
      <c r="E124" s="419">
        <v>48</v>
      </c>
      <c r="F124" s="417">
        <v>48</v>
      </c>
      <c r="G124" s="356" t="str">
        <f t="shared" si="6"/>
        <v/>
      </c>
      <c r="H124" s="356" t="str">
        <f t="shared" si="4"/>
        <v/>
      </c>
      <c r="I124" s="355"/>
      <c r="J124" s="344" t="str">
        <f>VLOOKUP(C124,_klhd!C:J,8,0)</f>
        <v>B</v>
      </c>
      <c r="K124" s="344" t="str">
        <f>VLOOKUP(C124,_klhd!C:C,1,0)</f>
        <v>Tháo kẹp quai</v>
      </c>
      <c r="L124" s="350">
        <f t="shared" si="5"/>
        <v>0</v>
      </c>
    </row>
    <row r="125" spans="2:12" ht="21.9" customHeight="1">
      <c r="B125" s="361"/>
      <c r="C125" s="418" t="s">
        <v>305</v>
      </c>
      <c r="D125" s="415" t="s">
        <v>212</v>
      </c>
      <c r="E125" s="419">
        <v>35</v>
      </c>
      <c r="F125" s="417">
        <v>34</v>
      </c>
      <c r="G125" s="356" t="str">
        <f t="shared" si="6"/>
        <v/>
      </c>
      <c r="H125" s="356">
        <f t="shared" si="4"/>
        <v>1</v>
      </c>
      <c r="I125" s="405" t="s">
        <v>281</v>
      </c>
      <c r="J125" s="344" t="str">
        <f>VLOOKUP(C125,_klhd!C:J,8,0)</f>
        <v>B</v>
      </c>
      <c r="K125" s="344" t="str">
        <f>VLOOKUP(C125,_klhd!C:C,1,0)</f>
        <v>Lắp kẹp quai</v>
      </c>
      <c r="L125" s="350">
        <f t="shared" si="5"/>
        <v>0</v>
      </c>
    </row>
    <row r="126" spans="2:12" ht="21.9" customHeight="1">
      <c r="B126" s="361"/>
      <c r="C126" s="418" t="s">
        <v>306</v>
      </c>
      <c r="D126" s="415" t="s">
        <v>212</v>
      </c>
      <c r="E126" s="419">
        <v>52</v>
      </c>
      <c r="F126" s="417">
        <v>52</v>
      </c>
      <c r="G126" s="356" t="str">
        <f t="shared" si="6"/>
        <v/>
      </c>
      <c r="H126" s="356" t="str">
        <f t="shared" si="4"/>
        <v/>
      </c>
      <c r="I126" s="355"/>
      <c r="J126" s="344" t="str">
        <f>VLOOKUP(C126,_klhd!C:J,8,0)</f>
        <v>B</v>
      </c>
      <c r="K126" s="344" t="str">
        <f>VLOOKUP(C126,_klhd!C:C,1,0)</f>
        <v xml:space="preserve">Tháo kẹp dừng dây </v>
      </c>
      <c r="L126" s="350">
        <f t="shared" si="5"/>
        <v>0</v>
      </c>
    </row>
    <row r="127" spans="2:12" ht="21.9" customHeight="1">
      <c r="B127" s="361"/>
      <c r="C127" s="418" t="s">
        <v>307</v>
      </c>
      <c r="D127" s="415" t="s">
        <v>212</v>
      </c>
      <c r="E127" s="419">
        <v>74</v>
      </c>
      <c r="F127" s="417">
        <v>72</v>
      </c>
      <c r="G127" s="356" t="str">
        <f t="shared" si="6"/>
        <v/>
      </c>
      <c r="H127" s="356">
        <f t="shared" si="4"/>
        <v>2</v>
      </c>
      <c r="I127" s="405" t="s">
        <v>281</v>
      </c>
      <c r="J127" s="344" t="str">
        <f>VLOOKUP(C127,_klhd!C:J,8,0)</f>
        <v>B</v>
      </c>
      <c r="K127" s="344" t="str">
        <f>VLOOKUP(C127,_klhd!C:C,1,0)</f>
        <v>Lắp kẹp dừng dây</v>
      </c>
      <c r="L127" s="350">
        <f t="shared" si="5"/>
        <v>0</v>
      </c>
    </row>
    <row r="128" spans="2:12" ht="21.9" customHeight="1">
      <c r="B128" s="361"/>
      <c r="C128" s="418" t="s">
        <v>308</v>
      </c>
      <c r="D128" s="415" t="s">
        <v>309</v>
      </c>
      <c r="E128" s="420">
        <v>11.923999999999999</v>
      </c>
      <c r="F128" s="420">
        <v>11.906000000000001</v>
      </c>
      <c r="G128" s="356" t="str">
        <f t="shared" si="6"/>
        <v/>
      </c>
      <c r="H128" s="356">
        <f t="shared" si="4"/>
        <v>1.7999999999998906E-2</v>
      </c>
      <c r="I128" s="405" t="s">
        <v>281</v>
      </c>
      <c r="J128" s="344" t="str">
        <f>VLOOKUP(C128,_klhd!C:J,8,0)</f>
        <v>B</v>
      </c>
      <c r="K128" s="344" t="str">
        <f>VLOOKUP(C128,_klhd!C:C,1,0)</f>
        <v>Kéo cáp nhôm lõi thép ACX50 thủ công + cơ giới  (&lt;10m)</v>
      </c>
      <c r="L128" s="350">
        <f t="shared" si="5"/>
        <v>0</v>
      </c>
    </row>
    <row r="129" spans="2:12" ht="21.9" customHeight="1">
      <c r="B129" s="361"/>
      <c r="C129" s="418" t="s">
        <v>310</v>
      </c>
      <c r="D129" s="415" t="s">
        <v>309</v>
      </c>
      <c r="E129" s="420">
        <v>1.796</v>
      </c>
      <c r="F129" s="420">
        <v>1.792</v>
      </c>
      <c r="G129" s="356" t="str">
        <f t="shared" si="6"/>
        <v/>
      </c>
      <c r="H129" s="356">
        <f t="shared" si="4"/>
        <v>4.0000000000000036E-3</v>
      </c>
      <c r="I129" s="405" t="s">
        <v>281</v>
      </c>
      <c r="J129" s="344" t="str">
        <f>VLOOKUP(C129,_klhd!C:J,8,0)</f>
        <v>B</v>
      </c>
      <c r="K129" s="344" t="str">
        <f>VLOOKUP(C129,_klhd!C:C,1,0)</f>
        <v>Kéo cáp nhôm lõi thép AC50 thủ công + cơ giới ( &lt;10m)</v>
      </c>
      <c r="L129" s="350">
        <f t="shared" si="5"/>
        <v>0</v>
      </c>
    </row>
    <row r="130" spans="2:12" ht="21.9" customHeight="1">
      <c r="B130" s="361"/>
      <c r="C130" s="418" t="s">
        <v>311</v>
      </c>
      <c r="D130" s="415" t="s">
        <v>309</v>
      </c>
      <c r="E130" s="420">
        <v>11.923999999999999</v>
      </c>
      <c r="F130" s="420">
        <v>11.912000000000001</v>
      </c>
      <c r="G130" s="356" t="str">
        <f t="shared" si="6"/>
        <v/>
      </c>
      <c r="H130" s="356">
        <f t="shared" si="4"/>
        <v>1.1999999999998678E-2</v>
      </c>
      <c r="I130" s="405" t="s">
        <v>281</v>
      </c>
      <c r="J130" s="344" t="str">
        <f>VLOOKUP(C130,_klhd!C:J,8,0)</f>
        <v>B</v>
      </c>
      <c r="K130" s="344" t="str">
        <f>VLOOKUP(C130,_klhd!C:C,1,0)</f>
        <v>Tháo cáp nhôm lõi thép AC50 thủ công + cơ giới</v>
      </c>
      <c r="L130" s="350">
        <f t="shared" si="5"/>
        <v>0</v>
      </c>
    </row>
    <row r="131" spans="2:12" ht="24" customHeight="1">
      <c r="B131" s="421"/>
      <c r="C131" s="421"/>
      <c r="D131" s="422"/>
      <c r="E131" s="421"/>
      <c r="F131" s="423"/>
      <c r="G131" s="424"/>
      <c r="H131" s="425"/>
      <c r="I131" s="426"/>
    </row>
    <row r="132" spans="2:12" ht="24" customHeight="1">
      <c r="B132" s="427"/>
      <c r="C132" s="428" t="s">
        <v>312</v>
      </c>
      <c r="D132" s="429"/>
      <c r="E132" s="610" t="s">
        <v>45</v>
      </c>
      <c r="F132" s="610"/>
      <c r="G132" s="610"/>
      <c r="H132" s="610"/>
      <c r="I132" s="426"/>
    </row>
    <row r="133" spans="2:12" ht="24" customHeight="1">
      <c r="B133" s="427"/>
      <c r="C133" s="428" t="s">
        <v>313</v>
      </c>
      <c r="D133" s="429"/>
      <c r="E133" s="427"/>
      <c r="F133" s="427"/>
      <c r="G133" s="427"/>
      <c r="H133" s="427"/>
      <c r="I133" s="426"/>
    </row>
    <row r="134" spans="2:12" ht="24" customHeight="1">
      <c r="B134" s="427"/>
      <c r="C134" s="428" t="s">
        <v>314</v>
      </c>
      <c r="D134" s="429"/>
      <c r="E134" s="427"/>
      <c r="F134" s="427"/>
      <c r="G134" s="427"/>
      <c r="H134" s="427"/>
      <c r="I134" s="426"/>
    </row>
    <row r="135" spans="2:12" ht="24" customHeight="1">
      <c r="B135" s="427"/>
      <c r="C135" s="428" t="s">
        <v>315</v>
      </c>
      <c r="D135" s="429"/>
      <c r="E135" s="429"/>
      <c r="F135" s="427"/>
      <c r="G135" s="427"/>
      <c r="H135" s="427"/>
      <c r="I135" s="426"/>
    </row>
    <row r="136" spans="2:12" ht="24" customHeight="1">
      <c r="B136" s="427"/>
      <c r="C136" s="428" t="s">
        <v>316</v>
      </c>
      <c r="D136" s="429"/>
      <c r="E136" s="429"/>
      <c r="F136" s="427"/>
      <c r="G136" s="427"/>
      <c r="H136" s="427"/>
      <c r="I136" s="426"/>
    </row>
    <row r="137" spans="2:12" ht="24" customHeight="1">
      <c r="B137" s="427"/>
      <c r="C137" s="428" t="s">
        <v>317</v>
      </c>
      <c r="D137" s="429"/>
      <c r="E137" s="610" t="s">
        <v>46</v>
      </c>
      <c r="F137" s="610"/>
      <c r="G137" s="610"/>
      <c r="H137" s="610"/>
      <c r="I137" s="426"/>
    </row>
    <row r="138" spans="2:12" ht="9.75" customHeight="1">
      <c r="B138" s="427"/>
      <c r="C138" s="428"/>
      <c r="D138" s="427"/>
      <c r="E138" s="429"/>
      <c r="F138" s="427"/>
      <c r="G138" s="427"/>
      <c r="H138" s="427"/>
      <c r="I138" s="426"/>
    </row>
    <row r="139" spans="2:12" ht="24" customHeight="1">
      <c r="B139" s="427"/>
      <c r="C139" s="427" t="s">
        <v>318</v>
      </c>
      <c r="D139" s="429"/>
      <c r="E139" s="610" t="s">
        <v>319</v>
      </c>
      <c r="F139" s="610"/>
      <c r="G139" s="610"/>
      <c r="H139" s="610"/>
      <c r="I139" s="426"/>
    </row>
    <row r="140" spans="2:12" ht="24" customHeight="1">
      <c r="B140" s="427"/>
      <c r="C140" s="427" t="s">
        <v>320</v>
      </c>
      <c r="D140" s="429"/>
      <c r="E140" s="610" t="s">
        <v>51</v>
      </c>
      <c r="F140" s="610"/>
      <c r="G140" s="610"/>
      <c r="H140" s="610"/>
      <c r="I140" s="426"/>
    </row>
    <row r="141" spans="2:12" ht="24" customHeight="1">
      <c r="B141" s="427"/>
      <c r="C141" s="427" t="s">
        <v>52</v>
      </c>
      <c r="D141" s="429"/>
      <c r="E141" s="610" t="s">
        <v>52</v>
      </c>
      <c r="F141" s="610"/>
      <c r="G141" s="610"/>
      <c r="H141" s="610"/>
      <c r="I141" s="426"/>
    </row>
    <row r="142" spans="2:12" ht="24" customHeight="1">
      <c r="B142" s="427"/>
      <c r="C142" s="427"/>
      <c r="D142" s="427"/>
      <c r="E142" s="429"/>
      <c r="F142" s="427"/>
      <c r="G142" s="427"/>
      <c r="H142" s="427"/>
      <c r="I142" s="426"/>
    </row>
    <row r="143" spans="2:12" ht="24" customHeight="1">
      <c r="B143" s="427"/>
      <c r="C143" s="427"/>
      <c r="D143" s="427"/>
      <c r="E143" s="429"/>
      <c r="F143" s="427"/>
      <c r="G143" s="427"/>
      <c r="H143" s="427"/>
      <c r="I143" s="426"/>
    </row>
    <row r="144" spans="2:12" ht="24" customHeight="1">
      <c r="B144" s="427"/>
      <c r="C144" s="427"/>
      <c r="D144" s="427"/>
      <c r="E144" s="429"/>
      <c r="F144" s="427"/>
      <c r="G144" s="427"/>
      <c r="H144" s="427"/>
      <c r="I144" s="426"/>
    </row>
    <row r="145" spans="2:9" ht="24" customHeight="1">
      <c r="B145" s="427"/>
      <c r="C145" s="427"/>
      <c r="D145" s="427"/>
      <c r="E145" s="429"/>
      <c r="F145" s="427"/>
      <c r="G145" s="427"/>
      <c r="H145" s="427"/>
      <c r="I145" s="426"/>
    </row>
    <row r="146" spans="2:9" ht="16.8">
      <c r="B146" s="427"/>
      <c r="C146" s="427" t="s">
        <v>321</v>
      </c>
      <c r="D146" s="429"/>
      <c r="E146" s="610" t="s">
        <v>54</v>
      </c>
      <c r="F146" s="610"/>
      <c r="G146" s="610"/>
      <c r="H146" s="610"/>
      <c r="I146" s="426"/>
    </row>
  </sheetData>
  <autoFilter ref="B9:K130" xr:uid="{665201EF-0E5D-44BD-84A8-FD624520BF35}"/>
  <printOptions horizontalCentered="1"/>
  <pageMargins left="0.31496062992125984" right="0.27559055118110237" top="0.78740157480314965" bottom="0.78740157480314965" header="0.19685039370078741" footer="0.15748031496062992"/>
  <pageSetup paperSize="9" scale="80" fitToHeight="0" orientation="landscape" blackAndWhite="1" useFirstPageNumber="1" r:id="rId1"/>
  <headerFooter alignWithMargins="0">
    <oddFooter>&amp;CTrang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Thu loc</vt:lpstr>
      <vt:lpstr>QuyetToanKLA</vt:lpstr>
      <vt:lpstr>NhapThua</vt:lpstr>
      <vt:lpstr>KLTang</vt:lpstr>
      <vt:lpstr>KLTang (2)</vt:lpstr>
      <vt:lpstr>KLGiam</vt:lpstr>
      <vt:lpstr>KLGiam (2)</vt:lpstr>
      <vt:lpstr>THPS</vt:lpstr>
      <vt:lpstr>_chiTiet</vt:lpstr>
      <vt:lpstr>_klhd</vt:lpstr>
      <vt:lpstr>_a</vt:lpstr>
      <vt:lpstr>KL chi tiết</vt:lpstr>
      <vt:lpstr>KL theo HĐ</vt:lpstr>
      <vt:lpstr>QTVTA</vt:lpstr>
      <vt:lpstr>_a!Print_Area</vt:lpstr>
      <vt:lpstr>_chiTiet!Print_Area</vt:lpstr>
      <vt:lpstr>_klhd!Print_Area</vt:lpstr>
      <vt:lpstr>'KL chi tiết'!Print_Area</vt:lpstr>
      <vt:lpstr>'KL theo HĐ'!Print_Area</vt:lpstr>
      <vt:lpstr>KLGiam!Print_Area</vt:lpstr>
      <vt:lpstr>'KLGiam (2)'!Print_Area</vt:lpstr>
      <vt:lpstr>KLTang!Print_Area</vt:lpstr>
      <vt:lpstr>'KLTang (2)'!Print_Area</vt:lpstr>
      <vt:lpstr>NhapThua!Print_Area</vt:lpstr>
      <vt:lpstr>QTVTA!Print_Area</vt:lpstr>
      <vt:lpstr>QuyetToanKLA!Print_Area</vt:lpstr>
      <vt:lpstr>THPS!Print_Area</vt:lpstr>
      <vt:lpstr>_a!Print_Titles</vt:lpstr>
      <vt:lpstr>_chiTiet!Print_Titles</vt:lpstr>
      <vt:lpstr>_klhd!Print_Titles</vt:lpstr>
      <vt:lpstr>'KL chi tiết'!Print_Titles</vt:lpstr>
      <vt:lpstr>'KL theo HĐ'!Print_Titles</vt:lpstr>
      <vt:lpstr>KLGiam!Print_Titles</vt:lpstr>
      <vt:lpstr>'KLGiam (2)'!Print_Titles</vt:lpstr>
      <vt:lpstr>KLTang!Print_Titles</vt:lpstr>
      <vt:lpstr>'KLTang (2)'!Print_Titles</vt:lpstr>
      <vt:lpstr>NhapThua!Print_Titles</vt:lpstr>
      <vt:lpstr>QTVTA!Print_Titles</vt:lpstr>
      <vt:lpstr>QuyetToanKLA!Print_Titles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2015-06-05T18:17:20Z</dcterms:created>
  <dcterms:modified xsi:type="dcterms:W3CDTF">2020-08-27T08:54:24Z</dcterms:modified>
</cp:coreProperties>
</file>