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2DF0246B-158C-4B77-8A2A-17E246BCB0DF}" xr6:coauthVersionLast="45" xr6:coauthVersionMax="45" xr10:uidLastSave="{00000000-0000-0000-0000-000000000000}"/>
  <bookViews>
    <workbookView xWindow="-108" yWindow="-108" windowWidth="23256" windowHeight="12576" tabRatio="917" activeTab="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53" i="130"/>
  <c r="I54" i="130"/>
  <c r="I55" i="130"/>
  <c r="I56" i="130"/>
  <c r="I57" i="130"/>
  <c r="I58" i="130"/>
  <c r="I59" i="130"/>
  <c r="I60" i="130"/>
  <c r="I61" i="130"/>
  <c r="I62" i="130"/>
  <c r="I63" i="130"/>
  <c r="I64" i="130"/>
  <c r="I65" i="130"/>
  <c r="G48" i="130"/>
  <c r="D48" i="130"/>
  <c r="E48" i="130"/>
  <c r="D47" i="130"/>
  <c r="E47" i="130"/>
  <c r="F47" i="130"/>
  <c r="I47" i="130" s="1"/>
  <c r="D46" i="130"/>
  <c r="E46" i="130"/>
  <c r="E45" i="130"/>
  <c r="E44" i="130"/>
  <c r="E43" i="130"/>
  <c r="D42" i="130"/>
  <c r="E42" i="130"/>
  <c r="D41" i="130"/>
  <c r="E41" i="130"/>
  <c r="F41" i="130"/>
  <c r="I41" i="130" s="1"/>
  <c r="D40" i="130"/>
  <c r="E40" i="130"/>
  <c r="D39" i="130"/>
  <c r="E39" i="130"/>
  <c r="D38" i="130"/>
  <c r="E38" i="130"/>
  <c r="D37" i="130"/>
  <c r="E37" i="130"/>
  <c r="D36" i="130"/>
  <c r="E36" i="130"/>
  <c r="D35" i="130"/>
  <c r="E35" i="130"/>
  <c r="D34" i="130"/>
  <c r="E34" i="130"/>
  <c r="D33" i="130"/>
  <c r="E33" i="130"/>
  <c r="F33" i="130"/>
  <c r="I33" i="130" s="1"/>
  <c r="D32" i="130"/>
  <c r="E32" i="130"/>
  <c r="E31" i="130"/>
  <c r="D30" i="130"/>
  <c r="E30" i="130"/>
  <c r="D29" i="130"/>
  <c r="E29" i="130"/>
  <c r="D28" i="130"/>
  <c r="E28" i="130"/>
  <c r="G27" i="130"/>
  <c r="D27" i="130"/>
  <c r="E27" i="130"/>
  <c r="F27" i="130"/>
  <c r="I27" i="130" s="1"/>
  <c r="D18" i="114"/>
  <c r="D19" i="114"/>
  <c r="H7" i="114"/>
  <c r="I7" i="114"/>
  <c r="J7" i="114"/>
  <c r="B7" i="97"/>
  <c r="D7" i="97"/>
  <c r="B18" i="97"/>
  <c r="D18" i="97"/>
  <c r="B150" i="97"/>
  <c r="D150" i="97"/>
  <c r="B4" i="97"/>
  <c r="D4" i="97"/>
  <c r="B5" i="97"/>
  <c r="D5" i="97"/>
  <c r="B149" i="97"/>
  <c r="D149" i="97"/>
  <c r="I177" i="97"/>
  <c r="B177" i="97"/>
  <c r="E177" i="97"/>
  <c r="F177" i="97"/>
  <c r="G177" i="97"/>
  <c r="B221" i="97"/>
  <c r="E221" i="97"/>
  <c r="F221" i="97"/>
  <c r="G221" i="97"/>
  <c r="H221" i="97"/>
  <c r="B126" i="97"/>
  <c r="D126" i="97"/>
  <c r="E126" i="97"/>
  <c r="B127" i="97"/>
  <c r="D127" i="97"/>
  <c r="E127" i="97"/>
  <c r="B128" i="97"/>
  <c r="D128" i="97"/>
  <c r="E128" i="97"/>
  <c r="B129" i="97"/>
  <c r="D129" i="97"/>
  <c r="E129" i="97"/>
  <c r="B130" i="97"/>
  <c r="D130" i="97"/>
  <c r="E130" i="97"/>
  <c r="B131" i="97"/>
  <c r="D131" i="97"/>
  <c r="E131" i="97"/>
  <c r="B132" i="97"/>
  <c r="D132" i="97"/>
  <c r="E132" i="97"/>
  <c r="B133" i="97"/>
  <c r="D133" i="97"/>
  <c r="E133" i="97"/>
  <c r="B134" i="97"/>
  <c r="D134" i="97"/>
  <c r="E134" i="97"/>
  <c r="B135" i="97"/>
  <c r="D135" i="97"/>
  <c r="E135" i="97"/>
  <c r="B136" i="97"/>
  <c r="D136" i="97"/>
  <c r="E136" i="97"/>
  <c r="B137" i="97"/>
  <c r="D137" i="97"/>
  <c r="E137" i="97"/>
  <c r="B138" i="97"/>
  <c r="D138" i="97"/>
  <c r="E138" i="97"/>
  <c r="B139" i="97"/>
  <c r="D139" i="97"/>
  <c r="E139" i="97"/>
  <c r="B140" i="97"/>
  <c r="D140" i="97"/>
  <c r="E140" i="97"/>
  <c r="B141" i="97"/>
  <c r="D141" i="97"/>
  <c r="E141" i="97"/>
  <c r="B142" i="97"/>
  <c r="D142" i="97"/>
  <c r="E142" i="97"/>
  <c r="B143" i="97"/>
  <c r="D143" i="97"/>
  <c r="E143" i="97"/>
  <c r="B144" i="97"/>
  <c r="D144" i="97"/>
  <c r="E144" i="97"/>
  <c r="B145" i="97"/>
  <c r="D145" i="97"/>
  <c r="E145" i="97"/>
  <c r="B146" i="97"/>
  <c r="D146" i="97"/>
  <c r="E146" i="97"/>
  <c r="B147" i="97"/>
  <c r="D147" i="97"/>
  <c r="E147" i="97"/>
  <c r="B148" i="97"/>
  <c r="D148" i="97"/>
  <c r="E148" i="97"/>
  <c r="B222" i="97"/>
  <c r="D222" i="97"/>
  <c r="E222" i="97"/>
  <c r="B223" i="97"/>
  <c r="D223" i="97"/>
  <c r="E223" i="97"/>
  <c r="B224" i="97"/>
  <c r="D224" i="97"/>
  <c r="E224" i="97"/>
  <c r="B125" i="97"/>
  <c r="D125" i="97"/>
  <c r="E125" i="97"/>
  <c r="B176" i="97"/>
  <c r="E176" i="97"/>
  <c r="F176" i="97"/>
  <c r="G176" i="97"/>
  <c r="B11" i="97"/>
  <c r="D11" i="97"/>
  <c r="E11" i="97"/>
  <c r="B124" i="97"/>
  <c r="D124" i="97"/>
  <c r="E124" i="97"/>
  <c r="B175" i="97"/>
  <c r="D175" i="97"/>
  <c r="E175" i="97"/>
  <c r="G175" i="97"/>
  <c r="B10" i="97"/>
  <c r="D10" i="97"/>
  <c r="E10" i="97"/>
  <c r="B123" i="97"/>
  <c r="D123" i="97"/>
  <c r="E123" i="97"/>
  <c r="B174" i="97"/>
  <c r="D174" i="97"/>
  <c r="E174" i="97"/>
  <c r="G174" i="97"/>
  <c r="B121" i="97"/>
  <c r="D121" i="97"/>
  <c r="E121" i="97"/>
  <c r="B122" i="97"/>
  <c r="D122" i="97"/>
  <c r="E122" i="97"/>
  <c r="B173" i="97"/>
  <c r="D173" i="97"/>
  <c r="E173" i="97"/>
  <c r="G173" i="97"/>
  <c r="B119" i="97"/>
  <c r="D119" i="97"/>
  <c r="E119" i="97"/>
  <c r="B120" i="97"/>
  <c r="D120" i="97"/>
  <c r="E120" i="97"/>
  <c r="B172" i="97"/>
  <c r="E172" i="97"/>
  <c r="F172" i="97"/>
  <c r="G172" i="97"/>
  <c r="B117" i="97"/>
  <c r="D117" i="97"/>
  <c r="E117" i="97"/>
  <c r="B118" i="97"/>
  <c r="D118" i="97"/>
  <c r="E118" i="97"/>
  <c r="B17" i="97"/>
  <c r="E17" i="97"/>
  <c r="B15" i="97"/>
  <c r="E15" i="97"/>
  <c r="B16" i="97"/>
  <c r="E16" i="97"/>
  <c r="B23" i="97"/>
  <c r="D23" i="97"/>
  <c r="B171" i="97"/>
  <c r="E171" i="97"/>
  <c r="F171" i="97"/>
  <c r="G171" i="97"/>
  <c r="H171" i="97"/>
  <c r="B220" i="97"/>
  <c r="C220" i="97"/>
  <c r="E220" i="97"/>
  <c r="F220" i="97"/>
  <c r="G220" i="97"/>
  <c r="B113" i="97"/>
  <c r="D113" i="97"/>
  <c r="E113" i="97"/>
  <c r="B114" i="97"/>
  <c r="D114" i="97"/>
  <c r="E114" i="97"/>
  <c r="B115" i="97"/>
  <c r="D115" i="97"/>
  <c r="E115" i="97"/>
  <c r="B116" i="97"/>
  <c r="D116" i="97"/>
  <c r="E116" i="97"/>
  <c r="B219" i="97"/>
  <c r="D219" i="97"/>
  <c r="E219" i="97"/>
  <c r="B110" i="97"/>
  <c r="D110" i="97"/>
  <c r="E110" i="97"/>
  <c r="B111" i="97"/>
  <c r="D111" i="97"/>
  <c r="E111" i="97"/>
  <c r="B218" i="97"/>
  <c r="D218" i="97"/>
  <c r="E218" i="97"/>
  <c r="B170" i="97"/>
  <c r="D170" i="97"/>
  <c r="E170" i="97"/>
  <c r="F170" i="97"/>
  <c r="G170" i="97"/>
  <c r="B112" i="97"/>
  <c r="D112" i="97"/>
  <c r="E112" i="97"/>
  <c r="B169" i="97"/>
  <c r="D169" i="97"/>
  <c r="E169" i="97"/>
  <c r="F169" i="97"/>
  <c r="G169" i="97"/>
  <c r="B108" i="97"/>
  <c r="D108" i="97"/>
  <c r="E108" i="97"/>
  <c r="B109" i="97"/>
  <c r="D109" i="97"/>
  <c r="E109" i="97"/>
  <c r="B105" i="97"/>
  <c r="D105" i="97"/>
  <c r="E105" i="97"/>
  <c r="B106" i="97"/>
  <c r="D106" i="97"/>
  <c r="E106" i="97"/>
  <c r="B107" i="97"/>
  <c r="D107" i="97"/>
  <c r="E107" i="97"/>
  <c r="B168" i="97"/>
  <c r="D168" i="97"/>
  <c r="E168" i="97"/>
  <c r="F168" i="97"/>
  <c r="G168" i="97"/>
  <c r="B103" i="97"/>
  <c r="D103" i="97"/>
  <c r="E103" i="97"/>
  <c r="B104" i="97"/>
  <c r="D104" i="97"/>
  <c r="E104" i="97"/>
  <c r="B101" i="97"/>
  <c r="D101" i="97"/>
  <c r="E101" i="97"/>
  <c r="B102" i="97"/>
  <c r="D102" i="97"/>
  <c r="E102" i="97"/>
  <c r="B167" i="97"/>
  <c r="D167" i="97"/>
  <c r="E167" i="97"/>
  <c r="F167" i="97"/>
  <c r="G167" i="97"/>
  <c r="B99" i="97"/>
  <c r="D99" i="97"/>
  <c r="E99" i="97"/>
  <c r="B100" i="97"/>
  <c r="D100" i="97"/>
  <c r="E100" i="97"/>
  <c r="B166" i="97"/>
  <c r="D166" i="97"/>
  <c r="E166" i="97"/>
  <c r="F166" i="97"/>
  <c r="G166" i="97"/>
  <c r="B93" i="97"/>
  <c r="D93" i="97"/>
  <c r="E93" i="97"/>
  <c r="B94" i="97"/>
  <c r="D94" i="97"/>
  <c r="E94" i="97"/>
  <c r="B95" i="97"/>
  <c r="D95" i="97"/>
  <c r="E95" i="97"/>
  <c r="B96" i="97"/>
  <c r="D96" i="97"/>
  <c r="E96" i="97"/>
  <c r="B97" i="97"/>
  <c r="D97" i="97"/>
  <c r="E97" i="97"/>
  <c r="B98" i="97"/>
  <c r="D98" i="97"/>
  <c r="E98" i="97"/>
  <c r="B217" i="97"/>
  <c r="D217" i="97"/>
  <c r="B90" i="97"/>
  <c r="D90" i="97"/>
  <c r="E90" i="97"/>
  <c r="B91" i="97"/>
  <c r="D91" i="97"/>
  <c r="E91" i="97"/>
  <c r="B92" i="97"/>
  <c r="D92" i="97"/>
  <c r="E92" i="97"/>
  <c r="B165" i="97"/>
  <c r="D165" i="97"/>
  <c r="E165" i="97"/>
  <c r="F165" i="97"/>
  <c r="G165" i="97"/>
  <c r="B88" i="97"/>
  <c r="D88" i="97"/>
  <c r="E88" i="97"/>
  <c r="B89" i="97"/>
  <c r="D89" i="97"/>
  <c r="E89" i="97"/>
  <c r="B216" i="97"/>
  <c r="E216" i="97"/>
  <c r="F216" i="97"/>
  <c r="G216" i="97"/>
  <c r="H216" i="97"/>
  <c r="B215" i="97"/>
  <c r="D215" i="97"/>
  <c r="B164" i="97"/>
  <c r="D164" i="97"/>
  <c r="E164" i="97"/>
  <c r="F164" i="97"/>
  <c r="G164" i="97"/>
  <c r="B22" i="97"/>
  <c r="D22" i="97"/>
  <c r="E22" i="97"/>
  <c r="B213" i="97"/>
  <c r="B214" i="97"/>
  <c r="B163" i="97"/>
  <c r="D163" i="97"/>
  <c r="E163" i="97"/>
  <c r="G163" i="97"/>
  <c r="B21" i="97"/>
  <c r="D21" i="97"/>
  <c r="E21" i="97"/>
  <c r="B85" i="97"/>
  <c r="D85" i="97"/>
  <c r="E85" i="97"/>
  <c r="B86" i="97"/>
  <c r="D86" i="97"/>
  <c r="E86" i="97"/>
  <c r="B87" i="97"/>
  <c r="D87" i="97"/>
  <c r="E87" i="97"/>
  <c r="B84" i="97"/>
  <c r="D84" i="97"/>
  <c r="E84" i="97"/>
  <c r="B211" i="97"/>
  <c r="B212" i="97"/>
  <c r="B162" i="97"/>
  <c r="D162" i="97"/>
  <c r="E162" i="97"/>
  <c r="F162" i="97"/>
  <c r="G162" i="97"/>
  <c r="B20" i="97"/>
  <c r="D20" i="97"/>
  <c r="E20" i="97"/>
  <c r="B82" i="97"/>
  <c r="D82" i="97"/>
  <c r="E82" i="97"/>
  <c r="B83" i="97"/>
  <c r="D83" i="97"/>
  <c r="E83" i="97"/>
  <c r="B210" i="97"/>
  <c r="D210" i="97"/>
  <c r="B80" i="97"/>
  <c r="D80" i="97"/>
  <c r="B81" i="97"/>
  <c r="D81" i="97"/>
  <c r="B208" i="97"/>
  <c r="D208" i="97"/>
  <c r="B209" i="97"/>
  <c r="D209" i="97"/>
  <c r="B161" i="97"/>
  <c r="D161" i="97"/>
  <c r="E161" i="97"/>
  <c r="F161" i="97"/>
  <c r="G161" i="97"/>
  <c r="B151" i="97"/>
  <c r="D151" i="97"/>
  <c r="B152" i="97"/>
  <c r="D152" i="97"/>
  <c r="B153" i="97"/>
  <c r="D153" i="97"/>
  <c r="B160" i="97"/>
  <c r="D160" i="97"/>
  <c r="E160" i="97"/>
  <c r="F160" i="97"/>
  <c r="G160" i="97"/>
  <c r="B206" i="97"/>
  <c r="D206" i="97"/>
  <c r="E206" i="97"/>
  <c r="B207" i="97"/>
  <c r="D207" i="97"/>
  <c r="B69" i="97"/>
  <c r="C69" i="97"/>
  <c r="D69" i="97"/>
  <c r="E69" i="97"/>
  <c r="F69" i="97"/>
  <c r="G69" i="97"/>
  <c r="H69" i="97"/>
  <c r="I69" i="97"/>
  <c r="B70" i="97"/>
  <c r="C70" i="97"/>
  <c r="D70" i="97"/>
  <c r="E70" i="97"/>
  <c r="F70" i="97"/>
  <c r="G70" i="97"/>
  <c r="H70" i="97"/>
  <c r="I70" i="97"/>
  <c r="B71" i="97"/>
  <c r="C71" i="97"/>
  <c r="D71" i="97"/>
  <c r="E71" i="97"/>
  <c r="F71" i="97"/>
  <c r="G71" i="97"/>
  <c r="H71" i="97"/>
  <c r="I71" i="97"/>
  <c r="B72" i="97"/>
  <c r="C72" i="97"/>
  <c r="D72" i="97"/>
  <c r="E72" i="97"/>
  <c r="F72" i="97"/>
  <c r="G72" i="97"/>
  <c r="H72" i="97"/>
  <c r="I72" i="97"/>
  <c r="B73" i="97"/>
  <c r="C73" i="97"/>
  <c r="D73" i="97"/>
  <c r="E73" i="97"/>
  <c r="F73" i="97"/>
  <c r="G73" i="97"/>
  <c r="H73" i="97"/>
  <c r="I73" i="97"/>
  <c r="B74" i="97"/>
  <c r="C74" i="97"/>
  <c r="D74" i="97"/>
  <c r="E74" i="97"/>
  <c r="F74" i="97"/>
  <c r="G74" i="97"/>
  <c r="H74" i="97"/>
  <c r="I74" i="97"/>
  <c r="B75" i="97"/>
  <c r="C75" i="97"/>
  <c r="D75" i="97"/>
  <c r="E75" i="97"/>
  <c r="F75" i="97"/>
  <c r="G75" i="97"/>
  <c r="H75" i="97"/>
  <c r="I75" i="97"/>
  <c r="B76" i="97"/>
  <c r="C76" i="97"/>
  <c r="D76" i="97"/>
  <c r="E76" i="97"/>
  <c r="F76" i="97"/>
  <c r="G76" i="97"/>
  <c r="H76" i="97"/>
  <c r="I76" i="97"/>
  <c r="B77" i="97"/>
  <c r="C77" i="97"/>
  <c r="D77" i="97"/>
  <c r="E77" i="97"/>
  <c r="F77" i="97"/>
  <c r="G77" i="97"/>
  <c r="H77" i="97"/>
  <c r="I77" i="97"/>
  <c r="B78" i="97"/>
  <c r="C78" i="97"/>
  <c r="D78" i="97"/>
  <c r="E78" i="97"/>
  <c r="F78" i="97"/>
  <c r="G78" i="97"/>
  <c r="H78" i="97"/>
  <c r="I78" i="97"/>
  <c r="B79" i="97"/>
  <c r="C79" i="97"/>
  <c r="D79" i="97"/>
  <c r="E79" i="97"/>
  <c r="F79" i="97"/>
  <c r="G79" i="97"/>
  <c r="H79" i="97"/>
  <c r="I79" i="97"/>
  <c r="B67" i="97"/>
  <c r="C67" i="97"/>
  <c r="D67" i="97"/>
  <c r="E67" i="97"/>
  <c r="F67" i="97"/>
  <c r="G67" i="97"/>
  <c r="H67" i="97"/>
  <c r="I67" i="97"/>
  <c r="B68" i="97"/>
  <c r="C68" i="97"/>
  <c r="D68" i="97"/>
  <c r="E68" i="97"/>
  <c r="F68" i="97"/>
  <c r="G68" i="97"/>
  <c r="H68" i="97"/>
  <c r="I68" i="97"/>
  <c r="B64" i="97"/>
  <c r="C64" i="97"/>
  <c r="D64" i="97"/>
  <c r="E64" i="97"/>
  <c r="F64" i="97"/>
  <c r="G64" i="97"/>
  <c r="H64" i="97"/>
  <c r="I64" i="97"/>
  <c r="B65" i="97"/>
  <c r="C65" i="97"/>
  <c r="D65" i="97"/>
  <c r="E65" i="97"/>
  <c r="F65" i="97"/>
  <c r="G65" i="97"/>
  <c r="H65" i="97"/>
  <c r="I65" i="97"/>
  <c r="B66" i="97"/>
  <c r="C66" i="97"/>
  <c r="D66" i="97"/>
  <c r="E66" i="97"/>
  <c r="F66" i="97"/>
  <c r="G66" i="97"/>
  <c r="H66" i="97"/>
  <c r="I66" i="97"/>
  <c r="B14" i="97"/>
  <c r="C14" i="97"/>
  <c r="D14" i="97"/>
  <c r="E14" i="97"/>
  <c r="F14" i="97"/>
  <c r="G14" i="97"/>
  <c r="H14" i="97"/>
  <c r="I14" i="97"/>
  <c r="B204" i="97"/>
  <c r="C204" i="97"/>
  <c r="D204" i="97"/>
  <c r="E204" i="97"/>
  <c r="F204" i="97"/>
  <c r="G204" i="97"/>
  <c r="H204" i="97"/>
  <c r="I204" i="97"/>
  <c r="B205" i="97"/>
  <c r="C205" i="97"/>
  <c r="D205" i="97"/>
  <c r="E205" i="97"/>
  <c r="F205" i="97"/>
  <c r="G205" i="97"/>
  <c r="H205" i="97"/>
  <c r="I205" i="97"/>
  <c r="B57" i="97"/>
  <c r="C57" i="97"/>
  <c r="D57" i="97"/>
  <c r="E57" i="97"/>
  <c r="F57" i="97"/>
  <c r="G57" i="97"/>
  <c r="H57" i="97"/>
  <c r="I57" i="97"/>
  <c r="B199" i="97"/>
  <c r="C199" i="97"/>
  <c r="D199" i="97"/>
  <c r="E199" i="97"/>
  <c r="F199" i="97"/>
  <c r="G199" i="97"/>
  <c r="H199" i="97"/>
  <c r="I199"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200" i="97"/>
  <c r="C200" i="97"/>
  <c r="D200" i="97"/>
  <c r="E200" i="97"/>
  <c r="F200" i="97"/>
  <c r="G200" i="97"/>
  <c r="H200" i="97"/>
  <c r="I200" i="97"/>
  <c r="B154" i="97"/>
  <c r="C154" i="97"/>
  <c r="D154" i="97"/>
  <c r="E154" i="97"/>
  <c r="F154" i="97"/>
  <c r="G154" i="97"/>
  <c r="H154" i="97"/>
  <c r="I154" i="97"/>
  <c r="B201" i="97"/>
  <c r="C201" i="97"/>
  <c r="D201" i="97"/>
  <c r="E201" i="97"/>
  <c r="F201" i="97"/>
  <c r="G201" i="97"/>
  <c r="H201" i="97"/>
  <c r="I201" i="97"/>
  <c r="B202" i="97"/>
  <c r="C202" i="97"/>
  <c r="D202" i="97"/>
  <c r="E202" i="97"/>
  <c r="F202" i="97"/>
  <c r="G202" i="97"/>
  <c r="H202" i="97"/>
  <c r="I202" i="97"/>
  <c r="B203" i="97"/>
  <c r="C203" i="97"/>
  <c r="D203" i="97"/>
  <c r="E203" i="97"/>
  <c r="F203" i="97"/>
  <c r="G203" i="97"/>
  <c r="H203" i="97"/>
  <c r="I203" i="97"/>
  <c r="B198" i="97"/>
  <c r="C198" i="97"/>
  <c r="D198" i="97"/>
  <c r="E198" i="97"/>
  <c r="F198" i="97"/>
  <c r="G198" i="97"/>
  <c r="H198" i="97"/>
  <c r="I198" i="97"/>
  <c r="B195" i="97"/>
  <c r="C195" i="97"/>
  <c r="D195" i="97"/>
  <c r="E195" i="97"/>
  <c r="F195" i="97"/>
  <c r="G195" i="97"/>
  <c r="H195" i="97"/>
  <c r="I195" i="97"/>
  <c r="B196" i="97"/>
  <c r="C196" i="97"/>
  <c r="D196" i="97"/>
  <c r="E196" i="97"/>
  <c r="F196" i="97"/>
  <c r="G196" i="97"/>
  <c r="H196" i="97"/>
  <c r="I196" i="97"/>
  <c r="B197" i="97"/>
  <c r="C197" i="97"/>
  <c r="D197" i="97"/>
  <c r="E197" i="97"/>
  <c r="F197" i="97"/>
  <c r="G197" i="97"/>
  <c r="H197" i="97"/>
  <c r="I197" i="97"/>
  <c r="B56" i="97"/>
  <c r="C56" i="97"/>
  <c r="D56" i="97"/>
  <c r="E56" i="97"/>
  <c r="F56" i="97"/>
  <c r="G56" i="97"/>
  <c r="H56" i="97"/>
  <c r="I56" i="97"/>
  <c r="B193" i="97"/>
  <c r="C193" i="97"/>
  <c r="D193" i="97"/>
  <c r="E193" i="97"/>
  <c r="F193" i="97"/>
  <c r="G193" i="97"/>
  <c r="H193" i="97"/>
  <c r="I193" i="97"/>
  <c r="B194" i="97"/>
  <c r="C194" i="97"/>
  <c r="D194" i="97"/>
  <c r="E194" i="97"/>
  <c r="F194" i="97"/>
  <c r="G194" i="97"/>
  <c r="H194" i="97"/>
  <c r="I194" i="97"/>
  <c r="B53" i="97"/>
  <c r="C53" i="97"/>
  <c r="D53" i="97"/>
  <c r="E53" i="97"/>
  <c r="F53" i="97"/>
  <c r="G53" i="97"/>
  <c r="H53" i="97"/>
  <c r="I53" i="97"/>
  <c r="B54" i="97"/>
  <c r="C54" i="97"/>
  <c r="D54" i="97"/>
  <c r="E54" i="97"/>
  <c r="F54" i="97"/>
  <c r="G54" i="97"/>
  <c r="H54" i="97"/>
  <c r="I54" i="97"/>
  <c r="B55" i="97"/>
  <c r="C55" i="97"/>
  <c r="D55" i="97"/>
  <c r="E55" i="97"/>
  <c r="F55" i="97"/>
  <c r="G55" i="97"/>
  <c r="H55" i="97"/>
  <c r="I55" i="97"/>
  <c r="B192" i="97"/>
  <c r="C192" i="97"/>
  <c r="D192" i="97"/>
  <c r="E192" i="97"/>
  <c r="F192" i="97"/>
  <c r="G192" i="97"/>
  <c r="H192" i="97"/>
  <c r="I192" i="97"/>
  <c r="B159" i="97"/>
  <c r="C159" i="97"/>
  <c r="D159" i="97"/>
  <c r="E159" i="97"/>
  <c r="F159" i="97"/>
  <c r="G159" i="97"/>
  <c r="H159" i="97"/>
  <c r="I159" i="97"/>
  <c r="B52" i="97"/>
  <c r="C52" i="97"/>
  <c r="D52" i="97"/>
  <c r="E52" i="97"/>
  <c r="F52" i="97"/>
  <c r="G52" i="97"/>
  <c r="H52" i="97"/>
  <c r="I52" i="97"/>
  <c r="B13" i="97"/>
  <c r="C13" i="97"/>
  <c r="D13" i="97"/>
  <c r="E13" i="97"/>
  <c r="F13" i="97"/>
  <c r="G13" i="97"/>
  <c r="H13" i="97"/>
  <c r="I13" i="97"/>
  <c r="B50" i="97"/>
  <c r="C50" i="97"/>
  <c r="D50" i="97"/>
  <c r="E50" i="97"/>
  <c r="F50" i="97"/>
  <c r="G50" i="97"/>
  <c r="H50" i="97"/>
  <c r="I50" i="97"/>
  <c r="B51" i="97"/>
  <c r="C51" i="97"/>
  <c r="D51" i="97"/>
  <c r="E51" i="97"/>
  <c r="F51" i="97"/>
  <c r="G51" i="97"/>
  <c r="H51" i="97"/>
  <c r="I51" i="97"/>
  <c r="B191" i="97"/>
  <c r="C191" i="97"/>
  <c r="D191" i="97"/>
  <c r="E191" i="97"/>
  <c r="F191" i="97"/>
  <c r="G191" i="97"/>
  <c r="H191" i="97"/>
  <c r="I191" i="97"/>
  <c r="B42" i="97"/>
  <c r="C42" i="97"/>
  <c r="D42" i="97"/>
  <c r="E42" i="97"/>
  <c r="F42" i="97"/>
  <c r="G42" i="97"/>
  <c r="H42" i="97"/>
  <c r="I42" i="97"/>
  <c r="B43" i="97"/>
  <c r="C43" i="97"/>
  <c r="D43" i="97"/>
  <c r="E43" i="97"/>
  <c r="F43" i="97"/>
  <c r="G43" i="97"/>
  <c r="H43" i="97"/>
  <c r="I43" i="97"/>
  <c r="B44" i="97"/>
  <c r="C44" i="97"/>
  <c r="D44" i="97"/>
  <c r="E44" i="97"/>
  <c r="F44" i="97"/>
  <c r="G44" i="97"/>
  <c r="H44" i="97"/>
  <c r="I44" i="97"/>
  <c r="B45" i="97"/>
  <c r="C45" i="97"/>
  <c r="D45" i="97"/>
  <c r="E45" i="97"/>
  <c r="F45" i="97"/>
  <c r="G45" i="97"/>
  <c r="H45" i="97"/>
  <c r="I45" i="97"/>
  <c r="B46" i="97"/>
  <c r="C46" i="97"/>
  <c r="D46" i="97"/>
  <c r="E46" i="97"/>
  <c r="F46" i="97"/>
  <c r="G46" i="97"/>
  <c r="H46" i="97"/>
  <c r="I46" i="97"/>
  <c r="B47" i="97"/>
  <c r="C47" i="97"/>
  <c r="D47" i="97"/>
  <c r="E47" i="97"/>
  <c r="F47" i="97"/>
  <c r="G47" i="97"/>
  <c r="H47" i="97"/>
  <c r="I47" i="97"/>
  <c r="B9" i="97"/>
  <c r="C9" i="97"/>
  <c r="D9" i="97"/>
  <c r="E9" i="97"/>
  <c r="F9" i="97"/>
  <c r="G9" i="97"/>
  <c r="H9" i="97"/>
  <c r="I9" i="97"/>
  <c r="B48" i="97"/>
  <c r="C48" i="97"/>
  <c r="D48" i="97"/>
  <c r="E48" i="97"/>
  <c r="F48" i="97"/>
  <c r="G48" i="97"/>
  <c r="H48" i="97"/>
  <c r="I48" i="97"/>
  <c r="B190" i="97"/>
  <c r="C190" i="97"/>
  <c r="D190" i="97"/>
  <c r="E190" i="97"/>
  <c r="F190" i="97"/>
  <c r="G190" i="97"/>
  <c r="H190" i="97"/>
  <c r="I190" i="97"/>
  <c r="B49" i="97"/>
  <c r="C49" i="97"/>
  <c r="D49" i="97"/>
  <c r="E49" i="97"/>
  <c r="F49" i="97"/>
  <c r="G49" i="97"/>
  <c r="H49" i="97"/>
  <c r="I49" i="97"/>
  <c r="B12" i="97"/>
  <c r="C12" i="97"/>
  <c r="D12" i="97"/>
  <c r="E12" i="97"/>
  <c r="F12" i="97"/>
  <c r="G12" i="97"/>
  <c r="H12" i="97"/>
  <c r="I12" i="97"/>
  <c r="B189" i="97"/>
  <c r="C189" i="97"/>
  <c r="D189" i="97"/>
  <c r="E189" i="97"/>
  <c r="F189" i="97"/>
  <c r="G189" i="97"/>
  <c r="H189" i="97"/>
  <c r="I189" i="97"/>
  <c r="B40" i="97"/>
  <c r="C40" i="97"/>
  <c r="D40" i="97"/>
  <c r="E40" i="97"/>
  <c r="F40" i="97"/>
  <c r="G40" i="97"/>
  <c r="H40" i="97"/>
  <c r="I40" i="97"/>
  <c r="B41" i="97"/>
  <c r="C41" i="97"/>
  <c r="D41" i="97"/>
  <c r="E41" i="97"/>
  <c r="F41" i="97"/>
  <c r="G41" i="97"/>
  <c r="H41" i="97"/>
  <c r="I41" i="97"/>
  <c r="B39" i="97"/>
  <c r="C39" i="97"/>
  <c r="D39" i="97"/>
  <c r="E39" i="97"/>
  <c r="F39" i="97"/>
  <c r="G39" i="97"/>
  <c r="H39" i="97"/>
  <c r="I39" i="97"/>
  <c r="B188" i="97"/>
  <c r="C188" i="97"/>
  <c r="D188" i="97"/>
  <c r="E188" i="97"/>
  <c r="F188" i="97"/>
  <c r="G188" i="97"/>
  <c r="H188" i="97"/>
  <c r="I188" i="97"/>
  <c r="B184" i="97"/>
  <c r="C184" i="97"/>
  <c r="D184" i="97"/>
  <c r="E184" i="97"/>
  <c r="F184" i="97"/>
  <c r="G184" i="97"/>
  <c r="H184" i="97"/>
  <c r="I184" i="97"/>
  <c r="B185" i="97"/>
  <c r="C185" i="97"/>
  <c r="D185" i="97"/>
  <c r="E185" i="97"/>
  <c r="F185" i="97"/>
  <c r="G185" i="97"/>
  <c r="H185" i="97"/>
  <c r="I185" i="97"/>
  <c r="B186" i="97"/>
  <c r="C186" i="97"/>
  <c r="D186" i="97"/>
  <c r="E186" i="97"/>
  <c r="F186" i="97"/>
  <c r="G186" i="97"/>
  <c r="H186" i="97"/>
  <c r="I186" i="97"/>
  <c r="B187" i="97"/>
  <c r="C187" i="97"/>
  <c r="D187" i="97"/>
  <c r="E187" i="97"/>
  <c r="F187" i="97"/>
  <c r="G187" i="97"/>
  <c r="H187" i="97"/>
  <c r="I187" i="97"/>
  <c r="B38" i="97"/>
  <c r="C38" i="97"/>
  <c r="D38" i="97"/>
  <c r="E38" i="97"/>
  <c r="F38" i="97"/>
  <c r="G38" i="97"/>
  <c r="H38" i="97"/>
  <c r="I38" i="97"/>
  <c r="B37" i="97"/>
  <c r="C37" i="97"/>
  <c r="D37" i="97"/>
  <c r="E37" i="97"/>
  <c r="F37" i="97"/>
  <c r="G37" i="97"/>
  <c r="H37" i="97"/>
  <c r="I37" i="97"/>
  <c r="B19" i="97"/>
  <c r="C19" i="97"/>
  <c r="D19" i="97"/>
  <c r="E19" i="97"/>
  <c r="F19" i="97"/>
  <c r="G19" i="97"/>
  <c r="H19" i="97"/>
  <c r="I19" i="97"/>
  <c r="B36" i="97"/>
  <c r="C36" i="97"/>
  <c r="D36" i="97"/>
  <c r="E36" i="97"/>
  <c r="F36" i="97"/>
  <c r="G36" i="97"/>
  <c r="H36" i="97"/>
  <c r="I36" i="97"/>
  <c r="B183" i="97"/>
  <c r="C183" i="97"/>
  <c r="D183" i="97"/>
  <c r="E183" i="97"/>
  <c r="F183" i="97"/>
  <c r="G183" i="97"/>
  <c r="H183" i="97"/>
  <c r="I183" i="97"/>
  <c r="B182" i="97"/>
  <c r="C182" i="97"/>
  <c r="D182" i="97"/>
  <c r="E182" i="97"/>
  <c r="F182" i="97"/>
  <c r="G182" i="97"/>
  <c r="H182" i="97"/>
  <c r="I182"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35" i="97"/>
  <c r="C35" i="97"/>
  <c r="D35" i="97"/>
  <c r="E35" i="97"/>
  <c r="F35" i="97"/>
  <c r="G35" i="97"/>
  <c r="H35" i="97"/>
  <c r="I35" i="97"/>
  <c r="B181" i="97"/>
  <c r="C181" i="97"/>
  <c r="D181" i="97"/>
  <c r="E181" i="97"/>
  <c r="F181" i="97"/>
  <c r="G181" i="97"/>
  <c r="H181" i="97"/>
  <c r="I181" i="97"/>
  <c r="B25" i="97"/>
  <c r="C25" i="97"/>
  <c r="D25" i="97"/>
  <c r="E25" i="97"/>
  <c r="F25" i="97"/>
  <c r="G25" i="97"/>
  <c r="H25" i="97"/>
  <c r="I25" i="97"/>
  <c r="B26" i="97"/>
  <c r="C26" i="97"/>
  <c r="D26" i="97"/>
  <c r="E26" i="97"/>
  <c r="F26" i="97"/>
  <c r="G26" i="97"/>
  <c r="H26" i="97"/>
  <c r="I26" i="97"/>
  <c r="B27" i="97"/>
  <c r="C27" i="97"/>
  <c r="D27" i="97"/>
  <c r="E27" i="97"/>
  <c r="F27" i="97"/>
  <c r="G27" i="97"/>
  <c r="H27" i="97"/>
  <c r="I27" i="97"/>
  <c r="B28" i="97"/>
  <c r="C28" i="97"/>
  <c r="D28" i="97"/>
  <c r="E28" i="97"/>
  <c r="F28" i="97"/>
  <c r="G28" i="97"/>
  <c r="H28" i="97"/>
  <c r="I28" i="97"/>
  <c r="B29" i="97"/>
  <c r="C29" i="97"/>
  <c r="D29" i="97"/>
  <c r="E29" i="97"/>
  <c r="F29" i="97"/>
  <c r="G29" i="97"/>
  <c r="H29" i="97"/>
  <c r="I29" i="97"/>
  <c r="B30" i="97"/>
  <c r="C30" i="97"/>
  <c r="D30" i="97"/>
  <c r="E30" i="97"/>
  <c r="F30" i="97"/>
  <c r="G30" i="97"/>
  <c r="H30" i="97"/>
  <c r="I30" i="97"/>
  <c r="B180" i="97"/>
  <c r="C180" i="97"/>
  <c r="D180" i="97"/>
  <c r="E180" i="97"/>
  <c r="F180" i="97"/>
  <c r="G180" i="97"/>
  <c r="H180" i="97"/>
  <c r="I180" i="97"/>
  <c r="B179" i="97"/>
  <c r="C179" i="97"/>
  <c r="D179" i="97"/>
  <c r="E179" i="97"/>
  <c r="F179" i="97"/>
  <c r="G179" i="97"/>
  <c r="H179" i="97"/>
  <c r="I179" i="97"/>
  <c r="B178" i="97"/>
  <c r="C178" i="97"/>
  <c r="D178" i="97"/>
  <c r="E178" i="97"/>
  <c r="F178" i="97"/>
  <c r="G178" i="97"/>
  <c r="H178" i="97"/>
  <c r="I178" i="97"/>
  <c r="B157" i="97"/>
  <c r="C157" i="97"/>
  <c r="D157" i="97"/>
  <c r="E157" i="97"/>
  <c r="F157" i="97"/>
  <c r="G157" i="97"/>
  <c r="H157" i="97"/>
  <c r="I157" i="97"/>
  <c r="B158" i="97"/>
  <c r="C158" i="97"/>
  <c r="D158" i="97"/>
  <c r="E158" i="97"/>
  <c r="F158" i="97"/>
  <c r="G158" i="97"/>
  <c r="H158" i="97"/>
  <c r="I158" i="97"/>
  <c r="B8" i="97"/>
  <c r="C8" i="97"/>
  <c r="D8" i="97"/>
  <c r="E8" i="97"/>
  <c r="F8" i="97"/>
  <c r="G8" i="97"/>
  <c r="H8" i="97"/>
  <c r="I8" i="97"/>
  <c r="B155" i="97"/>
  <c r="C155" i="97"/>
  <c r="D155" i="97"/>
  <c r="E155" i="97"/>
  <c r="F155" i="97"/>
  <c r="G155" i="97"/>
  <c r="H155" i="97"/>
  <c r="I155" i="97"/>
  <c r="B156" i="97"/>
  <c r="C156" i="97"/>
  <c r="D156" i="97"/>
  <c r="E156" i="97"/>
  <c r="F156" i="97"/>
  <c r="G156" i="97"/>
  <c r="H156" i="97"/>
  <c r="I156" i="97"/>
  <c r="B3" i="97"/>
  <c r="C3" i="97"/>
  <c r="D3" i="97"/>
  <c r="E3" i="97"/>
  <c r="F3" i="97"/>
  <c r="G3" i="97"/>
  <c r="H3" i="97"/>
  <c r="I3" i="97"/>
  <c r="B24" i="97"/>
  <c r="C24" i="97"/>
  <c r="D24" i="97"/>
  <c r="E24" i="97"/>
  <c r="F24" i="97"/>
  <c r="G24" i="97"/>
  <c r="H24" i="97"/>
  <c r="I24" i="97"/>
  <c r="B6" i="97"/>
  <c r="C6" i="97"/>
  <c r="D6" i="97"/>
  <c r="E6" i="97"/>
  <c r="F6" i="97"/>
  <c r="G6" i="97"/>
  <c r="H6" i="97"/>
  <c r="I6" i="97"/>
  <c r="B2" i="97"/>
  <c r="C2" i="97"/>
  <c r="D2" i="97"/>
  <c r="E2" i="97"/>
  <c r="F2" i="97"/>
  <c r="G2" i="97"/>
  <c r="H2" i="97"/>
  <c r="I2" i="97"/>
  <c r="H2333" i="1"/>
  <c r="H150" i="97" s="1"/>
  <c r="K13" i="41"/>
  <c r="K14" i="41" s="1"/>
  <c r="K15" i="41" s="1"/>
  <c r="AH16" i="41"/>
  <c r="AH2" i="41" s="1"/>
  <c r="AH3" i="41" s="1"/>
  <c r="W16" i="41"/>
  <c r="W2" i="41" s="1"/>
  <c r="W3" i="41" s="1"/>
  <c r="I3" i="130" l="1"/>
  <c r="M4" i="26"/>
  <c r="M5" i="26"/>
  <c r="M6" i="26"/>
  <c r="M7" i="26"/>
  <c r="M8" i="26"/>
  <c r="M9" i="26"/>
  <c r="M10" i="26"/>
  <c r="M11" i="26"/>
  <c r="H12" i="26"/>
  <c r="I12" i="26"/>
  <c r="M12" i="26"/>
  <c r="O12" i="26"/>
  <c r="L12" i="26" s="1"/>
  <c r="M13" i="26"/>
  <c r="G124" i="26"/>
  <c r="G125" i="26"/>
  <c r="G126" i="26"/>
  <c r="G127" i="26"/>
  <c r="G128" i="26"/>
  <c r="G129" i="26"/>
  <c r="G130" i="26"/>
  <c r="G131" i="26"/>
  <c r="G132" i="26"/>
  <c r="G133" i="26"/>
  <c r="G134" i="26"/>
  <c r="G135" i="26"/>
  <c r="J24"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G16" i="97" s="1"/>
  <c r="F1781" i="1"/>
  <c r="F16" i="97" s="1"/>
  <c r="D1781" i="1"/>
  <c r="D16" i="97" s="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H16" i="97"/>
  <c r="D24" i="113"/>
  <c r="K9" i="41"/>
  <c r="K10" i="41" s="1"/>
  <c r="K11" i="41" s="1"/>
  <c r="K12" i="41" s="1"/>
  <c r="C1781" i="1" l="1"/>
  <c r="C16" i="97" s="1"/>
  <c r="I16" i="97"/>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8" i="97"/>
  <c r="J110" i="97"/>
  <c r="J169" i="97"/>
  <c r="J98" i="97"/>
  <c r="J193" i="97"/>
  <c r="J55" i="97"/>
  <c r="J187" i="97"/>
  <c r="J37" i="97"/>
  <c r="J184" i="97"/>
  <c r="J94" i="97"/>
  <c r="J46" i="97"/>
  <c r="J158" i="97"/>
  <c r="J100" i="97"/>
  <c r="J196" i="97"/>
  <c r="J99" i="97"/>
  <c r="J45" i="97"/>
  <c r="J2" i="97"/>
  <c r="J53" i="97"/>
  <c r="J57" i="97"/>
  <c r="J47" i="97"/>
  <c r="J218" i="97"/>
  <c r="J31" i="97"/>
  <c r="J36" i="97"/>
  <c r="J92" i="97"/>
  <c r="J32" i="97"/>
  <c r="J111" i="97"/>
  <c r="J112" i="97"/>
  <c r="J38" i="97"/>
  <c r="J186" i="97"/>
  <c r="J188" i="97"/>
  <c r="J39" i="97"/>
  <c r="J166" i="97"/>
  <c r="J185" i="97"/>
  <c r="J182" i="97"/>
  <c r="J54" i="97"/>
  <c r="J56" i="97"/>
  <c r="J40" i="97"/>
  <c r="J6" i="97"/>
  <c r="J91" i="97"/>
  <c r="J170" i="97"/>
  <c r="J183" i="97"/>
  <c r="J108" i="97"/>
  <c r="J3" i="97"/>
  <c r="J197" i="97"/>
  <c r="J89"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G224" i="97" s="1"/>
  <c r="F1888" i="1"/>
  <c r="F224" i="97" s="1"/>
  <c r="G1887" i="1"/>
  <c r="G223" i="97" s="1"/>
  <c r="F1887" i="1"/>
  <c r="F223" i="97" s="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H224" i="97"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I148" i="97" s="1"/>
  <c r="H148" i="97"/>
  <c r="P1884" i="1"/>
  <c r="I147" i="97" s="1"/>
  <c r="H147" i="97"/>
  <c r="P1887" i="1"/>
  <c r="I223" i="97" s="1"/>
  <c r="H223" i="97"/>
  <c r="P1886" i="1"/>
  <c r="I222" i="97" s="1"/>
  <c r="H222" i="97"/>
  <c r="P1888" i="1"/>
  <c r="Q1891" i="1"/>
  <c r="C1891" i="1"/>
  <c r="R1891" i="1"/>
  <c r="R1893" i="1"/>
  <c r="R1884" i="1"/>
  <c r="Q1884" i="1"/>
  <c r="C1991" i="1"/>
  <c r="C1893" i="1"/>
  <c r="C1890" i="1"/>
  <c r="Q1890" i="1"/>
  <c r="R1887" i="1"/>
  <c r="C1887" i="1"/>
  <c r="C223" i="97" s="1"/>
  <c r="R1890" i="1"/>
  <c r="Q1887" i="1"/>
  <c r="Q1894" i="1"/>
  <c r="R1894" i="1"/>
  <c r="Q1893" i="1"/>
  <c r="C1884" i="1"/>
  <c r="C147" i="97" s="1"/>
  <c r="R1892" i="1"/>
  <c r="C1894" i="1"/>
  <c r="Q1889" i="1"/>
  <c r="C1889" i="1"/>
  <c r="Q1892" i="1"/>
  <c r="R1889" i="1"/>
  <c r="C1892" i="1"/>
  <c r="A1" i="132"/>
  <c r="J2" i="41"/>
  <c r="J3" i="41" s="1"/>
  <c r="K2" i="41"/>
  <c r="N16" i="41"/>
  <c r="N2" i="41" s="1"/>
  <c r="N3" i="41" s="1"/>
  <c r="O16" i="41"/>
  <c r="O2" i="41" s="1"/>
  <c r="O3" i="41" s="1"/>
  <c r="Q2" i="41"/>
  <c r="Q3" i="41" s="1"/>
  <c r="S2" i="41"/>
  <c r="S3" i="41" s="1"/>
  <c r="I16" i="41"/>
  <c r="BQ2" i="96"/>
  <c r="C1885" i="1" l="1"/>
  <c r="C148" i="97" s="1"/>
  <c r="Q1885" i="1"/>
  <c r="R1885" i="1"/>
  <c r="Q1886" i="1"/>
  <c r="R1886" i="1"/>
  <c r="C1886" i="1"/>
  <c r="C222" i="97" s="1"/>
  <c r="C1888" i="1"/>
  <c r="C224" i="97" s="1"/>
  <c r="I224" i="97"/>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5" i="97" s="1"/>
  <c r="D1780" i="1"/>
  <c r="D15" i="97" s="1"/>
  <c r="D1776" i="1"/>
  <c r="D1775" i="1"/>
  <c r="D1517" i="1"/>
  <c r="D1518" i="1"/>
  <c r="T667" i="1"/>
  <c r="O667" i="1"/>
  <c r="N667" i="1"/>
  <c r="M667" i="1"/>
  <c r="J667" i="1"/>
  <c r="I667" i="1"/>
  <c r="T666" i="1"/>
  <c r="O666" i="1"/>
  <c r="N666" i="1"/>
  <c r="M666" i="1"/>
  <c r="J666" i="1"/>
  <c r="I666" i="1"/>
  <c r="F666" i="1"/>
  <c r="F8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I11" i="114" l="1"/>
  <c r="G129" i="97"/>
  <c r="F130" i="97"/>
  <c r="H12" i="114"/>
  <c r="G130" i="97"/>
  <c r="I12" i="114"/>
  <c r="H15" i="114"/>
  <c r="F133" i="97"/>
  <c r="H11" i="114"/>
  <c r="F129" i="97"/>
  <c r="H21" i="113"/>
  <c r="G1991" i="1"/>
  <c r="F1991" i="1"/>
  <c r="J215" i="97"/>
  <c r="J138" i="97"/>
  <c r="J34" i="97"/>
  <c r="J220" i="97"/>
  <c r="J35" i="97"/>
  <c r="J103" i="97"/>
  <c r="J107" i="97"/>
  <c r="D64" i="132"/>
  <c r="K1965" i="1"/>
  <c r="T1965" i="1"/>
  <c r="G666" i="1"/>
  <c r="G86" i="97" s="1"/>
  <c r="G1848" i="1"/>
  <c r="G1851" i="1"/>
  <c r="G1870" i="1"/>
  <c r="F1780" i="1"/>
  <c r="F15" i="97" s="1"/>
  <c r="T1872" i="1"/>
  <c r="T1882" i="1"/>
  <c r="K1873" i="1"/>
  <c r="H1873" i="1" s="1"/>
  <c r="H136" i="97" s="1"/>
  <c r="T1878" i="1"/>
  <c r="T1873" i="1"/>
  <c r="K1875" i="1"/>
  <c r="H1875" i="1" s="1"/>
  <c r="H138" i="97" s="1"/>
  <c r="K1877" i="1"/>
  <c r="H1877" i="1" s="1"/>
  <c r="H140" i="97" s="1"/>
  <c r="K1879" i="1"/>
  <c r="H1879" i="1" s="1"/>
  <c r="H142" i="97" s="1"/>
  <c r="K1881" i="1"/>
  <c r="H1881" i="1" s="1"/>
  <c r="H144" i="97" s="1"/>
  <c r="K1883" i="1"/>
  <c r="H1883" i="1" s="1"/>
  <c r="T1880" i="1"/>
  <c r="K1870" i="1"/>
  <c r="H1870" i="1" s="1"/>
  <c r="T1875" i="1"/>
  <c r="T1877" i="1"/>
  <c r="T1879" i="1"/>
  <c r="T1881" i="1"/>
  <c r="T1883" i="1"/>
  <c r="T1876" i="1"/>
  <c r="T1870" i="1"/>
  <c r="T1874" i="1"/>
  <c r="K1871" i="1"/>
  <c r="K1872" i="1"/>
  <c r="H1872" i="1" s="1"/>
  <c r="T1871" i="1"/>
  <c r="K1874" i="1"/>
  <c r="H1874" i="1" s="1"/>
  <c r="K1876" i="1"/>
  <c r="H1876" i="1" s="1"/>
  <c r="H139" i="97" s="1"/>
  <c r="K1878" i="1"/>
  <c r="H1878" i="1" s="1"/>
  <c r="H141" i="97" s="1"/>
  <c r="K1880" i="1"/>
  <c r="H1880" i="1" s="1"/>
  <c r="H143" i="97" s="1"/>
  <c r="K1882" i="1"/>
  <c r="H1882" i="1" s="1"/>
  <c r="H145" i="97"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H133" i="97"/>
  <c r="P1883" i="1"/>
  <c r="I146" i="97" s="1"/>
  <c r="H146" i="97"/>
  <c r="P1874" i="1"/>
  <c r="C1874" i="1" s="1"/>
  <c r="C137" i="97" s="1"/>
  <c r="H137" i="97"/>
  <c r="I15" i="114"/>
  <c r="G133" i="97"/>
  <c r="I129" i="97"/>
  <c r="K11" i="114"/>
  <c r="D11" i="114" s="1"/>
  <c r="I13" i="114"/>
  <c r="G131" i="97"/>
  <c r="J17" i="114"/>
  <c r="H135" i="97"/>
  <c r="H13" i="114"/>
  <c r="F131" i="97"/>
  <c r="I21" i="113"/>
  <c r="H37" i="113"/>
  <c r="H1965" i="1"/>
  <c r="P1965" i="1" s="1"/>
  <c r="T1806" i="1"/>
  <c r="T1818" i="1"/>
  <c r="T1838" i="1"/>
  <c r="J2523" i="23"/>
  <c r="H2377" i="23"/>
  <c r="K2575" i="23"/>
  <c r="K34" i="113"/>
  <c r="K2549" i="23"/>
  <c r="J2558" i="23"/>
  <c r="K2466" i="23"/>
  <c r="K2522" i="23"/>
  <c r="K2535" i="23"/>
  <c r="A2550" i="23"/>
  <c r="K2574" i="23"/>
  <c r="A2561" i="23"/>
  <c r="P1878" i="1"/>
  <c r="I141" i="97" s="1"/>
  <c r="P1876" i="1"/>
  <c r="I139" i="97" s="1"/>
  <c r="P1881" i="1"/>
  <c r="I144" i="97" s="1"/>
  <c r="P1879" i="1"/>
  <c r="I142" i="97" s="1"/>
  <c r="P1873" i="1"/>
  <c r="P1877" i="1"/>
  <c r="I140" i="97" s="1"/>
  <c r="P1882" i="1"/>
  <c r="I145" i="97" s="1"/>
  <c r="P1875" i="1"/>
  <c r="I138" i="97" s="1"/>
  <c r="K138" i="97" s="1"/>
  <c r="P1880" i="1"/>
  <c r="I143" i="97" s="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I133" i="97"/>
  <c r="I135" i="97"/>
  <c r="K17" i="114"/>
  <c r="Q1874" i="1"/>
  <c r="I137" i="97"/>
  <c r="K12" i="114"/>
  <c r="D12" i="114" s="1"/>
  <c r="I130" i="97"/>
  <c r="I127" i="97"/>
  <c r="K9" i="114"/>
  <c r="R1873" i="1"/>
  <c r="I136" i="97"/>
  <c r="I126" i="97"/>
  <c r="K8" i="114"/>
  <c r="J13" i="114"/>
  <c r="H131" i="97"/>
  <c r="I128" i="97"/>
  <c r="K10" i="114"/>
  <c r="R1874" i="1"/>
  <c r="J3047" i="23"/>
  <c r="I37" i="113"/>
  <c r="I36" i="113"/>
  <c r="I35" i="113"/>
  <c r="C1965" i="1"/>
  <c r="Q1965" i="1"/>
  <c r="R1965" i="1"/>
  <c r="H1864" i="1"/>
  <c r="H1867" i="1"/>
  <c r="H1863" i="1"/>
  <c r="H1866" i="1"/>
  <c r="P1868" i="1"/>
  <c r="H1865" i="1"/>
  <c r="H1869" i="1"/>
  <c r="Q1876" i="1"/>
  <c r="C1876" i="1"/>
  <c r="C139" i="97" s="1"/>
  <c r="Q1883" i="1"/>
  <c r="Q1875" i="1"/>
  <c r="R1878" i="1"/>
  <c r="C1878" i="1"/>
  <c r="C141" i="97" s="1"/>
  <c r="Q1878" i="1"/>
  <c r="Q1879" i="1"/>
  <c r="C1879" i="1"/>
  <c r="C142" i="97" s="1"/>
  <c r="R1876" i="1"/>
  <c r="C1883" i="1"/>
  <c r="C146" i="97" s="1"/>
  <c r="R1875" i="1"/>
  <c r="Q1882" i="1"/>
  <c r="C1882" i="1"/>
  <c r="C145" i="97" s="1"/>
  <c r="R1883" i="1"/>
  <c r="R1882" i="1"/>
  <c r="R1881" i="1"/>
  <c r="Q1877" i="1"/>
  <c r="Q1873" i="1"/>
  <c r="C1881" i="1"/>
  <c r="C144" i="97" s="1"/>
  <c r="C1873" i="1"/>
  <c r="C136" i="97" s="1"/>
  <c r="C1875" i="1"/>
  <c r="C138" i="97" s="1"/>
  <c r="Q1870" i="1"/>
  <c r="C1877" i="1"/>
  <c r="C140" i="97" s="1"/>
  <c r="Q1881" i="1"/>
  <c r="R1880" i="1"/>
  <c r="C1872" i="1"/>
  <c r="C135" i="97" s="1"/>
  <c r="R1877" i="1"/>
  <c r="R1879" i="1"/>
  <c r="H1775" i="1"/>
  <c r="Q1880" i="1"/>
  <c r="C1880" i="1"/>
  <c r="C143" i="97" s="1"/>
  <c r="H1871" i="1"/>
  <c r="C1870" i="1"/>
  <c r="C133" i="97" s="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J11" i="114" l="1"/>
  <c r="H129" i="97"/>
  <c r="J8" i="114"/>
  <c r="H126" i="97"/>
  <c r="H130" i="97"/>
  <c r="J12" i="114"/>
  <c r="J9" i="114"/>
  <c r="H127" i="97"/>
  <c r="J16" i="114"/>
  <c r="H134" i="97"/>
  <c r="H132" i="97"/>
  <c r="J14" i="114"/>
  <c r="J10" i="114"/>
  <c r="H128" i="97"/>
  <c r="R1868" i="1"/>
  <c r="K13" i="114"/>
  <c r="D13" i="114" s="1"/>
  <c r="I131" i="97"/>
  <c r="K196" i="97"/>
  <c r="C1863" i="1"/>
  <c r="C126" i="97" s="1"/>
  <c r="C1865" i="1"/>
  <c r="C128" i="97" s="1"/>
  <c r="Q1865" i="1"/>
  <c r="Q1868" i="1"/>
  <c r="C1868" i="1"/>
  <c r="C131" i="97" s="1"/>
  <c r="R1865" i="1"/>
  <c r="Q1866" i="1"/>
  <c r="Q1867" i="1"/>
  <c r="C1867" i="1"/>
  <c r="C130" i="97" s="1"/>
  <c r="Q1864" i="1"/>
  <c r="R1864" i="1"/>
  <c r="C1864" i="1"/>
  <c r="C127" i="97" s="1"/>
  <c r="C1866" i="1"/>
  <c r="C129" i="97" s="1"/>
  <c r="R1863" i="1"/>
  <c r="Q1863" i="1"/>
  <c r="R1867" i="1"/>
  <c r="P1869" i="1"/>
  <c r="R1866" i="1"/>
  <c r="E1776" i="1"/>
  <c r="E23" i="97" s="1"/>
  <c r="H1779" i="1"/>
  <c r="H17" i="97" s="1"/>
  <c r="H1848" i="1"/>
  <c r="H1849" i="1"/>
  <c r="H1847" i="1"/>
  <c r="K6"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K14" i="114" l="1"/>
  <c r="I132" i="97"/>
  <c r="H1776" i="1"/>
  <c r="H23" i="97" s="1"/>
  <c r="P1871" i="1"/>
  <c r="P1779" i="1"/>
  <c r="I17" i="97" s="1"/>
  <c r="Q1869" i="1"/>
  <c r="R1869" i="1"/>
  <c r="C1869" i="1"/>
  <c r="C13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I134" i="97" l="1"/>
  <c r="K16" i="114"/>
  <c r="C1779" i="1"/>
  <c r="C17" i="97" s="1"/>
  <c r="R1871" i="1"/>
  <c r="Q1871" i="1"/>
  <c r="C1871" i="1"/>
  <c r="C134" i="97" s="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114" i="97" s="1"/>
  <c r="F1118" i="1"/>
  <c r="F114"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27" i="97"/>
  <c r="J69" i="97"/>
  <c r="K69" i="97" s="1"/>
  <c r="J236" i="97"/>
  <c r="K236" i="97" s="1"/>
  <c r="J130" i="97"/>
  <c r="J213" i="97"/>
  <c r="J253" i="97"/>
  <c r="K253" i="97" s="1"/>
  <c r="J152" i="97"/>
  <c r="J151" i="97"/>
  <c r="J238" i="97"/>
  <c r="K238" i="97" s="1"/>
  <c r="J173" i="97"/>
  <c r="J29" i="97"/>
  <c r="J117" i="97"/>
  <c r="J255" i="97"/>
  <c r="K255" i="97" s="1"/>
  <c r="J82" i="97"/>
  <c r="J156" i="97"/>
  <c r="J30" i="97"/>
  <c r="J264" i="97"/>
  <c r="K264" i="97" s="1"/>
  <c r="J205" i="97"/>
  <c r="K205" i="97" s="1"/>
  <c r="J102" i="97"/>
  <c r="J225" i="97"/>
  <c r="K225" i="97" s="1"/>
  <c r="J168" i="97"/>
  <c r="J250" i="97"/>
  <c r="K250" i="97" s="1"/>
  <c r="J63" i="97"/>
  <c r="J83" i="97"/>
  <c r="J61" i="97"/>
  <c r="J131" i="97"/>
  <c r="K131" i="97" s="1"/>
  <c r="J126" i="97"/>
  <c r="J165" i="97"/>
  <c r="J135" i="97"/>
  <c r="K135" i="97" s="1"/>
  <c r="J251" i="97"/>
  <c r="K251" i="97" s="1"/>
  <c r="J88" i="97"/>
  <c r="J204" i="97"/>
  <c r="K204" i="97" s="1"/>
  <c r="J244" i="97"/>
  <c r="K244" i="97" s="1"/>
  <c r="J49" i="97"/>
  <c r="J90" i="97"/>
  <c r="J261" i="97"/>
  <c r="K261" i="97" s="1"/>
  <c r="J76" i="97"/>
  <c r="J16" i="97"/>
  <c r="K16" i="97" s="1"/>
  <c r="J246" i="97"/>
  <c r="K246" i="97" s="1"/>
  <c r="J67" i="97"/>
  <c r="J200" i="97"/>
  <c r="J43" i="97"/>
  <c r="J263" i="97"/>
  <c r="K263" i="97" s="1"/>
  <c r="J23" i="97"/>
  <c r="J113" i="97"/>
  <c r="J142" i="97"/>
  <c r="K142" i="97" s="1"/>
  <c r="J81" i="97"/>
  <c r="J62" i="97"/>
  <c r="J174" i="97"/>
  <c r="J190" i="97"/>
  <c r="J259" i="97"/>
  <c r="K259" i="97" s="1"/>
  <c r="J211" i="97"/>
  <c r="J214" i="97"/>
  <c r="J252" i="97"/>
  <c r="K252" i="97" s="1"/>
  <c r="J212" i="97"/>
  <c r="J58" i="97"/>
  <c r="J269" i="97"/>
  <c r="K269" i="97" s="1"/>
  <c r="J139" i="97"/>
  <c r="J133" i="97"/>
  <c r="K133" i="97" s="1"/>
  <c r="J254" i="97"/>
  <c r="K254" i="97" s="1"/>
  <c r="J116" i="97"/>
  <c r="J12" i="97"/>
  <c r="J181" i="97"/>
  <c r="J180" i="97"/>
  <c r="J115" i="97"/>
  <c r="J223" i="97"/>
  <c r="K223" i="97" s="1"/>
  <c r="J208" i="97"/>
  <c r="J171" i="97"/>
  <c r="J241" i="97"/>
  <c r="K241" i="97" s="1"/>
  <c r="J70" i="97"/>
  <c r="J201" i="97"/>
  <c r="J65" i="97"/>
  <c r="J44" i="97"/>
  <c r="G1778" i="1"/>
  <c r="J209" i="97"/>
  <c r="J123" i="97"/>
  <c r="J172" i="97"/>
  <c r="J267" i="97"/>
  <c r="K267" i="97" s="1"/>
  <c r="J175" i="97"/>
  <c r="J217" i="97"/>
  <c r="J260" i="97"/>
  <c r="K260" i="97" s="1"/>
  <c r="J163" i="97"/>
  <c r="J147" i="97"/>
  <c r="K147" i="97" s="1"/>
  <c r="J226" i="97"/>
  <c r="K226" i="97" s="1"/>
  <c r="J22" i="97"/>
  <c r="J194" i="97"/>
  <c r="J262" i="97"/>
  <c r="K262" i="97" s="1"/>
  <c r="J157" i="97"/>
  <c r="J95" i="97"/>
  <c r="J222" i="97"/>
  <c r="K222" i="97" s="1"/>
  <c r="J15" i="97"/>
  <c r="J9" i="97"/>
  <c r="J114" i="97"/>
  <c r="J7" i="97"/>
  <c r="J219" i="97"/>
  <c r="J106" i="97"/>
  <c r="J122" i="97"/>
  <c r="J249" i="97"/>
  <c r="K249" i="97" s="1"/>
  <c r="J154" i="97"/>
  <c r="J73" i="97"/>
  <c r="J51" i="97"/>
  <c r="J28" i="97"/>
  <c r="J74" i="97"/>
  <c r="J178" i="97"/>
  <c r="J145" i="97"/>
  <c r="K145" i="97" s="1"/>
  <c r="J162" i="97"/>
  <c r="J21" i="97"/>
  <c r="J195" i="97"/>
  <c r="J268" i="97"/>
  <c r="K268" i="97" s="1"/>
  <c r="J85" i="97"/>
  <c r="J4" i="97"/>
  <c r="J258" i="97"/>
  <c r="K258" i="97" s="1"/>
  <c r="J96" i="97"/>
  <c r="J19" i="97"/>
  <c r="J144" i="97"/>
  <c r="K144" i="97" s="1"/>
  <c r="J42" i="97"/>
  <c r="J179" i="97"/>
  <c r="J18" i="97"/>
  <c r="J128" i="97"/>
  <c r="J84" i="97"/>
  <c r="J132" i="97"/>
  <c r="K132" i="97" s="1"/>
  <c r="J232" i="97"/>
  <c r="K232" i="97" s="1"/>
  <c r="J72" i="97"/>
  <c r="K72" i="97" s="1"/>
  <c r="J127" i="97"/>
  <c r="J101" i="97"/>
  <c r="J257" i="97"/>
  <c r="K257" i="97" s="1"/>
  <c r="J176" i="97"/>
  <c r="J97" i="97"/>
  <c r="J198" i="97"/>
  <c r="K198" i="97" s="1"/>
  <c r="J52" i="97"/>
  <c r="J120" i="97"/>
  <c r="J207" i="97"/>
  <c r="J149" i="97"/>
  <c r="J17" i="97"/>
  <c r="J160" i="97"/>
  <c r="J146" i="97"/>
  <c r="K146" i="97" s="1"/>
  <c r="J79" i="97"/>
  <c r="J50" i="97"/>
  <c r="J229" i="97"/>
  <c r="K229" i="97" s="1"/>
  <c r="E7" i="110"/>
  <c r="J202" i="97"/>
  <c r="J148" i="97"/>
  <c r="K148" i="97" s="1"/>
  <c r="J177" i="97"/>
  <c r="J140" i="97"/>
  <c r="J203" i="97"/>
  <c r="K203" i="97" s="1"/>
  <c r="J231" i="97"/>
  <c r="K231" i="97" s="1"/>
  <c r="J104" i="97"/>
  <c r="J66" i="97"/>
  <c r="J59" i="97"/>
  <c r="K59" i="97" s="1"/>
  <c r="J240" i="97"/>
  <c r="K240" i="97" s="1"/>
  <c r="J137" i="97"/>
  <c r="J75" i="97"/>
  <c r="J199" i="97"/>
  <c r="J265" i="97"/>
  <c r="K265" i="97" s="1"/>
  <c r="J77" i="97"/>
  <c r="J124" i="97"/>
  <c r="J20" i="97"/>
  <c r="J125" i="97"/>
  <c r="J233" i="97"/>
  <c r="K233" i="97" s="1"/>
  <c r="J33" i="97"/>
  <c r="K33" i="97" s="1"/>
  <c r="J192" i="97"/>
  <c r="J227" i="97"/>
  <c r="K227" i="97" s="1"/>
  <c r="J121" i="97"/>
  <c r="J14" i="97"/>
  <c r="J150" i="97"/>
  <c r="J26" i="97"/>
  <c r="K26" i="97" s="1"/>
  <c r="J87" i="97"/>
  <c r="J237" i="97"/>
  <c r="K237" i="97" s="1"/>
  <c r="J161" i="97"/>
  <c r="J64" i="97"/>
  <c r="J5" i="97"/>
  <c r="J242" i="97"/>
  <c r="K242" i="97" s="1"/>
  <c r="J216" i="97"/>
  <c r="J134" i="97"/>
  <c r="K134" i="97" s="1"/>
  <c r="J239" i="97"/>
  <c r="K239" i="97" s="1"/>
  <c r="J48" i="97"/>
  <c r="J164" i="97"/>
  <c r="J141" i="97"/>
  <c r="K141" i="97" s="1"/>
  <c r="J248" i="97"/>
  <c r="K248" i="97" s="1"/>
  <c r="J210" i="97"/>
  <c r="J86" i="97"/>
  <c r="J143" i="97"/>
  <c r="K143" i="97" s="1"/>
  <c r="J191" i="97"/>
  <c r="J68" i="97"/>
  <c r="J60" i="97"/>
  <c r="J10" i="97"/>
  <c r="J41" i="97"/>
  <c r="J78" i="97"/>
  <c r="J71" i="97"/>
  <c r="K71" i="97" s="1"/>
  <c r="J235" i="97"/>
  <c r="K235" i="97" s="1"/>
  <c r="J221" i="97"/>
  <c r="J93" i="97"/>
  <c r="J228" i="97"/>
  <c r="K228" i="97" s="1"/>
  <c r="J80" i="97"/>
  <c r="J206" i="97"/>
  <c r="J245" i="97"/>
  <c r="K245" i="97" s="1"/>
  <c r="J109" i="97"/>
  <c r="J13" i="97"/>
  <c r="J230" i="97"/>
  <c r="K230" i="97" s="1"/>
  <c r="J266" i="97"/>
  <c r="K266" i="97" s="1"/>
  <c r="J105" i="97"/>
  <c r="J159" i="97"/>
  <c r="J247" i="97"/>
  <c r="K247" i="97" s="1"/>
  <c r="J119" i="97"/>
  <c r="J129" i="97"/>
  <c r="J25" i="97"/>
  <c r="J256" i="97"/>
  <c r="K256" i="97" s="1"/>
  <c r="J224" i="97"/>
  <c r="K224" i="97" s="1"/>
  <c r="J234" i="97"/>
  <c r="K234" i="97" s="1"/>
  <c r="J155" i="97"/>
  <c r="J167" i="97"/>
  <c r="J118" i="97"/>
  <c r="J136" i="97"/>
  <c r="F1996" i="1"/>
  <c r="F1995" i="1"/>
  <c r="F1992" i="1"/>
  <c r="F1900" i="1"/>
  <c r="F1902" i="1"/>
  <c r="F1884" i="1"/>
  <c r="F147" i="97" s="1"/>
  <c r="AZ7" i="41"/>
  <c r="G1900" i="1"/>
  <c r="F1898" i="1"/>
  <c r="G1902" i="1"/>
  <c r="F1901" i="1"/>
  <c r="G1898" i="1"/>
  <c r="F1896" i="1"/>
  <c r="G1901" i="1"/>
  <c r="F1899" i="1"/>
  <c r="G1896" i="1"/>
  <c r="F1894" i="1"/>
  <c r="G1899" i="1"/>
  <c r="F1897" i="1"/>
  <c r="G1894" i="1"/>
  <c r="F1890" i="1"/>
  <c r="G1897" i="1"/>
  <c r="F1895" i="1"/>
  <c r="G1884" i="1"/>
  <c r="G147" i="97" s="1"/>
  <c r="G1890" i="1"/>
  <c r="G1885" i="1"/>
  <c r="G148" i="97" s="1"/>
  <c r="G1895" i="1"/>
  <c r="F1893" i="1"/>
  <c r="F1885" i="1"/>
  <c r="F148" i="97" s="1"/>
  <c r="G1886" i="1"/>
  <c r="G222" i="97" s="1"/>
  <c r="G1893" i="1"/>
  <c r="F1891" i="1"/>
  <c r="F1993" i="1"/>
  <c r="F1886" i="1"/>
  <c r="F222" i="97" s="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38" i="97" s="1"/>
  <c r="G1880" i="1"/>
  <c r="G143" i="97" s="1"/>
  <c r="F1879" i="1"/>
  <c r="F142" i="97" s="1"/>
  <c r="G1879" i="1"/>
  <c r="G142" i="97" s="1"/>
  <c r="F1874" i="1"/>
  <c r="F137" i="97" s="1"/>
  <c r="F1883" i="1"/>
  <c r="F146" i="97" s="1"/>
  <c r="G1883" i="1"/>
  <c r="G146" i="97" s="1"/>
  <c r="G1873" i="1"/>
  <c r="G136" i="97" s="1"/>
  <c r="F1878" i="1"/>
  <c r="F141" i="97" s="1"/>
  <c r="F1876" i="1"/>
  <c r="F139" i="97" s="1"/>
  <c r="F1877" i="1"/>
  <c r="F140" i="97" s="1"/>
  <c r="F1882" i="1"/>
  <c r="F145" i="97" s="1"/>
  <c r="F1880" i="1"/>
  <c r="F143" i="97" s="1"/>
  <c r="F1881" i="1"/>
  <c r="F144" i="97" s="1"/>
  <c r="G1874" i="1"/>
  <c r="G137" i="97" s="1"/>
  <c r="G1878" i="1"/>
  <c r="G141" i="97" s="1"/>
  <c r="G1882" i="1"/>
  <c r="G145" i="97" s="1"/>
  <c r="F1873" i="1"/>
  <c r="F136" i="97" s="1"/>
  <c r="G1877" i="1"/>
  <c r="G140" i="97" s="1"/>
  <c r="G1876" i="1"/>
  <c r="G139" i="97" s="1"/>
  <c r="G1881" i="1"/>
  <c r="G144" i="97" s="1"/>
  <c r="F1875" i="1"/>
  <c r="F138" i="97" s="1"/>
  <c r="F1864" i="1"/>
  <c r="F1865" i="1"/>
  <c r="G1872" i="1"/>
  <c r="G1869" i="1"/>
  <c r="G1865" i="1"/>
  <c r="G1863" i="1"/>
  <c r="G1871" i="1"/>
  <c r="F1863" i="1"/>
  <c r="F1869" i="1"/>
  <c r="F1872" i="1"/>
  <c r="F1871" i="1"/>
  <c r="G1864" i="1"/>
  <c r="F1806" i="1"/>
  <c r="F1814" i="1"/>
  <c r="F1818" i="1"/>
  <c r="G1849" i="1"/>
  <c r="F1850" i="1"/>
  <c r="G1850" i="1"/>
  <c r="F1845" i="1"/>
  <c r="F1849" i="1"/>
  <c r="F1810" i="1"/>
  <c r="F1779" i="1"/>
  <c r="F17" i="97" s="1"/>
  <c r="G1779" i="1"/>
  <c r="G17" i="97" s="1"/>
  <c r="G453" i="1"/>
  <c r="G451" i="1"/>
  <c r="G449" i="1"/>
  <c r="G459" i="1"/>
  <c r="E452" i="1"/>
  <c r="F456" i="1"/>
  <c r="G456" i="1"/>
  <c r="E449" i="1"/>
  <c r="F451" i="1"/>
  <c r="G461" i="1"/>
  <c r="E454" i="1"/>
  <c r="F458" i="1"/>
  <c r="G460" i="1"/>
  <c r="E451" i="1"/>
  <c r="F453" i="1"/>
  <c r="F463" i="1"/>
  <c r="E456" i="1"/>
  <c r="F460" i="1"/>
  <c r="G462" i="1"/>
  <c r="E453" i="1"/>
  <c r="F455" i="1"/>
  <c r="F667" i="1"/>
  <c r="F87" i="97" s="1"/>
  <c r="E458" i="1"/>
  <c r="F462" i="1"/>
  <c r="F464" i="1"/>
  <c r="E455" i="1"/>
  <c r="F457" i="1"/>
  <c r="G463" i="1"/>
  <c r="E460" i="1"/>
  <c r="E464" i="1"/>
  <c r="F450" i="1"/>
  <c r="E457" i="1"/>
  <c r="F459" i="1"/>
  <c r="G667" i="1"/>
  <c r="G87" i="97" s="1"/>
  <c r="E462" i="1"/>
  <c r="F452" i="1"/>
  <c r="G452" i="1"/>
  <c r="E459" i="1"/>
  <c r="F461" i="1"/>
  <c r="F663" i="1"/>
  <c r="D31" i="130"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1"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9" i="97" s="1"/>
  <c r="F875" i="1"/>
  <c r="F93" i="97" s="1"/>
  <c r="F876" i="1"/>
  <c r="F94" i="97" s="1"/>
  <c r="G897" i="23"/>
  <c r="F909" i="23"/>
  <c r="E908" i="23"/>
  <c r="E909" i="23"/>
  <c r="F897" i="23"/>
  <c r="G909" i="23"/>
  <c r="G908" i="23"/>
  <c r="E897" i="23"/>
  <c r="F908" i="23"/>
  <c r="F904" i="23"/>
  <c r="G904" i="23"/>
  <c r="E904" i="23"/>
  <c r="F370" i="1"/>
  <c r="F209"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9" i="97" s="1"/>
  <c r="F954" i="1"/>
  <c r="F100" i="97" s="1"/>
  <c r="F963" i="1"/>
  <c r="F103" i="97" s="1"/>
  <c r="F964" i="1"/>
  <c r="F104" i="97" s="1"/>
  <c r="F889" i="1"/>
  <c r="I658" i="1"/>
  <c r="O659" i="1"/>
  <c r="N659" i="1"/>
  <c r="O658" i="1"/>
  <c r="M659" i="1"/>
  <c r="N658" i="1"/>
  <c r="M658" i="1"/>
  <c r="J659" i="1"/>
  <c r="I899" i="1"/>
  <c r="M900" i="1"/>
  <c r="J899" i="1"/>
  <c r="D907" i="1"/>
  <c r="D906" i="1" s="1"/>
  <c r="M899" i="1"/>
  <c r="G2" i="114"/>
  <c r="F2" i="114"/>
  <c r="F173" i="97" l="1"/>
  <c r="D43" i="130"/>
  <c r="F175" i="97"/>
  <c r="D45" i="130"/>
  <c r="F174" i="97"/>
  <c r="D44" i="130"/>
  <c r="H8" i="114"/>
  <c r="F126" i="97"/>
  <c r="H18" i="113"/>
  <c r="F163" i="97"/>
  <c r="I16" i="114"/>
  <c r="G134" i="97"/>
  <c r="H14" i="114"/>
  <c r="F132" i="97"/>
  <c r="I8" i="114"/>
  <c r="G126" i="97"/>
  <c r="I10" i="114"/>
  <c r="G128" i="97"/>
  <c r="I9" i="114"/>
  <c r="G127" i="97"/>
  <c r="H16" i="114"/>
  <c r="F134" i="97"/>
  <c r="I17" i="114"/>
  <c r="G135" i="97"/>
  <c r="H9" i="114"/>
  <c r="F127" i="97"/>
  <c r="G132" i="97"/>
  <c r="I14" i="114"/>
  <c r="H17" i="114"/>
  <c r="F135" i="97"/>
  <c r="F128" i="97"/>
  <c r="H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0" i="114" l="1"/>
  <c r="D17" i="114"/>
  <c r="D9"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D211"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I174" i="97" l="1"/>
  <c r="G44" i="130"/>
  <c r="P1798" i="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108" i="97" s="1"/>
  <c r="G1108" i="1"/>
  <c r="G108" i="97" s="1"/>
  <c r="F1109" i="1"/>
  <c r="F109" i="97" s="1"/>
  <c r="G1109" i="1"/>
  <c r="G109" i="97" s="1"/>
  <c r="F1110" i="1"/>
  <c r="G1110" i="1"/>
  <c r="F1111" i="1"/>
  <c r="F110" i="97" s="1"/>
  <c r="G1111" i="1"/>
  <c r="G110" i="97" s="1"/>
  <c r="F1112" i="1"/>
  <c r="F111" i="97" s="1"/>
  <c r="G1112" i="1"/>
  <c r="G111" i="97" s="1"/>
  <c r="F1113" i="1"/>
  <c r="F218" i="97" s="1"/>
  <c r="G1113" i="1"/>
  <c r="G218" i="97" s="1"/>
  <c r="F766" i="1"/>
  <c r="G766" i="1"/>
  <c r="F767" i="1"/>
  <c r="G767" i="1"/>
  <c r="F245" i="1"/>
  <c r="F206" i="97" s="1"/>
  <c r="G245" i="1"/>
  <c r="G206" i="97" s="1"/>
  <c r="E246" i="1"/>
  <c r="E207" i="97" s="1"/>
  <c r="F246" i="1"/>
  <c r="F207" i="97" s="1"/>
  <c r="G246" i="1"/>
  <c r="G20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E7"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1"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E18" i="97" s="1"/>
  <c r="G2343" i="1"/>
  <c r="F2343" i="1"/>
  <c r="E2343" i="1"/>
  <c r="G2342" i="1"/>
  <c r="F2342" i="1"/>
  <c r="E2342" i="1"/>
  <c r="G2341" i="1"/>
  <c r="F2341" i="1"/>
  <c r="E2341" i="1"/>
  <c r="G2340" i="1"/>
  <c r="F2340" i="1"/>
  <c r="E2340" i="1"/>
  <c r="G2338" i="1"/>
  <c r="F2338" i="1"/>
  <c r="E2338" i="1"/>
  <c r="G2336" i="1"/>
  <c r="F2336" i="1"/>
  <c r="E2336" i="1"/>
  <c r="G2333" i="1"/>
  <c r="G150" i="97" s="1"/>
  <c r="F2333" i="1"/>
  <c r="F150" i="97" s="1"/>
  <c r="E2333" i="1"/>
  <c r="E150" i="97" s="1"/>
  <c r="G2331" i="1"/>
  <c r="G149" i="97" s="1"/>
  <c r="F2331" i="1"/>
  <c r="F149" i="97" s="1"/>
  <c r="E2331" i="1"/>
  <c r="E149" i="97" s="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125" i="97" s="1"/>
  <c r="F1843" i="1"/>
  <c r="F125" i="97" s="1"/>
  <c r="G1842" i="1"/>
  <c r="F1842" i="1"/>
  <c r="G1840" i="1"/>
  <c r="G124" i="97" s="1"/>
  <c r="F1840" i="1"/>
  <c r="F124" i="97" s="1"/>
  <c r="G1839" i="1"/>
  <c r="G11"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123" i="97" s="1"/>
  <c r="F1820" i="1"/>
  <c r="F123" i="97" s="1"/>
  <c r="G1819" i="1"/>
  <c r="G10" i="97" s="1"/>
  <c r="F1819" i="1"/>
  <c r="F10" i="97" s="1"/>
  <c r="G1817" i="1"/>
  <c r="F1817" i="1"/>
  <c r="G1816" i="1"/>
  <c r="F1816" i="1"/>
  <c r="G1815" i="1"/>
  <c r="F1815" i="1"/>
  <c r="G1813" i="1"/>
  <c r="F1813" i="1"/>
  <c r="G1812" i="1"/>
  <c r="G122" i="97" s="1"/>
  <c r="F1812" i="1"/>
  <c r="F122" i="97" s="1"/>
  <c r="G1811" i="1"/>
  <c r="G121" i="97" s="1"/>
  <c r="F1811" i="1"/>
  <c r="F121" i="97" s="1"/>
  <c r="G1809" i="1"/>
  <c r="F1809" i="1"/>
  <c r="G1808" i="1"/>
  <c r="G120" i="97" s="1"/>
  <c r="F1808" i="1"/>
  <c r="F120" i="97" s="1"/>
  <c r="G1807" i="1"/>
  <c r="G119" i="97" s="1"/>
  <c r="F1807" i="1"/>
  <c r="F119" i="97" s="1"/>
  <c r="G1805" i="1"/>
  <c r="F1805" i="1"/>
  <c r="G1804" i="1"/>
  <c r="F1804" i="1"/>
  <c r="G1803" i="1"/>
  <c r="F1803" i="1"/>
  <c r="G1801" i="1"/>
  <c r="F1801" i="1"/>
  <c r="G1800" i="1"/>
  <c r="F1800" i="1"/>
  <c r="G1798" i="1"/>
  <c r="F1798" i="1"/>
  <c r="G1797" i="1"/>
  <c r="F1797" i="1"/>
  <c r="G1795" i="1"/>
  <c r="G118" i="97" s="1"/>
  <c r="F1795" i="1"/>
  <c r="F118" i="97" s="1"/>
  <c r="G1794" i="1"/>
  <c r="G117" i="97" s="1"/>
  <c r="F1794" i="1"/>
  <c r="F117"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3" i="97" s="1"/>
  <c r="F1776" i="1"/>
  <c r="F23"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107" i="97" s="1"/>
  <c r="F968" i="1"/>
  <c r="F107" i="97" s="1"/>
  <c r="G967" i="1"/>
  <c r="G106" i="97" s="1"/>
  <c r="F967" i="1"/>
  <c r="F106" i="97" s="1"/>
  <c r="G966" i="1"/>
  <c r="G105" i="97" s="1"/>
  <c r="F966" i="1"/>
  <c r="F105" i="97" s="1"/>
  <c r="G965" i="1"/>
  <c r="F965" i="1"/>
  <c r="G964" i="1"/>
  <c r="G104" i="97" s="1"/>
  <c r="G963" i="1"/>
  <c r="G103" i="97" s="1"/>
  <c r="G959" i="1"/>
  <c r="F959" i="1"/>
  <c r="E959" i="1"/>
  <c r="G958" i="1"/>
  <c r="F958" i="1"/>
  <c r="E958" i="1"/>
  <c r="G957" i="1"/>
  <c r="G102" i="97" s="1"/>
  <c r="F957" i="1"/>
  <c r="F102" i="97" s="1"/>
  <c r="G956" i="1"/>
  <c r="G101" i="97" s="1"/>
  <c r="F956" i="1"/>
  <c r="F101" i="97" s="1"/>
  <c r="G955" i="1"/>
  <c r="F955" i="1"/>
  <c r="G954" i="1"/>
  <c r="G100" i="97" s="1"/>
  <c r="G953" i="1"/>
  <c r="G99"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7" i="97" s="1"/>
  <c r="F881" i="1"/>
  <c r="F217" i="97" s="1"/>
  <c r="E881" i="1"/>
  <c r="E217" i="97" s="1"/>
  <c r="G880" i="1"/>
  <c r="G98" i="97" s="1"/>
  <c r="F880" i="1"/>
  <c r="F98" i="97" s="1"/>
  <c r="G879" i="1"/>
  <c r="G97" i="97" s="1"/>
  <c r="F879" i="1"/>
  <c r="F97" i="97" s="1"/>
  <c r="G878" i="1"/>
  <c r="G96" i="97" s="1"/>
  <c r="F878" i="1"/>
  <c r="F96" i="97" s="1"/>
  <c r="G877" i="1"/>
  <c r="G95" i="97" s="1"/>
  <c r="F877" i="1"/>
  <c r="F95" i="97" s="1"/>
  <c r="G876" i="1"/>
  <c r="G94" i="97" s="1"/>
  <c r="G875" i="1"/>
  <c r="G93"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92" i="97" s="1"/>
  <c r="F869" i="1"/>
  <c r="F92" i="97" s="1"/>
  <c r="G868" i="1"/>
  <c r="G91" i="97" s="1"/>
  <c r="F868" i="1"/>
  <c r="F91" i="97" s="1"/>
  <c r="G867" i="1"/>
  <c r="G90" i="97" s="1"/>
  <c r="F867" i="1"/>
  <c r="F90" i="97" s="1"/>
  <c r="G866" i="1"/>
  <c r="F866" i="1"/>
  <c r="G865" i="1"/>
  <c r="G89" i="97" s="1"/>
  <c r="G864" i="1"/>
  <c r="G88" i="97" s="1"/>
  <c r="F864" i="1"/>
  <c r="F8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219" i="97" s="1"/>
  <c r="F1121" i="1"/>
  <c r="F219" i="97" s="1"/>
  <c r="G1120" i="1"/>
  <c r="G116" i="97" s="1"/>
  <c r="F1120" i="1"/>
  <c r="F116" i="97" s="1"/>
  <c r="G1119" i="1"/>
  <c r="G115" i="97" s="1"/>
  <c r="F1119" i="1"/>
  <c r="F115" i="97" s="1"/>
  <c r="G1117" i="1"/>
  <c r="G113" i="97" s="1"/>
  <c r="F1117" i="1"/>
  <c r="F113" i="97" s="1"/>
  <c r="G1116" i="1"/>
  <c r="F1116" i="1"/>
  <c r="G1115" i="1"/>
  <c r="G112" i="97" s="1"/>
  <c r="F1115" i="1"/>
  <c r="F112"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215" i="97" s="1"/>
  <c r="F775" i="1"/>
  <c r="F215" i="97" s="1"/>
  <c r="E775" i="1"/>
  <c r="E215" i="97" s="1"/>
  <c r="G774" i="1"/>
  <c r="F774" i="1"/>
  <c r="G773" i="1"/>
  <c r="G22" i="97" s="1"/>
  <c r="F773" i="1"/>
  <c r="F22"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214" i="97" s="1"/>
  <c r="F672" i="1"/>
  <c r="F214" i="97" s="1"/>
  <c r="E672" i="1"/>
  <c r="E214" i="97" s="1"/>
  <c r="G671" i="1"/>
  <c r="G213" i="97" s="1"/>
  <c r="F671" i="1"/>
  <c r="F213" i="97" s="1"/>
  <c r="E671" i="1"/>
  <c r="E213" i="97" s="1"/>
  <c r="G670" i="1"/>
  <c r="F670" i="1"/>
  <c r="G669" i="1"/>
  <c r="F669" i="1"/>
  <c r="G668" i="1"/>
  <c r="F668" i="1"/>
  <c r="G665" i="1"/>
  <c r="G85" i="97" s="1"/>
  <c r="F665" i="1"/>
  <c r="F85" i="97" s="1"/>
  <c r="G664" i="1"/>
  <c r="G21" i="97" s="1"/>
  <c r="F664" i="1"/>
  <c r="F21" i="97" s="1"/>
  <c r="G650" i="1"/>
  <c r="F650" i="1"/>
  <c r="E650" i="1"/>
  <c r="G649" i="1"/>
  <c r="F649" i="1"/>
  <c r="E649" i="1"/>
  <c r="G648" i="1"/>
  <c r="G212" i="97" s="1"/>
  <c r="F648" i="1"/>
  <c r="F212" i="97" s="1"/>
  <c r="E648" i="1"/>
  <c r="E212" i="97" s="1"/>
  <c r="G647" i="1"/>
  <c r="G211" i="97" s="1"/>
  <c r="F647" i="1"/>
  <c r="F211" i="97" s="1"/>
  <c r="E647" i="1"/>
  <c r="E211" i="97" s="1"/>
  <c r="G646" i="1"/>
  <c r="G84" i="97" s="1"/>
  <c r="F646" i="1"/>
  <c r="F84" i="97" s="1"/>
  <c r="G644" i="1"/>
  <c r="F644" i="1"/>
  <c r="G643" i="1"/>
  <c r="G83" i="97" s="1"/>
  <c r="F643" i="1"/>
  <c r="F83" i="97" s="1"/>
  <c r="G642" i="1"/>
  <c r="G82" i="97" s="1"/>
  <c r="F642" i="1"/>
  <c r="F82" i="97" s="1"/>
  <c r="G641" i="1"/>
  <c r="G20" i="97" s="1"/>
  <c r="F641" i="1"/>
  <c r="F20"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210" i="97" s="1"/>
  <c r="F375" i="1"/>
  <c r="F210" i="97" s="1"/>
  <c r="E375" i="1"/>
  <c r="E210" i="97" s="1"/>
  <c r="G374" i="1"/>
  <c r="F374" i="1"/>
  <c r="E374" i="1"/>
  <c r="G373" i="1"/>
  <c r="F373" i="1"/>
  <c r="E373" i="1"/>
  <c r="G372" i="1"/>
  <c r="F372" i="1"/>
  <c r="E372" i="1"/>
  <c r="G371" i="1"/>
  <c r="F371" i="1"/>
  <c r="E371" i="1"/>
  <c r="G370" i="1"/>
  <c r="G209" i="97" s="1"/>
  <c r="E370" i="1"/>
  <c r="E209" i="97" s="1"/>
  <c r="G368" i="1"/>
  <c r="G81" i="97" s="1"/>
  <c r="F368" i="1"/>
  <c r="F81" i="97" s="1"/>
  <c r="E368" i="1"/>
  <c r="E81" i="97" s="1"/>
  <c r="G367" i="1"/>
  <c r="G80" i="97" s="1"/>
  <c r="F367" i="1"/>
  <c r="F80" i="97" s="1"/>
  <c r="E367" i="1"/>
  <c r="E80" i="97" s="1"/>
  <c r="G366" i="1"/>
  <c r="F366" i="1"/>
  <c r="E366" i="1"/>
  <c r="G369" i="1"/>
  <c r="G208" i="97" s="1"/>
  <c r="F369" i="1"/>
  <c r="F208" i="97" s="1"/>
  <c r="E369" i="1"/>
  <c r="E208" i="97" s="1"/>
  <c r="G364" i="1"/>
  <c r="E364" i="1"/>
  <c r="G362" i="1"/>
  <c r="E362" i="1"/>
  <c r="G359" i="1"/>
  <c r="G153" i="97" s="1"/>
  <c r="F359" i="1"/>
  <c r="F153" i="97" s="1"/>
  <c r="E359" i="1"/>
  <c r="E153" i="97" s="1"/>
  <c r="G358" i="1"/>
  <c r="G152" i="97" s="1"/>
  <c r="F358" i="1"/>
  <c r="F152" i="97" s="1"/>
  <c r="E358" i="1"/>
  <c r="E152" i="97" s="1"/>
  <c r="G357" i="1"/>
  <c r="G151" i="97" s="1"/>
  <c r="F357" i="1"/>
  <c r="F151" i="97" s="1"/>
  <c r="E357" i="1"/>
  <c r="E151"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212" i="97" s="1"/>
  <c r="D672" i="1"/>
  <c r="D214"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22" i="97" s="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E5" i="97" s="1"/>
  <c r="G2334" i="1"/>
  <c r="F2334" i="1"/>
  <c r="E2334" i="1"/>
  <c r="E4" i="97" s="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F5" i="97" l="1"/>
  <c r="D50" i="130"/>
  <c r="G5" i="97"/>
  <c r="E50" i="130"/>
  <c r="F18" i="97"/>
  <c r="D51" i="130"/>
  <c r="F7" i="97"/>
  <c r="D52" i="130"/>
  <c r="G18" i="97"/>
  <c r="E51" i="130"/>
  <c r="G7" i="97"/>
  <c r="E52" i="130"/>
  <c r="F4" i="97"/>
  <c r="D49" i="130"/>
  <c r="G4" i="97"/>
  <c r="E49" i="130"/>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I122" i="97" s="1"/>
  <c r="K122" i="97" s="1"/>
  <c r="C1775" i="1"/>
  <c r="I686" i="1"/>
  <c r="M620" i="1"/>
  <c r="I1046" i="1"/>
  <c r="E230" i="42"/>
  <c r="G230" i="42" s="1"/>
  <c r="H1780" i="1"/>
  <c r="H15" i="97" s="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G47" i="130" s="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D17" i="97" s="1"/>
  <c r="P1959" i="1"/>
  <c r="P1989" i="1"/>
  <c r="P1952" i="1"/>
  <c r="P1990" i="1"/>
  <c r="P1957" i="1"/>
  <c r="P2000" i="1"/>
  <c r="K1930" i="1"/>
  <c r="K2004" i="1"/>
  <c r="H2004" i="1" s="1"/>
  <c r="K1915" i="1"/>
  <c r="K1993" i="1"/>
  <c r="H1993" i="1" s="1"/>
  <c r="K1973" i="1"/>
  <c r="H1973" i="1" s="1"/>
  <c r="T2351" i="1"/>
  <c r="K1923" i="1"/>
  <c r="K1967" i="1"/>
  <c r="H1967" i="1" s="1"/>
  <c r="K77"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78"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D213" i="97" s="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G30" i="130"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1"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G50" i="130" s="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0" i="130" s="1"/>
  <c r="I40"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74"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I176" i="97" l="1"/>
  <c r="G46" i="130"/>
  <c r="I173" i="97"/>
  <c r="G43" i="130"/>
  <c r="H7" i="97"/>
  <c r="F52" i="130"/>
  <c r="I52" i="130" s="1"/>
  <c r="I171" i="97"/>
  <c r="K171" i="97" s="1"/>
  <c r="G41" i="130"/>
  <c r="H5" i="97"/>
  <c r="F50" i="130"/>
  <c r="I50" i="130" s="1"/>
  <c r="H18" i="97"/>
  <c r="F51" i="130"/>
  <c r="I51" i="130" s="1"/>
  <c r="I164" i="97"/>
  <c r="G32" i="130"/>
  <c r="I168" i="97"/>
  <c r="G37" i="130"/>
  <c r="I220" i="97"/>
  <c r="G40" i="130"/>
  <c r="I165" i="97"/>
  <c r="G34" i="130"/>
  <c r="I170" i="97"/>
  <c r="G39" i="130"/>
  <c r="I172" i="97"/>
  <c r="G42" i="130"/>
  <c r="I169" i="97"/>
  <c r="G38" i="130"/>
  <c r="I166" i="97"/>
  <c r="G35" i="130"/>
  <c r="H174" i="97"/>
  <c r="F44" i="130"/>
  <c r="I44" i="130" s="1"/>
  <c r="I160" i="97"/>
  <c r="G28" i="130"/>
  <c r="I175" i="97"/>
  <c r="G45" i="130"/>
  <c r="I161" i="97"/>
  <c r="G29" i="130"/>
  <c r="I167" i="97"/>
  <c r="G36" i="130"/>
  <c r="I216" i="97"/>
  <c r="G33" i="130"/>
  <c r="B261" i="42"/>
  <c r="I5" i="97"/>
  <c r="K18" i="113"/>
  <c r="D18" i="113" s="1"/>
  <c r="I163" i="97"/>
  <c r="K9" i="113"/>
  <c r="I162" i="97"/>
  <c r="H220" i="97"/>
  <c r="C2333" i="1"/>
  <c r="C150" i="97" s="1"/>
  <c r="I150" i="97"/>
  <c r="K150" i="97" s="1"/>
  <c r="K7" i="114"/>
  <c r="I221" i="97"/>
  <c r="K221" i="97" s="1"/>
  <c r="H2348" i="1"/>
  <c r="P2348" i="1" s="1"/>
  <c r="C2348" i="1" s="1"/>
  <c r="H2332" i="1"/>
  <c r="P2332" i="1" s="1"/>
  <c r="C2332" i="1" s="1"/>
  <c r="P2334" i="1"/>
  <c r="G49" i="130" s="1"/>
  <c r="H2334" i="1"/>
  <c r="H2330" i="1"/>
  <c r="P2330" i="1" s="1"/>
  <c r="C2330" i="1" s="1"/>
  <c r="H2331" i="1"/>
  <c r="K159" i="97"/>
  <c r="L868" i="1"/>
  <c r="L867" i="1"/>
  <c r="L866" i="1"/>
  <c r="L869" i="1"/>
  <c r="P866" i="1"/>
  <c r="P868" i="1"/>
  <c r="I91" i="97" s="1"/>
  <c r="P867" i="1"/>
  <c r="I90" i="97" s="1"/>
  <c r="P869" i="1"/>
  <c r="I92" i="97" s="1"/>
  <c r="K866" i="1"/>
  <c r="K867" i="1"/>
  <c r="K868" i="1"/>
  <c r="K869" i="1"/>
  <c r="K216" i="97"/>
  <c r="J25" i="111"/>
  <c r="J26" i="111"/>
  <c r="J19" i="111"/>
  <c r="J20" i="111"/>
  <c r="J21" i="111"/>
  <c r="J22" i="111"/>
  <c r="J24" i="111"/>
  <c r="J23" i="111"/>
  <c r="K139" i="97"/>
  <c r="P1807" i="1"/>
  <c r="I119" i="97" s="1"/>
  <c r="K140" i="97"/>
  <c r="K76" i="97"/>
  <c r="P1808" i="1"/>
  <c r="I120" i="97" s="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C174"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I118" i="97" s="1"/>
  <c r="P369" i="1"/>
  <c r="I208" i="97" s="1"/>
  <c r="C1782" i="1"/>
  <c r="P1820" i="1"/>
  <c r="I123" i="97" s="1"/>
  <c r="P784" i="1"/>
  <c r="H1811" i="1"/>
  <c r="H121" i="97" s="1"/>
  <c r="P1780" i="1"/>
  <c r="I15" i="97" s="1"/>
  <c r="K15" i="97" s="1"/>
  <c r="C1812" i="1"/>
  <c r="C122" i="97" s="1"/>
  <c r="P434" i="1"/>
  <c r="P432" i="1"/>
  <c r="P433" i="1"/>
  <c r="Q1969" i="1"/>
  <c r="J1512" i="1"/>
  <c r="B262" i="42"/>
  <c r="P2349" i="1"/>
  <c r="C2349" i="1" s="1"/>
  <c r="P2343" i="1"/>
  <c r="C2343" i="1" s="1"/>
  <c r="P2342" i="1"/>
  <c r="C2342" i="1" s="1"/>
  <c r="P2339" i="1"/>
  <c r="C2339" i="1" s="1"/>
  <c r="P2341" i="1"/>
  <c r="C2341" i="1" s="1"/>
  <c r="P2347" i="1"/>
  <c r="C2347" i="1" s="1"/>
  <c r="P2344" i="1"/>
  <c r="G51"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172" i="97" s="1"/>
  <c r="D2208" i="1"/>
  <c r="P672" i="1"/>
  <c r="I214" i="97" s="1"/>
  <c r="P667" i="1"/>
  <c r="I87" i="97" s="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I85" i="97" s="1"/>
  <c r="P666" i="1"/>
  <c r="I86" i="97" s="1"/>
  <c r="P670" i="1"/>
  <c r="P668" i="1"/>
  <c r="P673" i="1"/>
  <c r="P664" i="1"/>
  <c r="I21" i="97" s="1"/>
  <c r="L672" i="1"/>
  <c r="K672" i="1"/>
  <c r="L671" i="1"/>
  <c r="M671" i="1"/>
  <c r="P671" i="1"/>
  <c r="I213" i="97" s="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I102" i="97" s="1"/>
  <c r="P968" i="1"/>
  <c r="I107" i="97" s="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I215" i="97" s="1"/>
  <c r="P774" i="1"/>
  <c r="P773" i="1"/>
  <c r="I22" i="97" s="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66"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1" i="130" s="1"/>
  <c r="I3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20" i="97" s="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H170" i="97" l="1"/>
  <c r="F39" i="130"/>
  <c r="I39" i="130" s="1"/>
  <c r="I7" i="97"/>
  <c r="K7" i="97" s="1"/>
  <c r="G52" i="130"/>
  <c r="H4" i="97"/>
  <c r="F49" i="130"/>
  <c r="I49" i="130" s="1"/>
  <c r="K220" i="97"/>
  <c r="H175" i="97"/>
  <c r="F45" i="130"/>
  <c r="I45" i="130" s="1"/>
  <c r="H164" i="97"/>
  <c r="F32" i="130"/>
  <c r="I32" i="130" s="1"/>
  <c r="H161" i="97"/>
  <c r="F29" i="130"/>
  <c r="I29" i="130" s="1"/>
  <c r="H167" i="97"/>
  <c r="F36" i="130"/>
  <c r="I36" i="130" s="1"/>
  <c r="H165" i="97"/>
  <c r="K165" i="97" s="1"/>
  <c r="F34" i="130"/>
  <c r="I34" i="130" s="1"/>
  <c r="H176" i="97"/>
  <c r="F46" i="130"/>
  <c r="I46" i="130" s="1"/>
  <c r="H166" i="97"/>
  <c r="F35" i="130"/>
  <c r="I35" i="130" s="1"/>
  <c r="H172" i="97"/>
  <c r="F42" i="130"/>
  <c r="I42" i="130" s="1"/>
  <c r="H169" i="97"/>
  <c r="F38" i="130"/>
  <c r="I38" i="130" s="1"/>
  <c r="K5" i="97"/>
  <c r="H160" i="97"/>
  <c r="F28" i="130"/>
  <c r="I28" i="130" s="1"/>
  <c r="H162" i="97"/>
  <c r="F30" i="130"/>
  <c r="I30" i="130" s="1"/>
  <c r="H173" i="97"/>
  <c r="F43" i="130"/>
  <c r="I43" i="130" s="1"/>
  <c r="J18" i="113"/>
  <c r="H163" i="97"/>
  <c r="K163" i="97" s="1"/>
  <c r="C2334" i="1"/>
  <c r="C4" i="97" s="1"/>
  <c r="I4" i="97"/>
  <c r="K4" i="97" s="1"/>
  <c r="I18" i="97"/>
  <c r="K18" i="97" s="1"/>
  <c r="P2331" i="1"/>
  <c r="H149" i="97"/>
  <c r="K2328" i="1"/>
  <c r="H2328" i="1" s="1"/>
  <c r="K24" i="97"/>
  <c r="K19" i="113"/>
  <c r="G19" i="113" s="1"/>
  <c r="K22" i="113"/>
  <c r="G22" i="113" s="1"/>
  <c r="K21" i="113"/>
  <c r="G21" i="113" s="1"/>
  <c r="J9" i="113"/>
  <c r="K20" i="113"/>
  <c r="G20" i="113" s="1"/>
  <c r="K1862" i="1"/>
  <c r="D1862" i="1" s="1"/>
  <c r="D221" i="97" s="1"/>
  <c r="C2344" i="1"/>
  <c r="C18" i="97" s="1"/>
  <c r="K129" i="97"/>
  <c r="A2383" i="23"/>
  <c r="I2384" i="23"/>
  <c r="K127" i="97" s="1"/>
  <c r="J1539" i="1"/>
  <c r="H866" i="1"/>
  <c r="H867" i="1"/>
  <c r="H90" i="97" s="1"/>
  <c r="K90" i="97" s="1"/>
  <c r="H868" i="1"/>
  <c r="H91" i="97" s="1"/>
  <c r="H869" i="1"/>
  <c r="H92" i="97" s="1"/>
  <c r="E177" i="31"/>
  <c r="G177" i="31" s="1"/>
  <c r="D2242" i="1"/>
  <c r="K126" i="97"/>
  <c r="K28" i="97"/>
  <c r="K162" i="97"/>
  <c r="K65"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C15" i="97" s="1"/>
  <c r="R982" i="1"/>
  <c r="H667" i="1"/>
  <c r="H87" i="97" s="1"/>
  <c r="K87" i="97" s="1"/>
  <c r="Q783" i="1"/>
  <c r="C2345" i="1"/>
  <c r="P1811" i="1"/>
  <c r="I121" i="97" s="1"/>
  <c r="K121" i="97" s="1"/>
  <c r="R1107" i="1"/>
  <c r="R1110" i="1" s="1"/>
  <c r="H369" i="1"/>
  <c r="H208" i="97" s="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85" i="97" s="1"/>
  <c r="K85" i="97" s="1"/>
  <c r="H666" i="1"/>
  <c r="H86" i="97" s="1"/>
  <c r="K86" i="97" s="1"/>
  <c r="H670" i="1"/>
  <c r="H668" i="1"/>
  <c r="H673" i="1"/>
  <c r="H664" i="1"/>
  <c r="H21" i="97" s="1"/>
  <c r="K21" i="97" s="1"/>
  <c r="H672" i="1"/>
  <c r="H214" i="97" s="1"/>
  <c r="K214" i="97" s="1"/>
  <c r="H671" i="1"/>
  <c r="H213" i="97" s="1"/>
  <c r="K213" i="97" s="1"/>
  <c r="R431" i="1"/>
  <c r="K965" i="1"/>
  <c r="K967" i="1"/>
  <c r="K968" i="1"/>
  <c r="K964" i="1"/>
  <c r="K966" i="1"/>
  <c r="H962" i="1"/>
  <c r="K1807" i="1"/>
  <c r="H1820" i="1"/>
  <c r="H123" i="97" s="1"/>
  <c r="H1819" i="1"/>
  <c r="H10"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5" i="97" s="1"/>
  <c r="I2585" i="23"/>
  <c r="A2585" i="23" s="1"/>
  <c r="I2586" i="23"/>
  <c r="I2587" i="23"/>
  <c r="I2588" i="23"/>
  <c r="A2588" i="23" s="1"/>
  <c r="I2589" i="23"/>
  <c r="I2590" i="23"/>
  <c r="I2591" i="23"/>
  <c r="K58"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4"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64"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75" i="97" s="1"/>
  <c r="I2465" i="23"/>
  <c r="K68"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19" i="97" s="1"/>
  <c r="H1808" i="1"/>
  <c r="H120" i="97" s="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215"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C7"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114"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102" i="97" s="1"/>
  <c r="H956" i="1"/>
  <c r="H101" i="97" s="1"/>
  <c r="H954" i="1"/>
  <c r="H100"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75" i="97" s="1"/>
  <c r="C1806" i="1"/>
  <c r="C173" i="97" s="1"/>
  <c r="D1838" i="1"/>
  <c r="D176" i="97" s="1"/>
  <c r="C2335"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17" i="97" s="1"/>
  <c r="H1795" i="1"/>
  <c r="H118" i="97" s="1"/>
  <c r="H864" i="1"/>
  <c r="H88" i="97" s="1"/>
  <c r="H865" i="1"/>
  <c r="H89"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09" i="97" s="1"/>
  <c r="H1113" i="1"/>
  <c r="H218" i="97" s="1"/>
  <c r="H1110" i="1"/>
  <c r="H1111" i="1"/>
  <c r="H110" i="97" s="1"/>
  <c r="H1108" i="1"/>
  <c r="H108" i="97" s="1"/>
  <c r="H1112" i="1"/>
  <c r="H111" i="97" s="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1" i="97" s="1"/>
  <c r="H1843" i="1"/>
  <c r="H125" i="97" s="1"/>
  <c r="H1840" i="1"/>
  <c r="H124" i="97" s="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22" i="97" s="1"/>
  <c r="H359" i="1"/>
  <c r="H153" i="97" s="1"/>
  <c r="H357" i="1"/>
  <c r="H151" i="97" s="1"/>
  <c r="H358" i="1"/>
  <c r="H152" i="97" s="1"/>
  <c r="H375" i="1"/>
  <c r="H210" i="97" s="1"/>
  <c r="H388" i="1"/>
  <c r="C388" i="1" s="1"/>
  <c r="H384" i="1"/>
  <c r="C384" i="1" s="1"/>
  <c r="H387" i="1"/>
  <c r="C387" i="1" s="1"/>
  <c r="G8" i="107"/>
  <c r="G18" i="107" s="1"/>
  <c r="H393" i="1"/>
  <c r="C393" i="1" s="1"/>
  <c r="H370" i="1"/>
  <c r="H209" i="97" s="1"/>
  <c r="H381" i="1"/>
  <c r="C381" i="1" s="1"/>
  <c r="H368" i="1"/>
  <c r="H81" i="97" s="1"/>
  <c r="H385" i="1"/>
  <c r="C385" i="1" s="1"/>
  <c r="H389" i="1"/>
  <c r="C389" i="1" s="1"/>
  <c r="H377" i="1"/>
  <c r="C377" i="1" s="1"/>
  <c r="H380" i="1"/>
  <c r="C380" i="1" s="1"/>
  <c r="H390" i="1"/>
  <c r="C390" i="1" s="1"/>
  <c r="H395" i="1"/>
  <c r="C395" i="1" s="1"/>
  <c r="H379" i="1"/>
  <c r="C379" i="1" s="1"/>
  <c r="H392" i="1"/>
  <c r="C392" i="1" s="1"/>
  <c r="H378" i="1"/>
  <c r="C378" i="1" s="1"/>
  <c r="H367" i="1"/>
  <c r="H8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07" i="97" s="1"/>
  <c r="H245" i="1"/>
  <c r="H206" i="97" s="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9"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20" i="97" s="1"/>
  <c r="H643" i="1"/>
  <c r="H83" i="97" s="1"/>
  <c r="H649" i="1"/>
  <c r="H646" i="1"/>
  <c r="H84" i="97" s="1"/>
  <c r="H642" i="1"/>
  <c r="H82" i="97" s="1"/>
  <c r="H651" i="1"/>
  <c r="C651" i="1" s="1"/>
  <c r="H647" i="1"/>
  <c r="H211" i="97" s="1"/>
  <c r="H650" i="1"/>
  <c r="H644" i="1"/>
  <c r="C644" i="1" s="1"/>
  <c r="H648" i="1"/>
  <c r="H212"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95" i="97" s="1"/>
  <c r="H876" i="1"/>
  <c r="H94" i="97" s="1"/>
  <c r="H879" i="1"/>
  <c r="H97" i="97" s="1"/>
  <c r="H881" i="1"/>
  <c r="H217" i="97" s="1"/>
  <c r="H875" i="1"/>
  <c r="H93" i="97" s="1"/>
  <c r="H880" i="1"/>
  <c r="H98" i="97" s="1"/>
  <c r="H878" i="1"/>
  <c r="H96" i="97" s="1"/>
  <c r="C1043" i="1"/>
  <c r="H1048" i="1"/>
  <c r="C1048" i="1" s="1"/>
  <c r="H1047" i="1"/>
  <c r="C1047" i="1" s="1"/>
  <c r="H1044" i="1"/>
  <c r="C1044" i="1" s="1"/>
  <c r="H1045" i="1"/>
  <c r="C1045" i="1" s="1"/>
  <c r="H1046" i="1"/>
  <c r="C1046" i="1" s="1"/>
  <c r="P2063" i="1"/>
  <c r="C2063" i="1" s="1"/>
  <c r="L2063" i="1"/>
  <c r="H1120" i="1"/>
  <c r="H116" i="97" s="1"/>
  <c r="H1117" i="1"/>
  <c r="H113" i="97" s="1"/>
  <c r="H1115" i="1"/>
  <c r="H112" i="97" s="1"/>
  <c r="H1121" i="1"/>
  <c r="H219" i="97" s="1"/>
  <c r="H1119" i="1"/>
  <c r="H115"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C163"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177" i="97" l="1"/>
  <c r="K177" i="97" s="1"/>
  <c r="F48" i="130"/>
  <c r="I48" i="130" s="1"/>
  <c r="H168" i="97"/>
  <c r="K168" i="97" s="1"/>
  <c r="F37" i="130"/>
  <c r="I37" i="130" s="1"/>
  <c r="C2331" i="1"/>
  <c r="C149" i="97" s="1"/>
  <c r="I149" i="97"/>
  <c r="K149" i="97" s="1"/>
  <c r="K123" i="97"/>
  <c r="C2328" i="1"/>
  <c r="C177" i="97" s="1"/>
  <c r="K91" i="97"/>
  <c r="K8" i="97"/>
  <c r="K187" i="97"/>
  <c r="K30" i="97"/>
  <c r="J15" i="113"/>
  <c r="D15" i="113" s="1"/>
  <c r="J12" i="113"/>
  <c r="D12" i="113" s="1"/>
  <c r="J20" i="113"/>
  <c r="D20" i="113" s="1"/>
  <c r="J10" i="113"/>
  <c r="J14" i="113"/>
  <c r="D14" i="113" s="1"/>
  <c r="J19" i="113"/>
  <c r="D19" i="113" s="1"/>
  <c r="J22" i="113"/>
  <c r="D22" i="113" s="1"/>
  <c r="J11" i="113"/>
  <c r="J13" i="113"/>
  <c r="G18" i="113"/>
  <c r="G33" i="113" s="1"/>
  <c r="J21" i="113"/>
  <c r="D21" i="113" s="1"/>
  <c r="K57" i="97"/>
  <c r="K186" i="97"/>
  <c r="K157" i="97"/>
  <c r="K67" i="97"/>
  <c r="K170" i="97"/>
  <c r="K53" i="97"/>
  <c r="K55"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I125" i="97"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87" i="97" s="1"/>
  <c r="C1811" i="1"/>
  <c r="C121" i="97" s="1"/>
  <c r="Q962" i="1"/>
  <c r="Q968" i="1" s="1"/>
  <c r="C1798" i="1"/>
  <c r="C666" i="1"/>
  <c r="C86" i="97" s="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103" i="97" s="1"/>
  <c r="H964" i="1"/>
  <c r="H104" i="97" s="1"/>
  <c r="H967" i="1"/>
  <c r="H106" i="97" s="1"/>
  <c r="H966" i="1"/>
  <c r="H105" i="97" s="1"/>
  <c r="Q1819" i="1"/>
  <c r="H920" i="1"/>
  <c r="C920" i="1" s="1"/>
  <c r="K797" i="1"/>
  <c r="C797" i="1" s="1"/>
  <c r="C216"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9"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D171"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I84" i="97" s="1"/>
  <c r="K84" i="97" s="1"/>
  <c r="P649" i="1"/>
  <c r="P648" i="1"/>
  <c r="I212" i="97" s="1"/>
  <c r="K212" i="97" s="1"/>
  <c r="P647" i="1"/>
  <c r="I211" i="97" s="1"/>
  <c r="K211" i="97" s="1"/>
  <c r="C236" i="115"/>
  <c r="D238" i="115"/>
  <c r="C238" i="115"/>
  <c r="P1118" i="1"/>
  <c r="I114"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C168" i="97" s="1"/>
  <c r="P966" i="1"/>
  <c r="I105" i="97" s="1"/>
  <c r="P964" i="1"/>
  <c r="I104" i="97" s="1"/>
  <c r="P967" i="1"/>
  <c r="I106" i="97" s="1"/>
  <c r="P963" i="1"/>
  <c r="I103" i="97" s="1"/>
  <c r="C952" i="1"/>
  <c r="C167" i="97" s="1"/>
  <c r="P954" i="1"/>
  <c r="I100" i="97" s="1"/>
  <c r="K100" i="97" s="1"/>
  <c r="P953" i="1"/>
  <c r="I99" i="97" s="1"/>
  <c r="K99" i="97" s="1"/>
  <c r="P956" i="1"/>
  <c r="I101" i="97" s="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221"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123" i="97" s="1"/>
  <c r="C800" i="1"/>
  <c r="D237" i="115"/>
  <c r="C1823" i="1"/>
  <c r="C1822" i="1"/>
  <c r="C1824" i="1"/>
  <c r="H1994" i="1"/>
  <c r="C241" i="115"/>
  <c r="C1819" i="1"/>
  <c r="C10" i="97" s="1"/>
  <c r="C803" i="1"/>
  <c r="C799" i="1"/>
  <c r="C802" i="1"/>
  <c r="C801" i="1"/>
  <c r="C1808" i="1"/>
  <c r="C120" i="97" s="1"/>
  <c r="D43" i="115"/>
  <c r="C804" i="1"/>
  <c r="C1807" i="1"/>
  <c r="C119"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C172" i="97" s="1"/>
  <c r="P1794" i="1"/>
  <c r="I117" i="97" s="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C169" i="97" s="1"/>
  <c r="P1111" i="1"/>
  <c r="P1110" i="1"/>
  <c r="P1112" i="1"/>
  <c r="P1113" i="1"/>
  <c r="I218" i="97" s="1"/>
  <c r="K218" i="97" s="1"/>
  <c r="H2061" i="1"/>
  <c r="E119" i="33"/>
  <c r="G119" i="33" s="1"/>
  <c r="I323" i="23"/>
  <c r="A323" i="23" s="1"/>
  <c r="P880" i="1"/>
  <c r="I98" i="97" s="1"/>
  <c r="K98" i="97" s="1"/>
  <c r="P876" i="1"/>
  <c r="I94" i="97" s="1"/>
  <c r="P878" i="1"/>
  <c r="I96" i="97" s="1"/>
  <c r="P879" i="1"/>
  <c r="I97" i="97" s="1"/>
  <c r="K97" i="97" s="1"/>
  <c r="P877" i="1"/>
  <c r="I95" i="97" s="1"/>
  <c r="K95" i="97" s="1"/>
  <c r="C874" i="1"/>
  <c r="C166" i="97" s="1"/>
  <c r="P875" i="1"/>
  <c r="I93" i="97" s="1"/>
  <c r="P881" i="1"/>
  <c r="I217" i="97" s="1"/>
  <c r="K217" i="97" s="1"/>
  <c r="I335" i="23"/>
  <c r="A335" i="23" s="1"/>
  <c r="C244" i="1"/>
  <c r="C160" i="97" s="1"/>
  <c r="P245" i="1"/>
  <c r="I206" i="97" s="1"/>
  <c r="P246" i="1"/>
  <c r="I207" i="97" s="1"/>
  <c r="K207" i="97" s="1"/>
  <c r="C1178" i="1"/>
  <c r="P1180" i="1"/>
  <c r="P1184" i="1"/>
  <c r="P1181" i="1"/>
  <c r="P1179" i="1"/>
  <c r="P1186" i="1"/>
  <c r="P1185" i="1"/>
  <c r="P1017" i="1"/>
  <c r="C1017" i="1" s="1"/>
  <c r="P1019" i="1"/>
  <c r="C1019" i="1" s="1"/>
  <c r="P1020" i="1"/>
  <c r="C1020" i="1" s="1"/>
  <c r="P1016" i="1"/>
  <c r="C1016" i="1" s="1"/>
  <c r="P1018" i="1"/>
  <c r="C1018" i="1" s="1"/>
  <c r="C1015" i="1"/>
  <c r="P1121" i="1"/>
  <c r="I219" i="97" s="1"/>
  <c r="P1117" i="1"/>
  <c r="I113" i="97" s="1"/>
  <c r="P1119" i="1"/>
  <c r="I115" i="97" s="1"/>
  <c r="P1120" i="1"/>
  <c r="I116" i="97" s="1"/>
  <c r="P1115" i="1"/>
  <c r="I112" i="97" s="1"/>
  <c r="C1114" i="1"/>
  <c r="C170" i="97" s="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I88" i="97" s="1"/>
  <c r="K88" i="97" s="1"/>
  <c r="C863" i="1"/>
  <c r="C165" i="97" s="1"/>
  <c r="C866" i="1"/>
  <c r="P865" i="1"/>
  <c r="I89" i="97" s="1"/>
  <c r="K89" i="97" s="1"/>
  <c r="I326" i="23"/>
  <c r="A326" i="23" s="1"/>
  <c r="H342" i="23"/>
  <c r="H343" i="23"/>
  <c r="I339" i="23"/>
  <c r="A339" i="23" s="1"/>
  <c r="C2034" i="1"/>
  <c r="C1838" i="1"/>
  <c r="C176" i="97" s="1"/>
  <c r="P1840" i="1"/>
  <c r="I124" i="97" s="1"/>
  <c r="K124" i="97" s="1"/>
  <c r="P1839" i="1"/>
  <c r="I11" i="97" s="1"/>
  <c r="K11" i="97" s="1"/>
  <c r="C664" i="1"/>
  <c r="C21" i="97" s="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62" i="97" s="1"/>
  <c r="P643" i="1"/>
  <c r="I83" i="97" s="1"/>
  <c r="K83" i="97" s="1"/>
  <c r="P642" i="1"/>
  <c r="I82" i="97" s="1"/>
  <c r="K82" i="97" s="1"/>
  <c r="P641" i="1"/>
  <c r="I20" i="97" s="1"/>
  <c r="K20" i="97" s="1"/>
  <c r="P606" i="1"/>
  <c r="C606" i="1" s="1"/>
  <c r="P605" i="1"/>
  <c r="C605" i="1" s="1"/>
  <c r="C601" i="1"/>
  <c r="C248" i="1"/>
  <c r="P250" i="1"/>
  <c r="C250" i="1" s="1"/>
  <c r="P252" i="1"/>
  <c r="C252" i="1" s="1"/>
  <c r="P249" i="1"/>
  <c r="C249" i="1" s="1"/>
  <c r="P251" i="1"/>
  <c r="C251" i="1" s="1"/>
  <c r="C356" i="1"/>
  <c r="C161" i="97" s="1"/>
  <c r="P368" i="1"/>
  <c r="I81" i="97" s="1"/>
  <c r="K81" i="97" s="1"/>
  <c r="P358" i="1"/>
  <c r="I152" i="97" s="1"/>
  <c r="K152" i="97" s="1"/>
  <c r="P373" i="1"/>
  <c r="C373" i="1" s="1"/>
  <c r="P367" i="1"/>
  <c r="I80" i="97" s="1"/>
  <c r="P374" i="1"/>
  <c r="C374" i="1" s="1"/>
  <c r="P357" i="1"/>
  <c r="I151" i="97" s="1"/>
  <c r="K151" i="97" s="1"/>
  <c r="P372" i="1"/>
  <c r="C372" i="1" s="1"/>
  <c r="P359" i="1"/>
  <c r="I153" i="97" s="1"/>
  <c r="K153" i="97" s="1"/>
  <c r="P371" i="1"/>
  <c r="C371" i="1" s="1"/>
  <c r="P375" i="1"/>
  <c r="I210" i="97" s="1"/>
  <c r="K210" i="97" s="1"/>
  <c r="P370" i="1"/>
  <c r="I209" i="97" s="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C164" i="97" s="1"/>
  <c r="H2059" i="1"/>
  <c r="E117" i="33"/>
  <c r="G117" i="33" s="1"/>
  <c r="K206" i="97" l="1"/>
  <c r="K104" i="97"/>
  <c r="K93" i="97"/>
  <c r="K94" i="97"/>
  <c r="K190" i="97"/>
  <c r="I111" i="97"/>
  <c r="K48" i="97"/>
  <c r="I110" i="97"/>
  <c r="K219" i="97"/>
  <c r="K96" i="97"/>
  <c r="K112" i="97"/>
  <c r="H107" i="97"/>
  <c r="K107" i="97" s="1"/>
  <c r="K9" i="97"/>
  <c r="I109" i="97"/>
  <c r="K47" i="97"/>
  <c r="I108" i="97"/>
  <c r="K37" i="97"/>
  <c r="K46" i="97"/>
  <c r="K182" i="97"/>
  <c r="K11" i="113"/>
  <c r="K183" i="97"/>
  <c r="K12" i="113"/>
  <c r="G12" i="113" s="1"/>
  <c r="K110" i="97"/>
  <c r="K15" i="113"/>
  <c r="G15" i="113" s="1"/>
  <c r="K109" i="97"/>
  <c r="K14" i="113"/>
  <c r="G14" i="113" s="1"/>
  <c r="K13" i="113"/>
  <c r="K181" i="97"/>
  <c r="K10" i="113"/>
  <c r="K118" i="97"/>
  <c r="K164" i="97"/>
  <c r="K43" i="97"/>
  <c r="K92" i="97"/>
  <c r="K51" i="97"/>
  <c r="K2" i="97"/>
  <c r="K193" i="97"/>
  <c r="K191" i="97"/>
  <c r="K136" i="97"/>
  <c r="K105" i="97"/>
  <c r="K189" i="97"/>
  <c r="K103" i="97"/>
  <c r="K52" i="97"/>
  <c r="K60" i="97"/>
  <c r="K44" i="97"/>
  <c r="K158" i="97"/>
  <c r="K176" i="97"/>
  <c r="K115" i="97"/>
  <c r="K63" i="97"/>
  <c r="K40" i="97"/>
  <c r="K167" i="97"/>
  <c r="K194" i="97"/>
  <c r="K161" i="97"/>
  <c r="K106" i="97"/>
  <c r="K173" i="97"/>
  <c r="K22" i="97"/>
  <c r="K137" i="97"/>
  <c r="K169" i="97"/>
  <c r="K42" i="97"/>
  <c r="K70" i="97"/>
  <c r="K108" i="97"/>
  <c r="K10" i="97"/>
  <c r="K113" i="97"/>
  <c r="K35" i="97"/>
  <c r="K201" i="97"/>
  <c r="K39" i="97"/>
  <c r="K188" i="97"/>
  <c r="K41" i="97"/>
  <c r="K36" i="97"/>
  <c r="K50" i="97"/>
  <c r="K166" i="97"/>
  <c r="K12" i="97"/>
  <c r="K34" i="97"/>
  <c r="K154" i="97"/>
  <c r="K184" i="97"/>
  <c r="K119" i="97"/>
  <c r="K215" i="97"/>
  <c r="K116" i="97"/>
  <c r="K49" i="97"/>
  <c r="K114" i="97"/>
  <c r="K199" i="97"/>
  <c r="K62" i="97"/>
  <c r="K185" i="97"/>
  <c r="K38" i="97"/>
  <c r="K45" i="97"/>
  <c r="K31" i="97"/>
  <c r="K13" i="97"/>
  <c r="K54" i="97"/>
  <c r="K56" i="97"/>
  <c r="K79" i="97"/>
  <c r="K73" i="97"/>
  <c r="K155" i="97"/>
  <c r="C1511" i="1"/>
  <c r="K32" i="97"/>
  <c r="K111" i="97"/>
  <c r="K61" i="97"/>
  <c r="K1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D216"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8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I23" i="97" s="1"/>
  <c r="K23" i="97" s="1"/>
  <c r="C774" i="1"/>
  <c r="C974" i="1"/>
  <c r="C978" i="1"/>
  <c r="C977" i="1"/>
  <c r="C975" i="1"/>
  <c r="C976" i="1"/>
  <c r="C632" i="1"/>
  <c r="G54" i="113"/>
  <c r="C650" i="1"/>
  <c r="G38" i="113"/>
  <c r="C366" i="1"/>
  <c r="C775" i="1"/>
  <c r="C215" i="97" s="1"/>
  <c r="C369" i="1"/>
  <c r="C208" i="97" s="1"/>
  <c r="C878" i="1"/>
  <c r="C96" i="97" s="1"/>
  <c r="C360" i="1"/>
  <c r="C370" i="1"/>
  <c r="C209" i="97" s="1"/>
  <c r="C364" i="1"/>
  <c r="C367" i="1"/>
  <c r="C80" i="97" s="1"/>
  <c r="C368" i="1"/>
  <c r="C81" i="97" s="1"/>
  <c r="C773" i="1"/>
  <c r="C22" i="97" s="1"/>
  <c r="C1118" i="1"/>
  <c r="C114" i="97" s="1"/>
  <c r="C363" i="1"/>
  <c r="C1182" i="1"/>
  <c r="I916" i="23"/>
  <c r="A916" i="23" s="1"/>
  <c r="I885" i="23"/>
  <c r="A885" i="23" s="1"/>
  <c r="C658" i="1"/>
  <c r="C901" i="1"/>
  <c r="C891" i="1"/>
  <c r="C904" i="1"/>
  <c r="C1120" i="1"/>
  <c r="C116" i="97" s="1"/>
  <c r="C893" i="1"/>
  <c r="C889" i="1"/>
  <c r="C1119" i="1"/>
  <c r="C115" i="97" s="1"/>
  <c r="C902" i="1"/>
  <c r="C892" i="1"/>
  <c r="C1115" i="1"/>
  <c r="C112" i="97" s="1"/>
  <c r="C1117" i="1"/>
  <c r="C113" i="97" s="1"/>
  <c r="C903" i="1"/>
  <c r="C899" i="1"/>
  <c r="C888" i="1"/>
  <c r="C900" i="1"/>
  <c r="C1121" i="1"/>
  <c r="C219" i="97" s="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9" i="97" s="1"/>
  <c r="C966" i="1"/>
  <c r="C105" i="97" s="1"/>
  <c r="C957" i="1"/>
  <c r="C102" i="97" s="1"/>
  <c r="C845" i="1"/>
  <c r="C954" i="1"/>
  <c r="C100" i="97" s="1"/>
  <c r="C647" i="1"/>
  <c r="C211" i="97" s="1"/>
  <c r="C843" i="1"/>
  <c r="C877" i="1"/>
  <c r="C95" i="97" s="1"/>
  <c r="C844" i="1"/>
  <c r="C642" i="1"/>
  <c r="C82" i="97" s="1"/>
  <c r="C879" i="1"/>
  <c r="C97" i="97" s="1"/>
  <c r="C963" i="1"/>
  <c r="C103" i="97" s="1"/>
  <c r="C880" i="1"/>
  <c r="C98" i="97" s="1"/>
  <c r="C648" i="1"/>
  <c r="C212" i="97" s="1"/>
  <c r="C839" i="1"/>
  <c r="C840" i="1"/>
  <c r="C967" i="1"/>
  <c r="C106" i="97" s="1"/>
  <c r="C881" i="1"/>
  <c r="C217" i="97" s="1"/>
  <c r="C875" i="1"/>
  <c r="C93" i="97" s="1"/>
  <c r="C876" i="1"/>
  <c r="C94" i="97" s="1"/>
  <c r="C964" i="1"/>
  <c r="C104" i="97" s="1"/>
  <c r="C956" i="1"/>
  <c r="C101" i="97" s="1"/>
  <c r="C968" i="1"/>
  <c r="C107" i="97" s="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11" i="97" s="1"/>
  <c r="C870" i="1"/>
  <c r="C867" i="1"/>
  <c r="C90" i="97" s="1"/>
  <c r="C1840" i="1"/>
  <c r="C124" i="97" s="1"/>
  <c r="C868" i="1"/>
  <c r="C91" i="97" s="1"/>
  <c r="C864" i="1"/>
  <c r="C88" i="97" s="1"/>
  <c r="C1794" i="1"/>
  <c r="C117" i="97" s="1"/>
  <c r="C346" i="1"/>
  <c r="C341" i="1"/>
  <c r="C869" i="1"/>
  <c r="C92" i="97" s="1"/>
  <c r="C1795" i="1"/>
  <c r="C118" i="97" s="1"/>
  <c r="C1843" i="1"/>
  <c r="C125" i="97" s="1"/>
  <c r="C641" i="1"/>
  <c r="C20" i="97" s="1"/>
  <c r="C340" i="1"/>
  <c r="C649" i="1"/>
  <c r="C342" i="1"/>
  <c r="C865" i="1"/>
  <c r="C89" i="97" s="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210" i="97" s="1"/>
  <c r="C359" i="1"/>
  <c r="C153" i="97" s="1"/>
  <c r="C357" i="1"/>
  <c r="C151" i="97" s="1"/>
  <c r="C358" i="1"/>
  <c r="C152" i="97" s="1"/>
  <c r="C1423" i="1"/>
  <c r="C1183" i="1"/>
  <c r="C2106" i="1"/>
  <c r="C365" i="1"/>
  <c r="C1424" i="1"/>
  <c r="C2091" i="1"/>
  <c r="G35" i="113"/>
  <c r="C1179" i="1"/>
  <c r="C2101" i="1"/>
  <c r="B96" i="33"/>
  <c r="C1769" i="1"/>
  <c r="C171" i="97" s="1"/>
  <c r="C1201" i="1"/>
  <c r="C1194" i="1"/>
  <c r="C1198" i="1"/>
  <c r="C2033" i="1"/>
  <c r="C665" i="1"/>
  <c r="C85" i="97" s="1"/>
  <c r="C1110" i="1"/>
  <c r="C1199" i="1"/>
  <c r="C158" i="1"/>
  <c r="C1112" i="1"/>
  <c r="C111" i="97" s="1"/>
  <c r="D104" i="115"/>
  <c r="F33" i="108"/>
  <c r="C1197" i="1"/>
  <c r="G52" i="113"/>
  <c r="C741" i="1"/>
  <c r="H742" i="1"/>
  <c r="C742" i="1" s="1"/>
  <c r="C1433" i="1"/>
  <c r="C631" i="1"/>
  <c r="C1111" i="1"/>
  <c r="C110" i="97" s="1"/>
  <c r="I341" i="23"/>
  <c r="A341" i="23" s="1"/>
  <c r="H347" i="23"/>
  <c r="C1432" i="1"/>
  <c r="C246" i="1"/>
  <c r="C207" i="97" s="1"/>
  <c r="C1431" i="1"/>
  <c r="I14" i="108"/>
  <c r="C630" i="1"/>
  <c r="C245" i="1"/>
  <c r="C206" i="97" s="1"/>
  <c r="C1109" i="1"/>
  <c r="C109" i="97" s="1"/>
  <c r="I343" i="23"/>
  <c r="A343" i="23" s="1"/>
  <c r="D277" i="23"/>
  <c r="P2061" i="1"/>
  <c r="L2061" i="1"/>
  <c r="C1108" i="1"/>
  <c r="C108" i="97" s="1"/>
  <c r="C2058" i="1"/>
  <c r="C1195" i="1"/>
  <c r="P2059" i="1"/>
  <c r="L2059" i="1"/>
  <c r="C1200" i="1"/>
  <c r="G46" i="113"/>
  <c r="C643" i="1"/>
  <c r="C83" i="97" s="1"/>
  <c r="I342" i="23"/>
  <c r="A342" i="23" s="1"/>
  <c r="C1193" i="1"/>
  <c r="C1434" i="1"/>
  <c r="C633" i="1"/>
  <c r="C1938" i="1"/>
  <c r="C1989" i="1"/>
  <c r="C1974" i="1"/>
  <c r="C1920" i="1"/>
  <c r="C1113" i="1"/>
  <c r="C218" i="97" s="1"/>
  <c r="K19" i="97" l="1"/>
  <c r="K180" i="97"/>
  <c r="R1987" i="1"/>
  <c r="K80" i="97"/>
  <c r="A3" i="61"/>
  <c r="A2" i="91"/>
  <c r="Q1987" i="1"/>
  <c r="P1994" i="1"/>
  <c r="K27"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13" i="97" s="1"/>
  <c r="B229" i="42" l="1"/>
  <c r="B224" i="42"/>
  <c r="B226" i="42" s="1"/>
  <c r="A671" i="1"/>
  <c r="D15" i="115"/>
  <c r="D1615" i="23"/>
  <c r="D1621" i="23" s="1"/>
  <c r="C672" i="1"/>
  <c r="C214" i="97" s="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4" i="97" s="1"/>
  <c r="A167" i="97" l="1"/>
  <c r="A65" i="97"/>
  <c r="A104" i="97"/>
  <c r="A199" i="97"/>
  <c r="A226" i="97"/>
  <c r="A126" i="97"/>
  <c r="A38" i="97"/>
  <c r="A9" i="97"/>
  <c r="A52" i="97"/>
  <c r="A160" i="97"/>
  <c r="A106" i="97"/>
  <c r="A114" i="97"/>
  <c r="A100" i="97"/>
  <c r="A89" i="97"/>
  <c r="A90" i="97"/>
  <c r="A158" i="97"/>
  <c r="A187" i="97"/>
  <c r="A16" i="97"/>
  <c r="A17" i="97"/>
  <c r="A128" i="97"/>
  <c r="A196" i="97"/>
  <c r="A173" i="97"/>
  <c r="A235" i="97"/>
  <c r="A54" i="97"/>
  <c r="A138" i="97"/>
  <c r="A68" i="97"/>
  <c r="A234" i="97"/>
  <c r="A252" i="97"/>
  <c r="A20" i="97"/>
  <c r="A124" i="97"/>
  <c r="A217" i="97"/>
  <c r="A168" i="97"/>
  <c r="A46" i="97"/>
  <c r="A120" i="97"/>
  <c r="A108" i="97"/>
  <c r="A247" i="97"/>
  <c r="A98" i="97"/>
  <c r="A268" i="97"/>
  <c r="A225" i="97"/>
  <c r="A257" i="97"/>
  <c r="A79" i="97"/>
  <c r="A78" i="97"/>
  <c r="A221" i="97"/>
  <c r="A194" i="97"/>
  <c r="A30" i="97"/>
  <c r="A204" i="97"/>
  <c r="A186" i="97"/>
  <c r="A164" i="97"/>
  <c r="A7" i="97"/>
  <c r="A49" i="97"/>
  <c r="A218" i="97"/>
  <c r="A150" i="97"/>
  <c r="A63" i="97"/>
  <c r="A44" i="97"/>
  <c r="A267" i="97"/>
  <c r="A215" i="97"/>
  <c r="A45" i="97"/>
  <c r="A26" i="97"/>
  <c r="A109" i="97"/>
  <c r="A74" i="97"/>
  <c r="A190" i="97"/>
  <c r="A64" i="97"/>
  <c r="A43" i="97"/>
  <c r="A195" i="97"/>
  <c r="A210" i="97"/>
  <c r="A259" i="97"/>
  <c r="A163" i="97"/>
  <c r="A213" i="97"/>
  <c r="A233" i="97"/>
  <c r="A32" i="97"/>
  <c r="A93" i="97"/>
  <c r="A238" i="97"/>
  <c r="A53" i="97"/>
  <c r="A147" i="97"/>
  <c r="A122" i="97"/>
  <c r="A14" i="97"/>
  <c r="A58" i="97"/>
  <c r="A6" i="97"/>
  <c r="A84" i="97"/>
  <c r="A12" i="97"/>
  <c r="A206" i="97"/>
  <c r="A56" i="97"/>
  <c r="A80" i="97"/>
  <c r="A157" i="97"/>
  <c r="A61" i="97"/>
  <c r="A248" i="97"/>
  <c r="A31" i="97"/>
  <c r="A99" i="97"/>
  <c r="A202" i="97"/>
  <c r="A250" i="97"/>
  <c r="A198" i="97"/>
  <c r="A243" i="97"/>
  <c r="A205" i="97"/>
  <c r="A113" i="97"/>
  <c r="A86" i="97"/>
  <c r="A219" i="97"/>
  <c r="A119" i="97"/>
  <c r="A34" i="97"/>
  <c r="A42" i="97"/>
  <c r="A35" i="97"/>
  <c r="A70" i="97"/>
  <c r="A212" i="97"/>
  <c r="A127" i="97"/>
  <c r="A211" i="97"/>
  <c r="A118" i="97"/>
  <c r="A184" i="97"/>
  <c r="A229" i="97"/>
  <c r="A51" i="97"/>
  <c r="A228" i="97"/>
  <c r="A75" i="97"/>
  <c r="A11" i="97"/>
  <c r="A139" i="97"/>
  <c r="A15" i="97"/>
  <c r="A117" i="97"/>
  <c r="A87" i="97"/>
  <c r="A91" i="97"/>
  <c r="A269" i="97"/>
  <c r="A178" i="97"/>
  <c r="A175" i="97"/>
  <c r="A111" i="97"/>
  <c r="A193" i="97"/>
  <c r="A220" i="97"/>
  <c r="A115" i="97"/>
  <c r="A254" i="97"/>
  <c r="A3" i="97"/>
  <c r="A260" i="97"/>
  <c r="A262" i="97"/>
  <c r="A224" i="97"/>
  <c r="A165" i="97"/>
  <c r="A40" i="97"/>
  <c r="A263" i="97"/>
  <c r="A10" i="97"/>
  <c r="A134" i="97"/>
  <c r="A137" i="97"/>
  <c r="A266" i="97"/>
  <c r="A245" i="97"/>
  <c r="A4" i="97"/>
  <c r="A131" i="97"/>
  <c r="A2" i="97"/>
  <c r="A166" i="97"/>
  <c r="A96" i="97"/>
  <c r="A71" i="97"/>
  <c r="A81" i="97"/>
  <c r="A169" i="97"/>
  <c r="A112" i="97"/>
  <c r="A27" i="97"/>
  <c r="A97" i="97"/>
  <c r="A216" i="97"/>
  <c r="A33" i="97"/>
  <c r="A156" i="97"/>
  <c r="A207" i="97"/>
  <c r="A265" i="97"/>
  <c r="A110" i="97"/>
  <c r="A48" i="97"/>
  <c r="A28" i="97"/>
  <c r="A176" i="97"/>
  <c r="A18" i="97"/>
  <c r="A50" i="97"/>
  <c r="A251" i="97"/>
  <c r="A142" i="97"/>
  <c r="A8" i="97"/>
  <c r="A105" i="97"/>
  <c r="A172" i="97"/>
  <c r="A141" i="97"/>
  <c r="A82" i="97"/>
  <c r="A135" i="97"/>
  <c r="A192" i="97"/>
  <c r="A264" i="97"/>
  <c r="A72" i="97"/>
  <c r="A253" i="97"/>
  <c r="A129" i="97"/>
  <c r="A47" i="97"/>
  <c r="A258" i="97"/>
  <c r="A153" i="97"/>
  <c r="A201" i="97"/>
  <c r="A132" i="97"/>
  <c r="A151" i="97"/>
  <c r="A77" i="97"/>
  <c r="A103" i="97"/>
  <c r="A159" i="97"/>
  <c r="A246" i="97"/>
  <c r="A230" i="97"/>
  <c r="A144" i="97"/>
  <c r="A133" i="97"/>
  <c r="A256" i="97"/>
  <c r="A101" i="97"/>
  <c r="A107" i="97"/>
  <c r="A22" i="97"/>
  <c r="A76" i="97"/>
  <c r="A116" i="97"/>
  <c r="A95" i="97"/>
  <c r="A88" i="97"/>
  <c r="A69" i="97"/>
  <c r="A239" i="97"/>
  <c r="A249" i="97"/>
  <c r="A140" i="97"/>
  <c r="A170" i="97"/>
  <c r="A174" i="97"/>
  <c r="A23" i="97"/>
  <c r="A94" i="97"/>
  <c r="A29" i="97"/>
  <c r="A232" i="97"/>
  <c r="A223" i="97"/>
  <c r="A123" i="97"/>
  <c r="A209" i="97"/>
  <c r="A25" i="97"/>
  <c r="A240" i="97"/>
  <c r="A13" i="97"/>
  <c r="A41" i="97"/>
  <c r="A19" i="97"/>
  <c r="A21" i="97"/>
  <c r="A5" i="97"/>
  <c r="A146" i="97"/>
  <c r="A203" i="97"/>
  <c r="A60" i="97"/>
  <c r="A36" i="97"/>
  <c r="A177" i="97"/>
  <c r="A255" i="97"/>
  <c r="A237" i="97"/>
  <c r="A152" i="97"/>
  <c r="A241" i="97"/>
  <c r="A130" i="97"/>
  <c r="A67" i="97"/>
  <c r="A261" i="97"/>
  <c r="A171" i="97"/>
  <c r="A155" i="97"/>
  <c r="A85" i="97"/>
  <c r="A227" i="97"/>
  <c r="A145" i="97"/>
  <c r="A183" i="97"/>
  <c r="A73" i="97"/>
  <c r="A189" i="97"/>
  <c r="A148" i="97"/>
  <c r="A236" i="97"/>
  <c r="A154" i="97"/>
  <c r="A62" i="97"/>
  <c r="A66" i="97"/>
  <c r="A200" i="97"/>
  <c r="A179" i="97"/>
  <c r="A214" i="97"/>
  <c r="A244" i="97"/>
  <c r="A180" i="97"/>
  <c r="A55" i="97"/>
  <c r="A182" i="97"/>
  <c r="A92" i="97"/>
  <c r="A208" i="97"/>
  <c r="A191" i="97"/>
  <c r="A185" i="97"/>
  <c r="A59" i="97"/>
  <c r="A136" i="97"/>
  <c r="A188" i="97"/>
  <c r="A242" i="97"/>
  <c r="A149" i="97"/>
  <c r="A83" i="97"/>
  <c r="A143" i="97"/>
  <c r="A37" i="97"/>
  <c r="A162" i="97"/>
  <c r="A181" i="97"/>
  <c r="A161" i="97"/>
  <c r="A197" i="97"/>
  <c r="A57" i="97"/>
  <c r="A222" i="97"/>
  <c r="A39"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F1" i="26" s="1"/>
  <c r="Q11"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H7" i="26" l="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I13" i="26"/>
  <c r="H13" i="26"/>
  <c r="I135" i="26"/>
  <c r="H128" i="26"/>
  <c r="O14" i="26"/>
  <c r="I7" i="26"/>
  <c r="H125" i="26"/>
  <c r="I10" i="26"/>
  <c r="M124" i="26"/>
  <c r="O11" i="26"/>
  <c r="L11" i="26" s="1"/>
  <c r="H5" i="26"/>
  <c r="I11" i="26"/>
  <c r="J131" i="26"/>
  <c r="O5" i="26"/>
  <c r="L5" i="26" s="1"/>
  <c r="L14" i="26"/>
  <c r="H8" i="26"/>
  <c r="I8" i="26" s="1"/>
  <c r="H10" i="26"/>
  <c r="O9" i="26"/>
  <c r="L9" i="26" s="1"/>
  <c r="M135" i="26"/>
  <c r="I9"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O26" i="26"/>
  <c r="M27" i="26"/>
  <c r="I27" i="26"/>
  <c r="J27" i="26"/>
  <c r="K27" i="26"/>
  <c r="O27" i="26"/>
  <c r="H27" i="26"/>
  <c r="K103" i="26"/>
  <c r="H103" i="26"/>
  <c r="M103" i="26"/>
  <c r="J103" i="26"/>
  <c r="I103" i="26"/>
  <c r="I98" i="26"/>
  <c r="H98" i="26"/>
  <c r="K98" i="26"/>
  <c r="M98" i="26"/>
  <c r="J98" i="26"/>
  <c r="H45" i="26"/>
  <c r="O45" i="26"/>
  <c r="J45" i="26"/>
  <c r="K45" i="26"/>
  <c r="M45" i="26"/>
  <c r="I45" i="26"/>
  <c r="L16" i="26"/>
  <c r="I16" i="26"/>
  <c r="O16" i="26"/>
  <c r="M16" i="26"/>
  <c r="H16" i="26"/>
  <c r="M83" i="26"/>
  <c r="H83" i="26"/>
  <c r="I83" i="26"/>
  <c r="J83" i="26"/>
  <c r="O83" i="26"/>
  <c r="K83" i="26"/>
  <c r="I118" i="26"/>
  <c r="H118" i="26"/>
  <c r="K118" i="26"/>
  <c r="M118" i="26"/>
  <c r="J118" i="26"/>
  <c r="O28" i="26"/>
  <c r="H28" i="26"/>
  <c r="I28" i="26"/>
  <c r="J28" i="26"/>
  <c r="K28" i="26"/>
  <c r="M28" i="26"/>
  <c r="M57" i="26"/>
  <c r="K57" i="26"/>
  <c r="O57" i="26"/>
  <c r="H57" i="26"/>
  <c r="J57" i="26"/>
  <c r="I57" i="26"/>
  <c r="I75" i="26"/>
  <c r="H75" i="26"/>
  <c r="K75" i="26"/>
  <c r="J75" i="26"/>
  <c r="M75" i="26"/>
  <c r="O75" i="26"/>
  <c r="O31" i="26"/>
  <c r="I31" i="26"/>
  <c r="H31" i="26"/>
  <c r="M31" i="26"/>
  <c r="J31" i="26"/>
  <c r="K31" i="26"/>
  <c r="I94" i="26"/>
  <c r="M94" i="26"/>
  <c r="H94" i="26"/>
  <c r="J94" i="26"/>
  <c r="K94" i="26"/>
  <c r="H70" i="26"/>
  <c r="I70" i="26"/>
  <c r="J70" i="26"/>
  <c r="K70" i="26"/>
  <c r="M70" i="26"/>
  <c r="O70" i="26"/>
  <c r="H22" i="26"/>
  <c r="I22" i="26"/>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J55" i="26"/>
  <c r="K55" i="26"/>
  <c r="H55" i="26"/>
  <c r="K119" i="26"/>
  <c r="H119" i="26"/>
  <c r="M119" i="26"/>
  <c r="J119" i="26"/>
  <c r="I119" i="26"/>
  <c r="M59" i="26"/>
  <c r="H59" i="26"/>
  <c r="I59" i="26"/>
  <c r="J59" i="26"/>
  <c r="K59" i="26"/>
  <c r="O59" i="26"/>
  <c r="J86" i="26"/>
  <c r="H86" i="26"/>
  <c r="M86" i="26"/>
  <c r="I86" i="26"/>
  <c r="K86" i="26"/>
  <c r="I24" i="26"/>
  <c r="H24" i="26"/>
  <c r="M24" i="26"/>
  <c r="O24" i="26"/>
  <c r="K24" i="26"/>
  <c r="J24" i="26"/>
  <c r="O68" i="26"/>
  <c r="M68" i="26"/>
  <c r="H68" i="26"/>
  <c r="I68" i="26"/>
  <c r="J68" i="26"/>
  <c r="K68" i="26"/>
  <c r="O36" i="26"/>
  <c r="I36" i="26"/>
  <c r="J36" i="26"/>
  <c r="K36" i="26"/>
  <c r="M36" i="26"/>
  <c r="H36" i="26"/>
  <c r="H23" i="26"/>
  <c r="I23" i="26"/>
  <c r="J23" i="26"/>
  <c r="K23" i="26"/>
  <c r="M23" i="26"/>
  <c r="O23" i="26"/>
  <c r="H40" i="26"/>
  <c r="I40" i="26"/>
  <c r="J40" i="26"/>
  <c r="K40" i="26"/>
  <c r="M40" i="26"/>
  <c r="O40" i="26"/>
  <c r="H50" i="26"/>
  <c r="I50" i="26"/>
  <c r="O50" i="26"/>
  <c r="J50" i="26"/>
  <c r="M50" i="26"/>
  <c r="K50" i="26"/>
  <c r="K95" i="26"/>
  <c r="J95" i="26"/>
  <c r="H95" i="26"/>
  <c r="I95" i="26"/>
  <c r="M95" i="26"/>
  <c r="H62" i="26"/>
  <c r="I62" i="26"/>
  <c r="J62" i="26"/>
  <c r="K62" i="26"/>
  <c r="M62" i="26"/>
  <c r="O62" i="26"/>
  <c r="M35" i="26"/>
  <c r="H35" i="26"/>
  <c r="I35" i="26"/>
  <c r="J35" i="26"/>
  <c r="K35" i="26"/>
  <c r="O35" i="26"/>
  <c r="O17" i="26"/>
  <c r="I17" i="26"/>
  <c r="L17" i="26"/>
  <c r="M17" i="26"/>
  <c r="H17" i="26"/>
  <c r="H46" i="26"/>
  <c r="I46" i="26"/>
  <c r="J46" i="26"/>
  <c r="K46" i="26"/>
  <c r="M46" i="26"/>
  <c r="O46" i="26"/>
  <c r="H64" i="26"/>
  <c r="O64" i="26"/>
  <c r="I64" i="26"/>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O37" i="26"/>
  <c r="J37" i="26"/>
  <c r="K37" i="26"/>
  <c r="M37" i="26"/>
  <c r="I37" i="26"/>
  <c r="K91" i="26"/>
  <c r="I91" i="26"/>
  <c r="J91" i="26"/>
  <c r="M91" i="26"/>
  <c r="H91" i="26"/>
  <c r="H53" i="26"/>
  <c r="J53" i="26"/>
  <c r="K53" i="26"/>
  <c r="M53" i="26"/>
  <c r="O53" i="26"/>
  <c r="I53" i="26"/>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J61" i="26"/>
  <c r="K61" i="26"/>
  <c r="M61" i="26"/>
  <c r="O61" i="26"/>
  <c r="I61" i="26"/>
  <c r="M47" i="26"/>
  <c r="H47" i="26"/>
  <c r="O47" i="26"/>
  <c r="I47" i="26"/>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I19" i="26"/>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K33" i="26"/>
  <c r="M33" i="26"/>
  <c r="O33" i="26"/>
  <c r="H33" i="26"/>
  <c r="J33" i="26"/>
  <c r="I108" i="26"/>
  <c r="H108" i="26"/>
  <c r="J108" i="26"/>
  <c r="M108" i="26"/>
  <c r="K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G19" i="78"/>
  <c r="L15" i="78"/>
  <c r="L16" i="78"/>
  <c r="G15" i="78"/>
  <c r="M17" i="78"/>
  <c r="H3" i="26"/>
  <c r="I3" i="26" s="1"/>
  <c r="G8" i="78" s="1"/>
  <c r="F15" i="78"/>
  <c r="G16" i="78"/>
  <c r="F12" i="117" s="1"/>
  <c r="L9" i="78"/>
  <c r="G17" i="78"/>
  <c r="F13" i="117" s="1"/>
  <c r="F19" i="78"/>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5" i="79"/>
  <c r="F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5" i="79"/>
  <c r="E13" i="117"/>
  <c r="F15" i="79"/>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D177" i="97" s="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K37" i="105" s="1"/>
  <c r="G11" i="109"/>
  <c r="G39" i="105"/>
  <c r="G19" i="105"/>
  <c r="G45" i="105"/>
  <c r="K45" i="105" s="1"/>
  <c r="G46" i="105"/>
  <c r="K46" i="105" s="1"/>
  <c r="G60" i="109"/>
  <c r="G20" i="105"/>
  <c r="G7" i="109"/>
  <c r="F6" i="111"/>
  <c r="G22" i="105"/>
  <c r="G22" i="109"/>
  <c r="G23" i="105"/>
  <c r="F4" i="111"/>
  <c r="G53" i="109"/>
  <c r="F9" i="111"/>
  <c r="F16" i="111"/>
  <c r="F23" i="111"/>
  <c r="G36" i="105"/>
  <c r="K36" i="105" s="1"/>
  <c r="G19" i="109"/>
  <c r="G34" i="109"/>
  <c r="F12" i="106"/>
  <c r="J12" i="106" s="1"/>
  <c r="F7" i="106"/>
  <c r="J7" i="106" s="1"/>
  <c r="G13" i="105"/>
  <c r="G63" i="105"/>
  <c r="G27" i="109"/>
  <c r="G29" i="109"/>
  <c r="G44" i="105"/>
  <c r="G58" i="109"/>
  <c r="F17" i="111"/>
  <c r="G59" i="109"/>
  <c r="G4" i="106"/>
  <c r="G60" i="105"/>
  <c r="K60" i="105" s="1"/>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K48" i="105" s="1"/>
  <c r="G56" i="109"/>
  <c r="G6" i="105"/>
  <c r="G21" i="105"/>
  <c r="F8" i="110"/>
  <c r="G74" i="109"/>
  <c r="F12" i="111"/>
  <c r="G49" i="105"/>
  <c r="K49" i="105" s="1"/>
  <c r="G69" i="109"/>
  <c r="F5" i="106"/>
  <c r="G25" i="111"/>
  <c r="I25" i="111" s="1"/>
  <c r="G28" i="105"/>
  <c r="G38" i="105"/>
  <c r="K38" i="105" s="1"/>
  <c r="G54" i="105"/>
  <c r="K54" i="105" s="1"/>
  <c r="G15" i="109"/>
  <c r="G32" i="105"/>
  <c r="K32" i="105" s="1"/>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K58" i="105" s="1"/>
  <c r="G51" i="105"/>
  <c r="G24" i="105"/>
  <c r="K24" i="105" s="1"/>
  <c r="G18" i="109"/>
  <c r="G52" i="109"/>
  <c r="G15" i="105"/>
  <c r="K15" i="105" s="1"/>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K43" i="105" s="1"/>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64" i="105" l="1"/>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<sst xmlns="http://schemas.openxmlformats.org/spreadsheetml/2006/main" count="32378" uniqueCount="7337">
  <si>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</si>
  <si>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</si>
  <si>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</si>
  <si>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</si>
  <si>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</si>
  <si>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</si>
  <si>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</si>
  <si>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</si>
  <si>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</si>
  <si>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</si>
  <si>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</si>
  <si>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</si>
  <si>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</si>
  <si>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</si>
  <si>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</si>
  <si>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</si>
  <si>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</si>
  <si>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</si>
  <si>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</si>
  <si>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</si>
  <si>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</si>
  <si>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</si>
  <si>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</si>
  <si>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</si>
  <si>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</si>
  <si>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</si>
  <si>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</si>
  <si>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</si>
  <si>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</si>
  <si>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</si>
  <si>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</si>
  <si>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</si>
  <si>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</si>
  <si>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</si>
  <si>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</si>
  <si>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</si>
  <si>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</si>
  <si>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</si>
  <si>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</si>
  <si>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</si>
  <si>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</si>
  <si>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</si>
  <si>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</si>
  <si>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</si>
  <si>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</si>
  <si>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</si>
  <si>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</si>
  <si>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</si>
  <si>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</si>
  <si>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</si>
  <si>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</si>
  <si>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</si>
  <si>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</si>
  <si>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</si>
  <si>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</si>
  <si>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</si>
  <si>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</si>
  <si>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</si>
  <si>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</si>
  <si>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</si>
  <si>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</si>
  <si>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</si>
  <si>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</si>
  <si>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</si>
  <si>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</si>
  <si>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</si>
  <si>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</si>
  <si>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</si>
  <si>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</si>
  <si>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</si>
  <si>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</si>
  <si>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</si>
  <si>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</si>
  <si>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</si>
  <si>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</si>
  <si>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</si>
  <si>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</si>
  <si>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</si>
  <si>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</si>
  <si>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</si>
  <si>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</si>
  <si>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</si>
  <si>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</si>
  <si>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</si>
  <si>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</si>
  <si>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</si>
  <si>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</si>
  <si>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</si>
  <si>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</si>
  <si>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</si>
  <si>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</si>
  <si>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</si>
  <si>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</si>
  <si>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</si>
  <si>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</si>
  <si>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</si>
  <si>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</si>
  <si>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</si>
  <si>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</si>
  <si>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</si>
  <si>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</si>
  <si>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</si>
  <si>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</si>
  <si>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</si>
  <si>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</si>
  <si>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</si>
  <si>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</si>
  <si>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</si>
  <si>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</si>
  <si>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</si>
  <si>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</si>
  <si>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</si>
  <si>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</si>
  <si>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</si>
  <si>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</si>
  <si>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</si>
  <si>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</si>
  <si>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</si>
  <si>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</si>
  <si>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</si>
  <si>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</si>
  <si>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</si>
  <si>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</si>
  <si>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</si>
  <si>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</si>
  <si>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</si>
  <si>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</si>
  <si>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</si>
  <si>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</si>
  <si>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</si>
  <si>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</si>
  <si>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</si>
  <si>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</si>
  <si>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</si>
  <si>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</si>
  <si>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</si>
  <si>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</si>
  <si>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</si>
  <si>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</si>
  <si>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</si>
  <si>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</si>
  <si>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</si>
  <si>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</si>
  <si>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</si>
  <si>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</si>
  <si>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</si>
  <si>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</si>
  <si>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</si>
  <si>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</si>
  <si>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</si>
  <si>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</si>
  <si>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</si>
  <si>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</si>
  <si>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</si>
  <si>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</si>
  <si>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</si>
  <si>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</si>
  <si>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</si>
  <si>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</si>
  <si>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</si>
  <si>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</si>
  <si>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</si>
  <si>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</si>
  <si>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</si>
  <si>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</si>
  <si>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</si>
  <si>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</si>
  <si>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</si>
  <si>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</si>
  <si>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</si>
  <si>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</si>
  <si>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</si>
  <si>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</si>
  <si>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</si>
  <si>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</si>
  <si>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</si>
  <si>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</si>
  <si>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</si>
  <si>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</si>
  <si>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</si>
  <si>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</si>
  <si>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</si>
  <si>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</si>
  <si>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</si>
  <si>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</si>
  <si>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</si>
  <si>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</si>
  <si>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</si>
  <si>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</si>
  <si>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</si>
  <si>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</si>
  <si>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</si>
  <si>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</si>
  <si>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</si>
  <si>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</si>
  <si>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</si>
  <si>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</si>
  <si>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</si>
  <si>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</si>
  <si>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</si>
  <si>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</si>
  <si>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</si>
  <si>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</si>
  <si>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</si>
  <si>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</si>
  <si>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</si>
  <si>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</si>
  <si>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</si>
  <si>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</si>
  <si>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</si>
  <si>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</si>
  <si>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</si>
  <si>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</si>
  <si>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</si>
  <si>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</si>
  <si>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</si>
  <si>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</si>
  <si>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</si>
  <si>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</si>
  <si>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</si>
  <si>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</si>
  <si>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</si>
  <si>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</si>
  <si>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</si>
  <si>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</si>
  <si>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</si>
  <si>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</si>
  <si>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</si>
  <si>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</si>
  <si>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</si>
  <si>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</si>
  <si>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</si>
  <si>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</si>
  <si>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</si>
  <si>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</si>
  <si>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</si>
  <si>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</si>
  <si>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</si>
  <si>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</si>
  <si>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</si>
  <si>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</si>
  <si>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</si>
  <si>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</si>
  <si>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</si>
  <si>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</si>
  <si>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</si>
  <si>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</si>
  <si>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</si>
  <si>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</si>
  <si>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</si>
  <si>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</si>
  <si>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</si>
  <si>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</si>
  <si>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</si>
  <si>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</si>
  <si>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</si>
  <si>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</si>
  <si>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</si>
  <si>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</si>
  <si>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</si>
  <si>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</si>
  <si>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</si>
  <si>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</si>
  <si>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</si>
  <si>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</si>
  <si>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</si>
  <si>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</si>
  <si>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</si>
  <si>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</si>
  <si>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</si>
  <si>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</si>
  <si>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</si>
  <si>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</si>
  <si>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</si>
  <si>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</si>
  <si>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</si>
  <si>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</si>
  <si>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</si>
  <si>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</si>
  <si>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</si>
  <si>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</si>
  <si>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</si>
  <si>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</si>
  <si>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</si>
  <si>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</si>
  <si>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</si>
  <si>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</si>
  <si>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</si>
  <si>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</si>
  <si>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</si>
  <si>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</si>
  <si>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</si>
  <si>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</si>
  <si>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</si>
  <si>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</si>
  <si>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</si>
  <si>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</si>
  <si>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</si>
  <si>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</si>
  <si>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</si>
  <si>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</si>
  <si>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</si>
  <si>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</si>
  <si>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</si>
  <si>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</si>
  <si>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</si>
  <si>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</si>
  <si>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</si>
  <si>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</si>
  <si>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</si>
  <si>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</si>
  <si>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</si>
  <si>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</si>
  <si>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</si>
  <si>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</si>
  <si>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</si>
  <si>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</si>
  <si>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</si>
  <si>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</si>
  <si>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</si>
  <si>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</si>
  <si>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</si>
  <si>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</si>
  <si>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</si>
  <si>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</si>
  <si>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</si>
  <si>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</si>
  <si>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</si>
  <si>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</si>
  <si>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</si>
  <si>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</si>
  <si>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</si>
  <si>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</si>
  <si>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</si>
  <si>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</si>
  <si>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</si>
  <si>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</si>
  <si>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</si>
  <si>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</si>
  <si>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</si>
  <si>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</si>
  <si>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</si>
  <si>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</si>
  <si>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</si>
  <si>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</si>
  <si>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</si>
  <si>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</si>
  <si>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</si>
  <si>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</si>
  <si>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</si>
  <si>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</si>
  <si>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</si>
  <si>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</si>
  <si>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</si>
  <si>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</si>
  <si>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</si>
  <si>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</si>
  <si>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</si>
  <si>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</si>
  <si>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</si>
  <si>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</si>
  <si>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</si>
  <si>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</si>
  <si>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</si>
  <si>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</si>
  <si>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</si>
  <si>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</si>
  <si>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</si>
  <si>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</si>
  <si>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</si>
  <si>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</si>
  <si>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</si>
  <si>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</si>
  <si>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</si>
  <si>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</si>
  <si>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</si>
  <si>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</si>
  <si>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</si>
  <si>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</si>
  <si>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</si>
  <si>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</si>
  <si>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</si>
  <si>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</si>
  <si>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</si>
  <si>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</si>
  <si>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</si>
  <si>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</si>
  <si>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</si>
  <si>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</si>
  <si>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</si>
  <si>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</si>
  <si>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</si>
  <si>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</si>
  <si>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</si>
  <si>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</si>
  <si>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</si>
  <si>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</si>
  <si>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</si>
  <si>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</si>
  <si>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</si>
  <si>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</si>
  <si>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</si>
  <si>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</si>
  <si>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</si>
  <si>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</si>
  <si>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</si>
  <si>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</si>
  <si>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</si>
  <si>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</si>
  <si>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</si>
  <si>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</si>
  <si>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</si>
  <si>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</si>
  <si>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</si>
  <si>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</si>
  <si>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</si>
  <si>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</si>
  <si>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</si>
  <si>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</si>
  <si>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</si>
  <si>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</si>
  <si>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</si>
  <si>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</si>
  <si>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</si>
  <si>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</si>
  <si>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</si>
  <si>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</si>
  <si>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</si>
  <si>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</si>
  <si>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</si>
  <si>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</si>
  <si>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</si>
  <si>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</si>
  <si>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</si>
  <si>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</si>
  <si>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</si>
  <si>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</si>
  <si>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</si>
  <si>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</si>
  <si>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</si>
  <si>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</si>
  <si>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</si>
  <si>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</si>
  <si>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</si>
  <si>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</si>
  <si>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</si>
  <si>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</si>
  <si>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</si>
  <si>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</si>
  <si>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</si>
  <si>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</si>
  <si>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</si>
  <si>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</si>
  <si>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</si>
  <si>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</si>
  <si>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</si>
  <si>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</si>
  <si>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</si>
  <si>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</si>
  <si>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</si>
  <si>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</si>
  <si>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</si>
  <si>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</si>
  <si>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</si>
  <si>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</si>
  <si>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</si>
  <si>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</si>
  <si>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</si>
  <si>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</si>
  <si>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</si>
  <si>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</si>
  <si>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</si>
  <si>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</si>
  <si>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</si>
  <si>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</si>
  <si>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</si>
  <si>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</si>
  <si>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</si>
  <si>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</si>
  <si>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</si>
  <si>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</si>
  <si>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</si>
  <si>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</si>
  <si>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</si>
  <si>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</si>
  <si>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</si>
  <si>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</si>
  <si>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</si>
  <si>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</si>
  <si>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</si>
  <si>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</si>
  <si>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</si>
  <si>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</si>
  <si>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</si>
  <si>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</si>
  <si>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</si>
  <si>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</si>
  <si>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</si>
  <si>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</si>
  <si>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</si>
  <si>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</si>
  <si>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</si>
  <si>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</si>
  <si>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</si>
  <si>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</si>
  <si>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</si>
  <si>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</si>
  <si>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</si>
  <si>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</si>
  <si>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</si>
  <si>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</si>
  <si>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</si>
  <si>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</si>
  <si>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</si>
  <si>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</si>
  <si>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</si>
  <si>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</si>
  <si>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</si>
  <si>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</si>
  <si>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</si>
  <si>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</si>
  <si>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</si>
  <si>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</si>
  <si>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</si>
  <si>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</si>
  <si>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</si>
  <si>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</si>
  <si>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</si>
  <si>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</si>
  <si>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</si>
  <si>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</si>
  <si>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</si>
  <si>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</si>
  <si>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</si>
  <si>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</si>
  <si>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</si>
  <si>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</si>
  <si>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</si>
  <si>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</si>
  <si>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</si>
  <si>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</si>
  <si>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</si>
  <si>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</si>
  <si>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</si>
  <si>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</si>
  <si>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</si>
  <si>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</si>
  <si>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</si>
  <si>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</si>
  <si>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</si>
  <si>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</si>
  <si>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</si>
  <si>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</si>
  <si>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</si>
  <si>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</si>
  <si>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</si>
  <si>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</si>
  <si>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</si>
  <si>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</si>
  <si>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</si>
  <si>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</si>
  <si>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</si>
  <si>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</si>
  <si>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</si>
  <si>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</si>
  <si>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</si>
  <si>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</si>
  <si>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</si>
  <si>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</si>
  <si>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</si>
  <si>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</si>
  <si>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</si>
  <si>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</si>
  <si>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</si>
  <si>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</si>
  <si>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</si>
  <si>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</si>
  <si>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</si>
  <si>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</si>
  <si>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</si>
  <si>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</si>
  <si>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</si>
  <si>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</si>
  <si>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</si>
  <si>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</si>
  <si>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</si>
  <si>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</si>
  <si>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</si>
  <si>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</si>
  <si>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</si>
  <si>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</si>
  <si>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</si>
  <si>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</si>
  <si>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</si>
  <si>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</si>
  <si>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</si>
  <si>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</si>
  <si>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</si>
  <si>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</si>
  <si>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</si>
  <si>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</si>
  <si>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</si>
  <si>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</si>
  <si>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</si>
  <si>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</si>
  <si>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</si>
  <si>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</si>
  <si>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</si>
  <si>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</si>
  <si>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</si>
  <si>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</si>
  <si>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</si>
  <si>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</si>
  <si>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</si>
  <si>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</si>
  <si>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</si>
  <si>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</si>
  <si>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</si>
  <si>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</si>
  <si>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</si>
  <si>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</si>
  <si>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</si>
  <si>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</si>
  <si>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</si>
  <si>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</si>
  <si>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</si>
  <si>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</si>
  <si>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</si>
  <si>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</si>
  <si>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</si>
  <si>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</si>
  <si>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</si>
  <si>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</si>
  <si>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</si>
  <si>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</si>
  <si>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</si>
  <si>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</si>
  <si>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</si>
  <si>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</si>
  <si>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</si>
  <si>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</si>
  <si>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</si>
  <si>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</si>
  <si>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</si>
  <si>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</si>
  <si>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</si>
  <si>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</si>
  <si>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</si>
  <si>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</si>
  <si>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</si>
  <si>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</si>
  <si>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</si>
  <si>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</si>
  <si>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</si>
  <si>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</si>
  <si>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</si>
  <si>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</si>
  <si>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</si>
  <si>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</si>
  <si>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</si>
  <si>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</si>
  <si>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</si>
  <si>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</si>
  <si>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</si>
  <si>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</si>
  <si>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</si>
  <si>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</si>
  <si>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</si>
  <si>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</si>
  <si>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</si>
  <si>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</si>
  <si>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</si>
  <si>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</si>
  <si>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</si>
  <si>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</si>
  <si>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</si>
  <si>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</si>
  <si>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</si>
  <si>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</si>
  <si>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</si>
  <si>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</si>
  <si>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</si>
  <si>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</si>
  <si>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</si>
  <si>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</si>
  <si>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</si>
  <si>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</si>
  <si>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</si>
  <si>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</si>
  <si>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</si>
  <si>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</si>
  <si>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</si>
  <si>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</si>
  <si>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</si>
  <si>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</si>
  <si>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</si>
  <si>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</si>
  <si>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</si>
  <si>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</si>
  <si>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</si>
  <si>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</si>
  <si>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</si>
  <si>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</si>
  <si>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</si>
  <si>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</si>
  <si>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</si>
  <si>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</si>
  <si>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</si>
  <si>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</si>
  <si>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</si>
  <si>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</si>
  <si>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</si>
  <si>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</si>
  <si>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</si>
  <si>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</si>
  <si>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</si>
  <si>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</si>
  <si>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</si>
  <si>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</si>
  <si>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</si>
  <si>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</si>
  <si>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</si>
  <si>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</si>
  <si>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</si>
  <si>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</si>
  <si>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</si>
  <si>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</si>
  <si>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</si>
  <si>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</si>
  <si>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</si>
  <si>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</si>
  <si>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</si>
  <si>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</si>
  <si>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</si>
  <si>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</si>
  <si>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</si>
  <si>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</si>
  <si>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</si>
  <si>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</si>
  <si>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</si>
  <si>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</si>
  <si>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</si>
  <si>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</si>
  <si>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</si>
  <si>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</si>
  <si>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</si>
  <si>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</si>
  <si>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</si>
  <si>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</si>
  <si>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</si>
  <si>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</si>
  <si>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</si>
  <si>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</si>
  <si>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</si>
  <si>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</si>
  <si>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</si>
  <si>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</si>
  <si>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</si>
  <si>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</si>
  <si>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</si>
  <si>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</si>
  <si>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</si>
  <si>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</si>
  <si>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</si>
  <si>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</si>
  <si>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</si>
  <si>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</si>
  <si>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</si>
  <si>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</si>
  <si>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</si>
  <si>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</si>
  <si>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</si>
  <si>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</si>
  <si>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</si>
  <si>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</si>
  <si>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</si>
  <si>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</si>
  <si>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</si>
  <si>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</si>
  <si>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</si>
  <si>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</si>
  <si>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</si>
  <si>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</si>
  <si>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</si>
  <si>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</si>
  <si>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</si>
  <si>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</si>
  <si>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</si>
  <si>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</si>
  <si>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</si>
  <si>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</si>
  <si>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</si>
  <si>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</si>
  <si>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</si>
  <si>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</si>
  <si>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</si>
  <si>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</si>
  <si>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</si>
  <si>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</si>
  <si>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</si>
  <si>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</si>
  <si>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</si>
  <si>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</si>
  <si>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</si>
  <si>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</si>
  <si>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</si>
  <si>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</si>
  <si>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</si>
  <si>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</si>
  <si>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</si>
  <si>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</si>
  <si>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</si>
  <si>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</si>
  <si>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</si>
  <si>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</si>
  <si>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</si>
  <si>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</si>
  <si>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</si>
  <si>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</si>
  <si>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</si>
  <si>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</si>
  <si>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</si>
  <si>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</si>
  <si>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</si>
  <si>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</si>
  <si>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</si>
  <si>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</si>
  <si>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</si>
  <si>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</si>
  <si>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</si>
  <si>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</si>
  <si>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</si>
  <si>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</si>
  <si>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</si>
  <si>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</si>
  <si>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</si>
  <si>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</si>
  <si>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</si>
  <si>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</si>
  <si>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</si>
  <si>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</si>
  <si>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</si>
  <si>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</si>
  <si>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</si>
  <si>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</si>
  <si>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</si>
  <si>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</si>
  <si>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</si>
  <si>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</si>
  <si>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</si>
  <si>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</si>
  <si>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</si>
  <si>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</si>
  <si>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</si>
  <si>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</si>
  <si>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</si>
  <si>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</si>
  <si>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</si>
  <si>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</si>
  <si>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</si>
  <si>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</si>
  <si>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</si>
  <si>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</si>
  <si>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</si>
  <si>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</si>
  <si>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</si>
  <si>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</si>
  <si>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</si>
  <si>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</si>
  <si>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</si>
  <si>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</si>
  <si>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</si>
  <si>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</si>
  <si>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</si>
  <si>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</si>
  <si>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</si>
  <si>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</si>
  <si>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</si>
  <si>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</si>
  <si>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</si>
  <si>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</si>
  <si>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</si>
  <si>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</si>
  <si>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</si>
  <si>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</si>
  <si>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</si>
  <si>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</si>
  <si>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</si>
  <si>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</si>
  <si>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</si>
  <si>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</si>
  <si>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</si>
  <si>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</si>
  <si>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</si>
  <si>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</si>
  <si>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</si>
  <si>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</si>
  <si>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</si>
  <si>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</si>
  <si>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</si>
  <si>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</si>
  <si>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</si>
  <si>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</si>
  <si>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</si>
  <si>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</si>
  <si>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</si>
  <si>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</si>
  <si>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</si>
  <si>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</si>
  <si>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</si>
  <si>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</si>
  <si>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</si>
  <si>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</si>
  <si>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</si>
  <si>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</si>
  <si>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</si>
  <si>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</si>
  <si>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</si>
  <si>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</si>
  <si>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</si>
  <si>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</si>
  <si>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</si>
  <si>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</si>
  <si>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</si>
  <si>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</si>
  <si>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</si>
  <si>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</si>
  <si>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</si>
  <si>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</si>
  <si>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</si>
  <si>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</si>
  <si>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</si>
  <si>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</si>
  <si>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</si>
  <si>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</si>
  <si>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</si>
  <si>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</si>
  <si>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</si>
  <si>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</si>
  <si>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</si>
  <si>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</si>
  <si>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</si>
  <si>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</si>
  <si>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</si>
  <si>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</si>
  <si>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</si>
  <si>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</si>
  <si>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</si>
  <si>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</si>
  <si>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</si>
  <si>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</si>
  <si>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</si>
  <si>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</si>
  <si>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</si>
  <si>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</si>
  <si>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</si>
  <si>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</si>
  <si>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</si>
  <si>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</si>
  <si>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</si>
  <si>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</si>
  <si>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</si>
  <si>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</si>
  <si>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</si>
  <si>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</si>
  <si>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</si>
  <si>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</si>
  <si>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</si>
  <si>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</si>
  <si>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</si>
  <si>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</si>
  <si>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</si>
  <si>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</si>
  <si>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</si>
  <si>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</si>
  <si>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</si>
  <si>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</si>
  <si>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</si>
  <si>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</si>
  <si>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</si>
  <si>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</si>
  <si>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</si>
  <si>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</si>
  <si>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</si>
  <si>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</si>
  <si>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</si>
  <si>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</si>
  <si>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</si>
  <si>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</si>
  <si>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</si>
  <si>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</si>
  <si>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</si>
  <si>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</si>
  <si>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</si>
  <si>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</si>
  <si>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</si>
  <si>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</si>
  <si>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</si>
  <si>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</si>
  <si>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</si>
  <si>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</si>
  <si>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</si>
  <si>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</si>
  <si>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</si>
  <si>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</si>
  <si>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</si>
  <si>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</si>
  <si>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</si>
  <si>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</si>
  <si>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</si>
  <si>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</si>
  <si>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</si>
  <si>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</si>
  <si>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</si>
  <si>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</si>
  <si>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</si>
  <si>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</si>
  <si>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</si>
  <si>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</si>
  <si>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</si>
  <si>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</si>
  <si>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</si>
  <si>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</si>
  <si>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</si>
  <si>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</si>
  <si>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</si>
  <si>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</si>
  <si>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</si>
  <si>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</si>
  <si>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</si>
  <si>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</si>
  <si>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</si>
  <si>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</si>
  <si>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</si>
  <si>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</si>
  <si>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</si>
  <si>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</si>
  <si>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</si>
  <si>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</si>
  <si>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</si>
  <si>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</si>
  <si>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</si>
  <si>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</si>
  <si>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</si>
  <si>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</si>
  <si>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</si>
  <si>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</si>
  <si>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</si>
  <si>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</si>
  <si>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</si>
  <si>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</si>
  <si>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</si>
  <si>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</si>
  <si>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</si>
  <si>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</si>
  <si>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</si>
  <si>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</si>
  <si>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</si>
  <si>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</si>
  <si>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</si>
  <si>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</si>
  <si>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</si>
  <si>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</si>
  <si>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</si>
  <si>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</si>
  <si>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</si>
  <si>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</si>
  <si>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</si>
  <si>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</si>
  <si>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</si>
  <si>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</si>
  <si>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</si>
  <si>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</si>
  <si>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</si>
  <si>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</si>
  <si>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</si>
  <si>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</si>
  <si>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</si>
  <si>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</si>
  <si>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</si>
  <si>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</si>
  <si>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</si>
  <si>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</si>
  <si>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</si>
  <si>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</si>
  <si>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</si>
  <si>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</si>
  <si>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</si>
  <si>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</si>
  <si>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</si>
  <si>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</si>
  <si>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</si>
  <si>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</si>
  <si>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</si>
  <si>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</si>
  <si>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</si>
  <si>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</si>
  <si>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</si>
  <si>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</si>
  <si>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</si>
  <si>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</si>
  <si>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</si>
  <si>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</si>
  <si>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</si>
  <si>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</si>
  <si>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</si>
  <si>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</si>
  <si>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</si>
  <si>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</si>
  <si>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</si>
  <si>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</si>
  <si>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</si>
  <si>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</si>
  <si>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</si>
  <si>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</si>
  <si>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</si>
  <si>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</si>
  <si>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</si>
  <si>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</si>
  <si>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</si>
  <si>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</si>
  <si>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</si>
  <si>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</si>
  <si>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</si>
  <si>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</si>
  <si>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</si>
  <si>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</si>
  <si>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</si>
  <si>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</si>
  <si>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</si>
  <si>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</si>
  <si>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</si>
  <si>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</si>
  <si>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</si>
  <si>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</si>
  <si>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</si>
  <si>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</si>
  <si>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</si>
  <si>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</si>
  <si>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</si>
  <si>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</si>
  <si>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</si>
  <si>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</si>
  <si>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</si>
  <si>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</si>
  <si>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</si>
  <si>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</si>
  <si>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</si>
  <si>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</si>
  <si>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</si>
  <si>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</si>
  <si>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</si>
  <si>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</si>
  <si>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</si>
  <si>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</si>
  <si>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</si>
  <si>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</si>
  <si>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</si>
  <si>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</si>
  <si>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</si>
  <si>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</si>
  <si>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</si>
  <si>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</si>
  <si>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</si>
  <si>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</si>
  <si>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</si>
  <si>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</si>
  <si>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</si>
  <si>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</si>
  <si>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</si>
  <si>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</si>
  <si>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</si>
  <si>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</si>
  <si>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</si>
  <si>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</si>
  <si>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</si>
  <si>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</si>
  <si>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</si>
  <si>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</si>
  <si>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</si>
  <si>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</si>
  <si>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</si>
  <si>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</si>
  <si>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</si>
  <si>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</si>
  <si>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</si>
  <si>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</si>
  <si>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</si>
  <si>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</si>
  <si>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</si>
  <si>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</si>
  <si>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</si>
  <si>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</si>
  <si>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</si>
  <si>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</si>
  <si>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</si>
  <si>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</si>
  <si>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</si>
  <si>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</si>
  <si>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</si>
  <si>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</si>
  <si>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</si>
  <si>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</si>
  <si>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</si>
  <si>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</si>
  <si>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</si>
  <si>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</si>
  <si>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</si>
  <si>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</si>
  <si>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</si>
  <si>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</si>
  <si>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</si>
  <si>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</si>
  <si>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</si>
  <si>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</si>
  <si>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</si>
  <si>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</si>
  <si>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</si>
  <si>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</si>
  <si>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</si>
  <si>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</si>
  <si>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</si>
  <si>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</si>
  <si>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</si>
  <si>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</si>
  <si>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</si>
  <si>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</si>
  <si>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</si>
  <si>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</si>
  <si>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</si>
  <si>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</si>
  <si>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</si>
  <si>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</si>
  <si>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</si>
  <si>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</si>
  <si>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</si>
  <si>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</si>
  <si>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</si>
  <si>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</si>
  <si>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</si>
  <si>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</si>
  <si>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</si>
  <si>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</si>
  <si>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</si>
  <si>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</si>
  <si>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</si>
  <si>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</si>
  <si>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</si>
  <si>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</si>
  <si>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</si>
  <si>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</si>
  <si>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</si>
  <si>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</si>
  <si>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</si>
  <si>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</si>
  <si>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</si>
  <si>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</si>
  <si>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</si>
  <si>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</si>
  <si>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</si>
  <si>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</si>
  <si>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</si>
  <si>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</si>
  <si>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</si>
  <si>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</si>
  <si>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</si>
  <si>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</si>
  <si>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</si>
  <si>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</si>
  <si>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</si>
  <si>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</si>
  <si>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</si>
  <si>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</si>
  <si>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</si>
  <si>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</si>
  <si>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</si>
  <si>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</si>
  <si>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</si>
  <si>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</si>
  <si>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</si>
  <si>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</si>
  <si>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</si>
  <si>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</si>
  <si>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</si>
  <si>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</si>
  <si>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</si>
  <si>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</si>
  <si>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</si>
  <si>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</si>
  <si>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</si>
  <si>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</si>
  <si>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</si>
  <si>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</si>
  <si>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</si>
  <si>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</si>
  <si>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</si>
  <si>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</si>
  <si>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</si>
  <si>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</si>
  <si>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</si>
  <si>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</si>
  <si>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</si>
  <si>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</si>
  <si>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</si>
  <si>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</si>
  <si>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</si>
  <si>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</si>
  <si>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</si>
  <si>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</si>
  <si>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</si>
  <si>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</si>
  <si>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</si>
  <si>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</si>
  <si>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</si>
  <si>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</si>
  <si>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</si>
  <si>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</si>
  <si>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</si>
  <si>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</si>
  <si>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</si>
  <si>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</si>
  <si>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</si>
  <si>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</si>
  <si>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</si>
  <si>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</si>
  <si>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</si>
  <si>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</si>
  <si>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</si>
  <si>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</si>
  <si>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</si>
  <si>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</si>
  <si>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</si>
  <si>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</si>
  <si>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</si>
  <si>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</si>
  <si>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</si>
  <si>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</si>
  <si>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</si>
  <si>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</si>
  <si>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</si>
  <si>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</si>
  <si>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</si>
  <si>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</si>
  <si>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</si>
  <si>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</si>
  <si>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</si>
  <si>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</si>
  <si>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</si>
  <si>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</si>
  <si>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</si>
  <si>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</si>
  <si>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</si>
  <si>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</si>
  <si>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</si>
  <si>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</si>
  <si>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</si>
  <si>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</si>
  <si>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</si>
  <si>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</si>
  <si>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</si>
  <si>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</si>
  <si>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</si>
  <si>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</si>
  <si>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</si>
  <si>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</si>
  <si>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</si>
  <si>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</si>
  <si>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</si>
  <si>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</si>
  <si>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</si>
  <si>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</si>
  <si>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</si>
  <si>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</si>
  <si>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</si>
  <si>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</si>
  <si>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</si>
  <si>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</si>
  <si>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</si>
  <si>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</si>
  <si>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</si>
  <si>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</si>
  <si>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</si>
  <si>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</si>
  <si>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</si>
  <si>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</si>
  <si>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</si>
  <si>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</si>
  <si>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</si>
  <si>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</si>
  <si>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</si>
  <si>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</si>
  <si>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</si>
  <si>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</si>
  <si>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</si>
  <si>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</si>
  <si>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</si>
  <si>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</si>
  <si>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</si>
  <si>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</si>
  <si>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</si>
  <si>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</si>
  <si>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</si>
  <si>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</si>
  <si>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</si>
  <si>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</si>
  <si>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</si>
  <si>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</si>
  <si>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</si>
  <si>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</si>
  <si>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</si>
  <si>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</si>
  <si>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</si>
  <si>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</si>
  <si>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</si>
  <si>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</si>
  <si>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</si>
  <si>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</si>
  <si>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</si>
  <si>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</si>
  <si>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</si>
  <si>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</si>
  <si>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</si>
  <si>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</si>
  <si>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</si>
  <si>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</si>
  <si>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</si>
  <si>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</si>
  <si>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</si>
  <si>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</si>
  <si>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</si>
  <si>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</si>
  <si>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</si>
  <si>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</si>
  <si>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</si>
  <si>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</si>
  <si>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</si>
  <si>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</si>
  <si>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</si>
  <si>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</si>
  <si>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</si>
  <si>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</si>
  <si>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</si>
  <si>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</si>
  <si>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</si>
  <si>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</si>
  <si>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</si>
  <si>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</si>
  <si>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</si>
  <si>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</si>
  <si>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</si>
  <si>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</si>
  <si>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</si>
  <si>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</si>
  <si>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</si>
  <si>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</si>
  <si>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</si>
  <si>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</si>
  <si>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</si>
  <si>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</si>
  <si>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</si>
  <si>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</si>
  <si>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</si>
  <si>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</si>
  <si>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</si>
  <si>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</si>
  <si>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</si>
  <si>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</si>
  <si>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</si>
  <si>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</si>
  <si>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</si>
  <si>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</si>
  <si>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</si>
  <si>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</si>
  <si>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</si>
  <si>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</si>
  <si>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</si>
  <si>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</si>
  <si>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</si>
  <si>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</si>
  <si>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</si>
  <si>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</si>
  <si>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</si>
  <si>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</si>
  <si>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</si>
  <si>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</si>
  <si>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</si>
  <si>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</si>
  <si>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</si>
  <si>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</si>
  <si>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</si>
  <si>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</si>
  <si>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</si>
  <si>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</si>
  <si>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</si>
  <si>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</si>
  <si>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</si>
  <si>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</si>
  <si>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</si>
  <si>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</si>
  <si>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</si>
  <si>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</si>
  <si>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</si>
  <si>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</si>
  <si>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</si>
  <si>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</si>
  <si>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</si>
  <si>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</si>
  <si>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</si>
  <si>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</si>
  <si>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</si>
  <si>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</si>
  <si>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</si>
  <si>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</si>
  <si>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</si>
  <si>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</si>
  <si>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</si>
  <si>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</si>
  <si>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</si>
  <si>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</si>
  <si>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</si>
  <si>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</si>
  <si>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</si>
  <si>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</si>
  <si>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</si>
  <si>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</si>
  <si>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</si>
  <si>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</si>
  <si>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</si>
  <si>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</si>
  <si>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</si>
  <si>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</si>
  <si>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</si>
  <si>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</si>
  <si>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</si>
  <si>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</si>
  <si>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</si>
  <si>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</si>
  <si>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</si>
  <si>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</si>
  <si>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</si>
  <si>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</si>
  <si>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</si>
  <si>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</si>
  <si>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</si>
  <si>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</si>
  <si>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</si>
  <si>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</si>
  <si>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</si>
  <si>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</si>
  <si>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</si>
  <si>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</si>
  <si>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</si>
  <si>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</si>
  <si>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</si>
  <si>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</si>
  <si>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</si>
  <si>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</si>
  <si>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</si>
  <si>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</si>
  <si>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</si>
  <si>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</si>
  <si>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</si>
  <si>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</si>
  <si>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</si>
  <si>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</si>
  <si>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</si>
  <si>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</si>
  <si>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</si>
  <si>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</si>
  <si>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</si>
  <si>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</si>
  <si>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</si>
  <si>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</si>
  <si>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</si>
  <si>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</si>
  <si>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</si>
  <si>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</si>
  <si>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</si>
  <si>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</si>
  <si>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</si>
  <si>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</si>
  <si>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</si>
  <si>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</si>
  <si>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</si>
  <si>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</si>
  <si>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</si>
  <si>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</si>
  <si>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</si>
  <si>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</si>
  <si>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</si>
  <si>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</si>
  <si>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</si>
  <si>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</si>
  <si>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</si>
  <si>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</si>
  <si>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</si>
  <si>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</si>
  <si>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</si>
  <si>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</si>
  <si>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</si>
  <si>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</si>
  <si>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</si>
  <si>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</si>
  <si>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</si>
  <si>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</si>
  <si>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</si>
  <si>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</si>
  <si>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</si>
  <si>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</si>
  <si>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</si>
  <si>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</si>
  <si>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</si>
  <si>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</si>
  <si>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</si>
  <si>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</si>
  <si>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</si>
  <si>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</si>
  <si>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</si>
  <si>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</si>
  <si>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</si>
  <si>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</si>
  <si>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</si>
  <si>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</si>
  <si>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</si>
  <si>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</si>
  <si>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</si>
  <si>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</si>
  <si>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</si>
  <si>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</si>
  <si>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</si>
  <si>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</si>
  <si>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</si>
  <si>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</si>
  <si>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</si>
  <si>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</si>
  <si>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</si>
  <si>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</si>
  <si>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</si>
  <si>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</si>
  <si>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</si>
  <si>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</si>
  <si>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</si>
  <si>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</si>
  <si>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</si>
  <si>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</si>
  <si>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</si>
  <si>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</si>
  <si>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</si>
  <si>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</si>
  <si>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</si>
  <si>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</si>
  <si>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</si>
  <si>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</si>
  <si>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</si>
  <si>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</si>
  <si>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</si>
  <si>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</si>
  <si>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</si>
  <si>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</si>
  <si>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</si>
  <si>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</si>
  <si>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</si>
  <si>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</si>
  <si>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</si>
  <si>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</si>
  <si>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</si>
  <si>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</si>
  <si>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</si>
  <si>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</si>
  <si>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</si>
  <si>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</si>
  <si>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</si>
  <si>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</si>
  <si>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</si>
  <si>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</si>
  <si>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</si>
  <si>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</si>
  <si>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</si>
  <si>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</si>
  <si>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</si>
  <si>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</si>
  <si>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</si>
  <si>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</si>
  <si>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</si>
  <si>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</si>
  <si>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</si>
  <si>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</si>
  <si>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</si>
  <si>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</si>
  <si>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</si>
  <si>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</si>
  <si>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</si>
  <si>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</si>
  <si>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</si>
  <si>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</si>
  <si>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</si>
  <si>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</si>
  <si>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</si>
  <si>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</si>
  <si>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</si>
  <si>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</si>
  <si>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</si>
  <si>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</si>
  <si>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</si>
  <si>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</si>
  <si>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</si>
  <si>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</si>
  <si>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</si>
  <si>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</si>
  <si>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</si>
  <si>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</si>
  <si>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</si>
  <si>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</si>
  <si>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</si>
  <si>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</si>
  <si>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</si>
  <si>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</si>
  <si>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</si>
  <si>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</si>
  <si>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</si>
  <si>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</si>
  <si>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</si>
  <si>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</si>
  <si>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</si>
  <si>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</si>
  <si>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</si>
  <si>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</si>
  <si>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</si>
  <si>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</si>
  <si>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</si>
  <si>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</si>
  <si>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</si>
  <si>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</si>
  <si>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</si>
  <si>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</si>
  <si>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</si>
  <si>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</si>
  <si>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</si>
  <si>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</si>
  <si>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</si>
  <si>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</si>
  <si>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</si>
  <si>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</si>
  <si>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</si>
  <si>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</si>
  <si>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</si>
  <si>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</si>
  <si>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</si>
  <si>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</si>
  <si>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</si>
  <si>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</si>
  <si>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</si>
  <si>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</si>
  <si>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</si>
  <si>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</si>
  <si>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</si>
  <si>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</si>
  <si>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</si>
  <si>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</si>
  <si>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</si>
  <si>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</si>
  <si>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</si>
  <si>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</si>
  <si>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</si>
  <si>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</si>
  <si>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</si>
  <si>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</si>
  <si>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</si>
  <si>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</si>
  <si>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</si>
  <si>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</si>
  <si>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</si>
  <si>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</si>
  <si>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</si>
  <si>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</si>
  <si>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</si>
  <si>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</si>
  <si>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</si>
  <si>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</si>
  <si>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</si>
  <si>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</si>
  <si>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</si>
  <si>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</si>
  <si>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</si>
  <si>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</si>
  <si>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</si>
  <si>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</si>
  <si>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</si>
  <si>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</si>
  <si>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</si>
  <si>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</si>
  <si>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</si>
  <si>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</si>
  <si>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</si>
  <si>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</si>
  <si>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</si>
  <si>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</si>
  <si>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</si>
  <si>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</si>
  <si>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</si>
  <si>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</si>
  <si>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</si>
  <si>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</si>
  <si>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</si>
  <si>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</si>
  <si>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</si>
  <si>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</si>
  <si>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</si>
  <si>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</si>
  <si>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</si>
  <si>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</si>
  <si>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</si>
  <si>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</si>
  <si>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</si>
  <si>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</si>
  <si>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</si>
  <si>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</si>
  <si>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</si>
  <si>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</si>
  <si>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</si>
  <si>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</si>
  <si>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</si>
  <si>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</si>
  <si>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</si>
  <si>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</si>
  <si>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</si>
  <si>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</si>
  <si>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</si>
  <si>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</si>
  <si>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</si>
  <si>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</si>
  <si>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</si>
  <si>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</si>
  <si>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</si>
  <si>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</si>
  <si>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</si>
  <si>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</si>
  <si>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</si>
  <si>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</si>
  <si>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</si>
  <si>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</si>
  <si>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</si>
  <si>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</si>
  <si>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</si>
  <si>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</si>
  <si>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</si>
  <si>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</si>
  <si>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</si>
  <si>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</si>
  <si>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</si>
  <si>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</si>
  <si>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</si>
  <si>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</si>
  <si>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</si>
  <si>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</si>
  <si>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</si>
  <si>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</si>
  <si>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</si>
  <si>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</si>
  <si>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</si>
  <si>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</si>
  <si>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</si>
  <si>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</si>
  <si>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</si>
  <si>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</si>
  <si>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</si>
  <si>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</si>
  <si>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</si>
  <si>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</si>
  <si>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</si>
  <si>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</si>
  <si>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</si>
  <si>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</si>
  <si>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</si>
  <si>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</si>
  <si>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</si>
  <si>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</si>
  <si>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</si>
  <si>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</si>
  <si>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</si>
  <si>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</si>
  <si>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</si>
  <si>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</si>
  <si>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</si>
  <si>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</si>
  <si>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</si>
  <si>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</si>
  <si>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</si>
  <si>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</si>
  <si>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</si>
  <si>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</si>
  <si>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</si>
  <si>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</si>
  <si>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</si>
  <si>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</si>
  <si>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</si>
  <si>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</si>
  <si>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</si>
  <si>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</si>
  <si>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</si>
  <si>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</si>
  <si>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</si>
  <si>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</si>
  <si>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</si>
  <si>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</si>
  <si>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</si>
  <si>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</si>
  <si>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</si>
  <si>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</si>
  <si>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</si>
  <si>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</si>
  <si>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</si>
  <si>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</si>
  <si>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</si>
  <si>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</si>
  <si>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</si>
  <si>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</si>
  <si>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</si>
  <si>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</si>
  <si>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</si>
  <si>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</si>
  <si>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</si>
  <si>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</si>
  <si>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</si>
  <si>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</si>
  <si>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</si>
  <si>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</si>
  <si>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</si>
  <si>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</si>
  <si>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</si>
  <si>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</si>
  <si>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</si>
  <si>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</si>
  <si>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</si>
  <si>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</si>
  <si>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</si>
  <si>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</si>
  <si>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</si>
  <si>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</si>
  <si>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</si>
  <si>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</si>
  <si>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</si>
  <si>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</si>
  <si>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</si>
  <si>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</si>
  <si>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</si>
  <si>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</si>
  <si>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</si>
  <si>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</si>
  <si>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</si>
  <si>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</si>
  <si>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</si>
  <si>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</si>
  <si>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</si>
  <si>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</si>
  <si>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</si>
  <si>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</si>
  <si>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</si>
  <si>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</si>
  <si>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</si>
  <si>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</si>
  <si>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</si>
  <si>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</si>
  <si>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</si>
  <si>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</si>
  <si>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</si>
  <si>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</si>
  <si>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</si>
  <si>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</si>
  <si>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</si>
  <si>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</si>
  <si>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</si>
  <si>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</si>
  <si>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</si>
  <si>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</si>
  <si>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</si>
  <si>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</si>
  <si>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</si>
  <si>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</si>
  <si>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</si>
  <si>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</si>
  <si>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</si>
  <si>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</si>
  <si>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</si>
  <si>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</si>
  <si>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</si>
  <si>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</si>
  <si>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</si>
  <si>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</si>
  <si>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</si>
  <si>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</si>
  <si>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</si>
  <si>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</si>
  <si>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</si>
  <si>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</si>
  <si>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</si>
  <si>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</si>
  <si>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</si>
  <si>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</si>
  <si>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</si>
  <si>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</si>
  <si>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</si>
  <si>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</si>
  <si>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</si>
  <si>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</si>
  <si>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</si>
  <si>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</si>
  <si>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</si>
  <si>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</si>
  <si>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</si>
  <si>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</si>
  <si>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</si>
  <si>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</si>
  <si>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</si>
  <si>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</si>
  <si>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</si>
  <si>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</si>
  <si>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</si>
  <si>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</si>
  <si>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</si>
  <si>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</si>
  <si>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</si>
  <si>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</si>
  <si>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</si>
  <si>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</si>
  <si>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</si>
  <si>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</si>
  <si>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</si>
  <si>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</si>
  <si>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</si>
  <si>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</si>
  <si>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</si>
  <si>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</si>
  <si>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</si>
  <si>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</si>
  <si>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</si>
  <si>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</si>
  <si>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</si>
  <si>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</si>
  <si>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</si>
  <si>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</si>
  <si>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</si>
  <si>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</si>
  <si>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</si>
  <si>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</si>
  <si>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</si>
  <si>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</si>
  <si>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</si>
  <si>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</si>
  <si>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</si>
  <si>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</si>
  <si>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</si>
  <si>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</si>
  <si>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</si>
  <si>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</si>
  <si>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</si>
  <si>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</si>
  <si>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</si>
  <si>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</si>
  <si>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</si>
  <si>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</si>
  <si>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</si>
  <si>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</si>
  <si>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</si>
  <si>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</si>
  <si>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</si>
  <si>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</si>
  <si>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</si>
  <si>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</si>
  <si>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</si>
  <si>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</si>
  <si>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</si>
  <si>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</si>
  <si>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</si>
  <si>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</si>
  <si>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</si>
  <si>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</si>
  <si>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</si>
  <si>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</si>
  <si>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</si>
  <si>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</si>
  <si>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</si>
  <si>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</si>
  <si>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</si>
  <si>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</si>
  <si>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</si>
  <si>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</si>
  <si>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</si>
  <si>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</si>
  <si>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</si>
  <si>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</si>
  <si>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</si>
  <si>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</si>
  <si>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</si>
  <si>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</si>
  <si>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</si>
  <si>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</si>
  <si>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</si>
  <si>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</si>
  <si>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</si>
  <si>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</si>
  <si>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</si>
  <si>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</si>
  <si>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</si>
  <si>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</si>
  <si>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</si>
  <si>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</si>
  <si>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</si>
  <si>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</si>
  <si>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</si>
  <si>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</si>
  <si>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</si>
  <si>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</si>
  <si>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</si>
  <si>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</si>
  <si>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</si>
  <si>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</si>
  <si>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</si>
  <si>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</si>
  <si>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</si>
  <si>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</si>
  <si>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</si>
  <si>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</si>
  <si>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</si>
  <si>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</si>
  <si>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</si>
  <si>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</si>
  <si>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</si>
  <si>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</si>
  <si>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</si>
  <si>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</si>
  <si>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</si>
  <si>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</si>
  <si>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</si>
  <si>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</si>
  <si>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</si>
  <si>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</si>
  <si>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</si>
  <si>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</si>
  <si>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</si>
  <si>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</si>
  <si>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</si>
  <si>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</si>
  <si>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</si>
  <si>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</si>
  <si>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</si>
  <si>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</si>
  <si>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</si>
  <si>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</si>
  <si>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</si>
  <si>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</si>
  <si>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</si>
  <si>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</si>
  <si>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</si>
  <si>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</si>
  <si>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</si>
  <si>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</si>
  <si>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</si>
  <si>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</si>
  <si>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</si>
  <si>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</si>
  <si>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</si>
  <si>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</si>
  <si>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</si>
  <si>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</si>
  <si>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</si>
  <si>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</si>
  <si>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</si>
  <si>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</si>
  <si>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</si>
  <si>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</si>
  <si>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</si>
  <si>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</si>
  <si>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</si>
  <si>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</si>
  <si>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</si>
  <si>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</si>
  <si>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</si>
  <si>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</si>
  <si>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</si>
  <si>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</si>
  <si>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</si>
  <si>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</si>
  <si>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</si>
  <si>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</si>
  <si>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</si>
  <si>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</si>
  <si>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</si>
  <si>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</si>
  <si>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</si>
  <si>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</si>
  <si>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</si>
  <si>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</si>
  <si>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</si>
  <si>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</si>
  <si>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</si>
  <si>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</si>
  <si>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</si>
  <si>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</si>
  <si>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</si>
  <si>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</si>
  <si>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</si>
  <si>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</si>
  <si>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</si>
  <si>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</si>
  <si>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</si>
  <si>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</si>
  <si>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</si>
  <si>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</si>
  <si>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</si>
  <si>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</si>
  <si>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</si>
  <si>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</si>
  <si>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</si>
  <si>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</si>
  <si>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</si>
  <si>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</si>
  <si>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</si>
  <si>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</si>
  <si>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</si>
  <si>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</si>
  <si>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</si>
  <si>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</si>
  <si>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</si>
  <si>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</si>
  <si>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</si>
  <si>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</si>
  <si>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</si>
  <si>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</si>
  <si>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</si>
  <si>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</si>
  <si>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</si>
  <si>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</si>
  <si>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</si>
  <si>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</si>
  <si>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</si>
  <si>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</si>
  <si>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</si>
  <si>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</si>
  <si>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</si>
  <si>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</si>
  <si>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</si>
  <si>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</si>
  <si>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</si>
  <si>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</si>
  <si>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</si>
  <si>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</si>
  <si>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</si>
  <si>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</si>
  <si>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</si>
  <si>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</si>
  <si>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</si>
  <si>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</si>
  <si>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</si>
  <si>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</si>
  <si>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</si>
  <si>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</si>
  <si>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</si>
  <si>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</si>
  <si>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</si>
  <si>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</si>
  <si>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</si>
  <si>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</si>
  <si>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</si>
  <si>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</si>
  <si>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</si>
  <si>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</si>
  <si>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</si>
  <si>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</si>
  <si>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</si>
  <si>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</si>
  <si>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</si>
  <si>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</si>
  <si>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</si>
  <si>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</si>
  <si>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</si>
  <si>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</si>
  <si>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</si>
  <si>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</si>
  <si>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</si>
  <si>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</si>
  <si>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</si>
  <si>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</si>
  <si>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</si>
  <si>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</si>
  <si>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</si>
  <si>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</si>
  <si>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</si>
  <si>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</si>
  <si>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</si>
  <si>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</si>
  <si>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</si>
  <si>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</si>
  <si>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</si>
  <si>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</si>
  <si>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</si>
  <si>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</si>
  <si>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</si>
  <si>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</si>
  <si>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</si>
  <si>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</si>
  <si>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</si>
  <si>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</si>
  <si>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</si>
  <si>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</si>
  <si>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</si>
  <si>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</si>
  <si>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</si>
  <si>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</si>
  <si>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</si>
  <si>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</si>
  <si>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</si>
  <si>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</si>
  <si>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</si>
  <si>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</si>
  <si>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</si>
  <si>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</si>
  <si>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</si>
  <si>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</si>
  <si>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</si>
  <si>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</si>
  <si>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</si>
  <si>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</si>
  <si>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</si>
  <si>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</si>
  <si>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</si>
  <si>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</si>
  <si>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</si>
  <si>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</si>
  <si>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</si>
  <si>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</si>
  <si>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</si>
  <si>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</si>
  <si>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</si>
  <si>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</si>
  <si>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</si>
  <si>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</si>
  <si>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</si>
  <si>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</si>
  <si>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</si>
  <si>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</si>
  <si>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</si>
  <si>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</si>
  <si>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</si>
  <si>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</si>
  <si>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</si>
  <si>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</si>
  <si>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</si>
  <si>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</si>
  <si>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</si>
  <si>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</si>
  <si>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</si>
  <si>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</si>
  <si>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</si>
  <si>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</si>
  <si>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</si>
  <si>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</si>
  <si>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</si>
  <si>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</si>
  <si>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</si>
  <si>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</si>
  <si>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</si>
  <si>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</si>
  <si>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</si>
  <si>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</si>
  <si>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</si>
  <si>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</si>
  <si>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</si>
  <si>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</si>
  <si>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</si>
  <si>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</si>
  <si>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</si>
  <si>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</si>
  <si>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</si>
  <si>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</si>
  <si>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</si>
  <si>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</si>
  <si>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</si>
  <si>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</si>
  <si>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</si>
  <si>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</si>
  <si>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</si>
  <si>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</si>
  <si>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</si>
  <si>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</si>
  <si>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</si>
  <si>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</si>
  <si>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</si>
  <si>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</si>
  <si>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</si>
  <si>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</si>
  <si>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</si>
  <si>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</si>
  <si>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</si>
  <si>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</si>
  <si>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</si>
  <si>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</si>
  <si>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</si>
  <si>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</si>
  <si>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</si>
  <si>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</si>
  <si>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</si>
  <si>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</si>
  <si>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</si>
  <si>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</si>
  <si>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</si>
  <si>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</si>
  <si>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</si>
  <si>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</si>
  <si>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</si>
  <si>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</si>
  <si>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</si>
  <si>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</si>
  <si>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</si>
  <si>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</si>
  <si>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</si>
  <si>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</si>
  <si>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</si>
  <si>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</si>
  <si>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</si>
  <si>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</si>
  <si>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</si>
  <si>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</si>
  <si>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</si>
  <si>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</si>
  <si>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</si>
  <si>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</si>
  <si>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</si>
  <si>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</si>
  <si>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</si>
  <si>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</si>
  <si>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</si>
  <si>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</si>
  <si>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</si>
  <si>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</si>
  <si>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</si>
  <si>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</si>
  <si>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</si>
  <si>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</si>
  <si>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</si>
  <si>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</si>
  <si>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</si>
  <si>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</si>
  <si>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</si>
  <si>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</si>
  <si>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</si>
  <si>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</si>
  <si>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</si>
  <si>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</si>
  <si>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</si>
  <si>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</si>
  <si>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</si>
  <si>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</si>
  <si>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</si>
  <si>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</si>
  <si>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</si>
  <si>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</si>
  <si>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</si>
  <si>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</si>
  <si>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</si>
  <si>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</si>
  <si>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</si>
  <si>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</si>
  <si>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</si>
  <si>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</si>
  <si>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</si>
  <si>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</si>
  <si>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</si>
  <si>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</si>
  <si>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</si>
  <si>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</si>
  <si>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</si>
  <si>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</si>
  <si>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</si>
  <si>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</si>
  <si>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</si>
  <si>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</si>
  <si>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</si>
  <si>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</si>
  <si>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</si>
  <si>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</si>
  <si>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</si>
  <si>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</si>
  <si>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</si>
  <si>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</si>
  <si>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</si>
  <si>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</si>
  <si>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</si>
  <si>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</si>
  <si>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</si>
  <si>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</si>
  <si>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</si>
  <si>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</si>
  <si>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</si>
  <si>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</si>
  <si>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</si>
  <si>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</si>
  <si>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</si>
  <si>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</si>
  <si>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</si>
  <si>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</si>
  <si>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</si>
  <si>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</si>
  <si>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</si>
  <si>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</si>
  <si>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</si>
  <si>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</si>
  <si>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</si>
  <si>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</si>
  <si>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</si>
  <si>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</si>
  <si>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</si>
  <si>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</si>
  <si>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</si>
  <si>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</si>
  <si>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</si>
  <si>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</si>
  <si>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</si>
  <si>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</si>
  <si>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</si>
  <si>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</si>
  <si>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</si>
  <si>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</si>
  <si>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</si>
  <si>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</si>
  <si>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</si>
  <si>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</si>
  <si>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</si>
  <si>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</si>
  <si>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</si>
  <si>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</si>
  <si>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</si>
  <si>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</si>
  <si>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</si>
  <si>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</si>
  <si>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</si>
  <si>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</si>
  <si>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</si>
  <si>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</si>
  <si>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</si>
  <si>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</si>
  <si>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</si>
  <si>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</si>
  <si>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</si>
  <si>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</si>
  <si>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</si>
  <si>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</si>
  <si>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</si>
  <si>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</si>
  <si>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</si>
  <si>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</si>
  <si>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</si>
  <si>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</si>
  <si>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</si>
  <si>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</si>
  <si>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</si>
  <si>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</si>
  <si>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</si>
  <si>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</si>
  <si>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</si>
  <si>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</si>
  <si>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</si>
  <si>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</si>
  <si>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</si>
  <si>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</si>
  <si>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</si>
  <si>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</si>
  <si>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</si>
  <si>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</si>
  <si>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</si>
  <si>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</si>
  <si>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</si>
  <si>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</si>
  <si>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</si>
  <si>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</si>
  <si>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</si>
  <si>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</si>
  <si>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</si>
  <si>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</si>
  <si>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</si>
  <si>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</si>
  <si>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</si>
  <si>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</si>
  <si>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</si>
  <si>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</si>
  <si>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</si>
  <si>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</si>
  <si>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</si>
  <si>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</si>
  <si>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</si>
  <si>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</si>
  <si>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</si>
  <si>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</si>
  <si>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</si>
  <si>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</si>
  <si>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</si>
  <si>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</si>
  <si>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</si>
  <si>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</si>
  <si>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</si>
  <si>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</si>
  <si>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</si>
  <si>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</si>
  <si>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</si>
  <si>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</si>
  <si>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</si>
  <si>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</si>
  <si>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</si>
  <si>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</si>
  <si>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</si>
  <si>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</si>
  <si>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</si>
  <si>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</si>
  <si>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</si>
  <si>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</si>
  <si>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</si>
  <si>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</si>
  <si>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</si>
  <si>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</si>
  <si>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</si>
  <si>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</si>
  <si>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</si>
  <si>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</si>
  <si>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</si>
  <si>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</si>
  <si>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</si>
  <si>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</si>
  <si>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</si>
  <si>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</si>
  <si>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</si>
  <si>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</si>
  <si>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</si>
  <si>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</si>
  <si>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</si>
  <si>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</si>
  <si>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</si>
  <si>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</si>
  <si>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</si>
  <si>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</si>
  <si>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</si>
  <si>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</si>
  <si>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</si>
  <si>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</si>
  <si>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</si>
  <si>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</si>
  <si>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</si>
  <si>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</si>
  <si>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</si>
  <si>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</si>
  <si>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</si>
  <si>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</si>
  <si>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</si>
  <si>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</si>
  <si>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</si>
  <si>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</si>
  <si>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</si>
  <si>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</si>
  <si>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</si>
  <si>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</si>
  <si>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</si>
  <si>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</si>
  <si>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</si>
  <si>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</si>
  <si>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</si>
  <si>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</si>
  <si>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</si>
  <si>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</si>
  <si>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</si>
  <si>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</si>
  <si>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</si>
  <si>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</si>
  <si>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</si>
  <si>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</si>
  <si>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</si>
  <si>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</si>
  <si>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</si>
  <si>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</si>
  <si>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</si>
  <si>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</si>
  <si>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</si>
  <si>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</si>
  <si>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</si>
  <si>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</si>
  <si>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</si>
  <si>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</si>
  <si>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</si>
  <si>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</si>
  <si>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</si>
  <si>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</si>
  <si>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</si>
  <si>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</si>
  <si>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</si>
  <si>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</si>
  <si>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</si>
  <si>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</si>
  <si>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</si>
  <si>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</si>
  <si>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</si>
  <si>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</si>
  <si>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</si>
  <si>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</si>
  <si>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</si>
  <si>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</si>
  <si>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</si>
  <si>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</si>
  <si>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</si>
  <si>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</si>
  <si>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</si>
  <si>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</si>
  <si>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</si>
  <si>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</si>
  <si>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</si>
  <si>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</si>
  <si>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</si>
  <si>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</si>
  <si>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</si>
  <si>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</si>
  <si>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</si>
  <si>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</si>
  <si>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</si>
  <si>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</si>
  <si>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</si>
  <si>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</si>
  <si>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</si>
  <si>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</si>
  <si>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</si>
  <si>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</si>
  <si>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</si>
  <si>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</si>
  <si>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</si>
  <si>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</si>
  <si>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</si>
  <si>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</si>
  <si>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</si>
  <si>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</si>
  <si>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</si>
  <si>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</si>
  <si>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</si>
  <si>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</si>
  <si>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</si>
  <si>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</si>
  <si>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</si>
  <si>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</si>
  <si>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</si>
  <si>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</si>
  <si>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</si>
  <si>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</si>
  <si>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</si>
  <si>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</si>
  <si>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</si>
  <si>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</si>
  <si>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</si>
  <si>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</si>
  <si>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</si>
  <si>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</si>
  <si>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</si>
  <si>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</si>
  <si>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</si>
  <si>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</si>
  <si>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</si>
  <si>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</si>
  <si>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</si>
  <si>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</si>
  <si>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</si>
  <si>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</si>
  <si>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</si>
  <si>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</si>
  <si>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</si>
  <si>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</si>
  <si>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</si>
  <si>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</si>
  <si>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</si>
  <si>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</si>
  <si>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</si>
  <si>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</si>
  <si>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</si>
  <si>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</si>
  <si>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</si>
  <si>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</si>
  <si>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</si>
  <si>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</si>
  <si>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</si>
  <si>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</si>
  <si>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</si>
  <si>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</si>
  <si>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</si>
  <si>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</si>
  <si>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</si>
  <si>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</si>
  <si>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</si>
  <si>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</si>
  <si>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</si>
  <si>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</si>
  <si>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</si>
  <si>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</si>
  <si>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</si>
  <si>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</si>
  <si>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</si>
  <si>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</si>
  <si>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</si>
  <si>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</si>
  <si>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</si>
  <si>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</si>
  <si>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</si>
  <si>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</si>
  <si>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</si>
  <si>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</si>
  <si>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</si>
  <si>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</si>
  <si>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</si>
  <si>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</si>
  <si>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</si>
  <si>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</si>
  <si>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</si>
  <si>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</si>
  <si>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</si>
  <si>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</si>
  <si>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</si>
  <si>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</si>
  <si>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</si>
  <si>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</si>
  <si>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</si>
  <si>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</si>
  <si>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</si>
  <si>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</si>
  <si>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</si>
  <si>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</si>
  <si>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</si>
  <si>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</si>
  <si>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</si>
  <si>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</si>
  <si>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</si>
  <si>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</si>
  <si>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</si>
  <si>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</si>
  <si>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</si>
  <si>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</si>
  <si>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</si>
  <si>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</si>
  <si>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</si>
  <si>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</si>
  <si>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</si>
  <si>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</si>
  <si>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</si>
  <si>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</si>
  <si>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</si>
  <si>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</si>
  <si>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</si>
  <si>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</si>
  <si>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</si>
  <si>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</si>
  <si>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</si>
  <si>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</si>
  <si>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</si>
  <si>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</si>
  <si>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</si>
  <si>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</si>
  <si>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</si>
  <si>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</si>
  <si>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</si>
  <si>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</si>
  <si>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</si>
  <si>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</si>
  <si>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</si>
  <si>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</si>
  <si>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</si>
  <si>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</si>
  <si>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</si>
  <si>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</si>
  <si>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</si>
  <si>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</si>
  <si>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</si>
  <si>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</si>
  <si>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</si>
  <si>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</si>
  <si>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</si>
  <si>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</si>
  <si>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</si>
  <si>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</si>
  <si>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</si>
  <si>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</si>
  <si>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</si>
  <si>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</si>
  <si>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</si>
  <si>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</si>
  <si>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</si>
  <si>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</si>
  <si>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</si>
  <si>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</si>
  <si>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</si>
  <si>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</si>
  <si>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</si>
  <si>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</si>
  <si>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</si>
  <si>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</si>
  <si>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</si>
  <si>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</si>
  <si>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</si>
  <si>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</si>
  <si>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</si>
  <si>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</si>
  <si>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</si>
  <si>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</si>
  <si>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</si>
  <si>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</si>
  <si>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</si>
  <si>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</si>
  <si>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</si>
  <si>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</si>
  <si>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</si>
  <si>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</si>
  <si>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</si>
  <si>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</si>
  <si>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</si>
  <si>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</si>
  <si>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</si>
  <si>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</si>
  <si>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</si>
  <si>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</si>
  <si>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</si>
  <si>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</si>
  <si>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</si>
  <si>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</si>
  <si>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</si>
  <si>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</si>
  <si>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</si>
  <si>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</si>
  <si>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</si>
  <si>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</si>
  <si>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</si>
  <si>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</si>
  <si>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</si>
  <si>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</si>
  <si>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</si>
  <si>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</si>
  <si>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</si>
  <si>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</si>
  <si>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</si>
  <si>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</si>
  <si>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</si>
  <si>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</si>
  <si>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</si>
  <si>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</si>
  <si>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</si>
  <si>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</si>
  <si>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</si>
  <si>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</si>
  <si>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</si>
  <si>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</si>
  <si>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</si>
  <si>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</si>
  <si>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</si>
  <si>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</si>
  <si>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</si>
  <si>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</si>
  <si>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</si>
  <si>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</si>
  <si>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</si>
  <si>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</si>
  <si>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</si>
  <si>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</si>
  <si>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</si>
  <si>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</si>
  <si>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</si>
  <si>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</si>
  <si>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</si>
  <si>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</si>
  <si>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</si>
  <si>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</si>
  <si>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</si>
  <si>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</si>
  <si>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</si>
  <si>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</si>
  <si>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</si>
  <si>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</si>
  <si>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</si>
  <si>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</si>
  <si>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</si>
  <si>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</si>
  <si>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</si>
  <si>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</si>
  <si>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</si>
  <si>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</si>
  <si>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</si>
  <si>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</si>
  <si>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</si>
  <si>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</si>
  <si>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</si>
  <si>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</si>
  <si>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</si>
  <si>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</si>
  <si>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</si>
  <si>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</si>
  <si>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</si>
  <si>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</si>
  <si>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</si>
  <si>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</si>
  <si>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</si>
  <si>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</si>
  <si>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</si>
  <si>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</si>
  <si>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</si>
  <si>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</si>
  <si>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</si>
  <si>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</si>
  <si>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</si>
  <si>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</si>
  <si>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</si>
  <si>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</si>
  <si>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</si>
  <si>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</si>
  <si>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</si>
  <si>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</si>
  <si>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</si>
  <si>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</si>
  <si>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</si>
  <si>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</si>
  <si>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</si>
  <si>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</si>
  <si>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</si>
  <si>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</si>
  <si>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</si>
  <si>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</si>
  <si>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</si>
  <si>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</si>
  <si>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</si>
  <si>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</si>
  <si>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</si>
  <si>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</si>
  <si>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</si>
  <si>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</si>
  <si>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</si>
  <si>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</si>
  <si>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</si>
  <si>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</si>
  <si>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</si>
  <si>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</si>
  <si>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</si>
  <si>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</si>
  <si>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</si>
  <si>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</si>
  <si>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</si>
  <si>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</si>
  <si>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</si>
  <si>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</si>
  <si>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</si>
  <si>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</si>
  <si>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</si>
  <si>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</si>
  <si>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</si>
  <si>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</si>
  <si>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</si>
  <si>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</si>
  <si>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</si>
  <si>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</si>
  <si>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</si>
  <si>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</si>
  <si>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</si>
  <si>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</si>
  <si>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</si>
  <si>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</si>
  <si>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</si>
  <si>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</si>
  <si>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</si>
  <si>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</si>
  <si>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</si>
  <si>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</si>
  <si>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</si>
  <si>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</si>
  <si>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</si>
  <si>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</si>
  <si>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</si>
  <si>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</si>
  <si>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</si>
  <si>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</si>
  <si>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</si>
  <si>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</si>
  <si>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</si>
  <si>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</si>
  <si>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</si>
  <si>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</si>
  <si>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</si>
  <si>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</si>
  <si>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</si>
  <si>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</si>
  <si>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</si>
  <si>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</si>
  <si>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</si>
  <si>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</si>
  <si>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</si>
  <si>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</si>
  <si>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</si>
  <si>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</si>
  <si>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</si>
  <si>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</si>
  <si>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</si>
  <si>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</si>
  <si>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</si>
  <si>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</si>
  <si>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</si>
  <si>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</si>
  <si>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</si>
  <si>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</si>
  <si>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</si>
  <si>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</si>
  <si>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</si>
  <si>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</si>
  <si>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</si>
  <si>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</si>
  <si>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</si>
  <si>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</si>
  <si>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</si>
  <si>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</si>
  <si>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</si>
  <si>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</si>
  <si>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</si>
  <si>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</si>
  <si>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</si>
  <si>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</si>
  <si>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</si>
  <si>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</si>
  <si>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</si>
  <si>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</si>
  <si>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</si>
  <si>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</si>
  <si>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</si>
  <si>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</si>
  <si>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</si>
  <si>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</si>
  <si>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</si>
  <si>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</si>
  <si>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</si>
  <si>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</si>
  <si>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</si>
  <si>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</si>
  <si>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</si>
  <si>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</si>
  <si>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</si>
  <si>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</si>
  <si>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</si>
  <si>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</si>
  <si>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</si>
  <si>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</si>
  <si>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</si>
  <si>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</si>
  <si>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</si>
  <si>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</si>
  <si>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</si>
  <si>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</si>
  <si>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</si>
  <si>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</si>
  <si>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</si>
  <si>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</si>
  <si>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</si>
  <si>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</si>
  <si>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</si>
  <si>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</si>
  <si>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</si>
  <si>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</si>
  <si>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</si>
  <si>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</si>
  <si>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</si>
  <si>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</si>
  <si>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</si>
  <si>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</si>
  <si>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</si>
  <si>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</si>
  <si>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</si>
  <si>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</si>
  <si>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</si>
  <si>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</si>
  <si>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</si>
  <si>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</si>
  <si>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</si>
  <si>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</si>
  <si>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</si>
  <si>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</si>
  <si>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</si>
  <si>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</si>
  <si>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</si>
  <si>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</si>
  <si>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</si>
  <si>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</si>
  <si>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</si>
  <si>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</si>
  <si>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</si>
  <si>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</si>
  <si>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</si>
  <si>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</si>
  <si>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</si>
  <si>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</si>
  <si>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</si>
  <si>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</si>
  <si>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</si>
  <si>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</si>
  <si>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</si>
  <si>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</si>
  <si>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</si>
  <si>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</si>
  <si>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</si>
  <si>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</si>
  <si>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</si>
  <si>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</si>
  <si>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</si>
  <si>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</si>
  <si>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</si>
  <si>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</si>
  <si>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</si>
  <si>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</si>
  <si>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</si>
  <si>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</si>
  <si>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</si>
  <si>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</si>
  <si>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</si>
  <si>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</si>
  <si>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</si>
  <si>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</si>
  <si>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</si>
  <si>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</si>
  <si>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</si>
  <si>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</si>
  <si>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</si>
  <si>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</si>
  <si>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</si>
  <si>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</si>
  <si>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</si>
  <si>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</si>
  <si>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</si>
  <si>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</si>
  <si>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</si>
  <si>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</si>
  <si>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</si>
  <si>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</si>
  <si>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</si>
  <si>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</si>
  <si>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</si>
  <si>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</si>
  <si>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</si>
  <si>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</si>
  <si>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</si>
  <si>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</si>
  <si>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</si>
  <si>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</si>
  <si>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</si>
  <si>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</si>
  <si>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</si>
  <si>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</si>
  <si>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</si>
  <si>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</si>
  <si>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</si>
  <si>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</si>
  <si>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</si>
  <si>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</si>
  <si>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</si>
  <si>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</si>
  <si>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</si>
  <si>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</si>
  <si>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</si>
  <si>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</si>
  <si>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</si>
  <si>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</si>
  <si>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</si>
  <si>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</si>
  <si>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</si>
  <si>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</si>
  <si>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</si>
  <si>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</si>
  <si>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</si>
  <si>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</si>
  <si>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</si>
  <si>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</si>
  <si>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</si>
  <si>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</si>
  <si>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</si>
  <si>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</si>
  <si>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</si>
  <si>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</si>
  <si>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</si>
  <si>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</si>
  <si>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</si>
  <si>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</si>
  <si>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</si>
  <si>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</si>
  <si>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</si>
  <si>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</si>
  <si>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</si>
  <si>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</si>
  <si>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</si>
  <si>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</si>
  <si>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</si>
  <si>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</si>
  <si>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</si>
  <si>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</si>
  <si>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</si>
  <si>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</si>
  <si>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</si>
  <si>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</si>
  <si>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</si>
  <si>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</si>
  <si>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</si>
  <si>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</si>
  <si>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</si>
  <si>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</si>
  <si>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</si>
  <si>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</si>
  <si>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</si>
  <si>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</si>
  <si>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</si>
  <si>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</si>
  <si>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</si>
  <si>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</si>
  <si>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</si>
  <si>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</si>
  <si>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</si>
  <si>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</si>
  <si>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</si>
  <si>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</si>
  <si>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</si>
  <si>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</si>
  <si>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</si>
  <si>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</si>
  <si>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</si>
  <si>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</si>
  <si>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</si>
  <si>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</si>
  <si>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</si>
  <si>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</si>
  <si>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</si>
  <si>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</si>
  <si>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</si>
  <si>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</si>
  <si>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</si>
  <si>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</si>
  <si>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</si>
  <si>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</si>
  <si>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</si>
  <si>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</si>
  <si>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</si>
  <si>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</si>
  <si>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</si>
  <si>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</si>
  <si>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</si>
  <si>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</si>
  <si>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</si>
  <si>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</si>
  <si>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</si>
  <si>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</si>
  <si>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</si>
  <si>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</si>
  <si>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</si>
  <si>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</si>
  <si>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</si>
  <si>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</si>
  <si>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</si>
  <si>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</si>
  <si>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</si>
  <si>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</si>
  <si>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</si>
  <si>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</si>
  <si>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</si>
  <si>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</si>
  <si>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</si>
  <si>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</si>
  <si>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</si>
  <si>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</si>
  <si>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</si>
  <si>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</si>
  <si>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</si>
  <si>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</si>
  <si>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</si>
  <si>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</si>
  <si>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</si>
  <si>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</si>
  <si>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</si>
  <si>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</si>
  <si>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</si>
  <si>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</si>
  <si>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</si>
  <si>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</si>
  <si>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</si>
  <si>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</si>
  <si>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</si>
  <si>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</si>
  <si>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</si>
  <si>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</si>
  <si>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</si>
  <si>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</si>
  <si>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</si>
  <si>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</si>
  <si>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</si>
  <si>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</si>
  <si>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</si>
  <si>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</si>
  <si>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</si>
  <si>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</si>
  <si>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</si>
  <si>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</si>
  <si>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</si>
  <si>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</si>
  <si>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</si>
  <si>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</si>
  <si>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</si>
  <si>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</si>
  <si>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</si>
  <si>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</si>
  <si>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</si>
  <si>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</si>
  <si>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</si>
  <si>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</si>
  <si>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</si>
  <si>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</si>
  <si>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</si>
  <si>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</si>
  <si>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</si>
  <si>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</si>
  <si>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</si>
  <si>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</si>
  <si>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</si>
  <si>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</si>
  <si>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</si>
  <si>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</si>
  <si>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</si>
  <si>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</si>
  <si>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</si>
  <si>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</si>
  <si>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</si>
  <si>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</si>
  <si>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</si>
  <si>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</si>
  <si>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</si>
  <si>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</si>
  <si>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</si>
  <si>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</si>
  <si>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</si>
  <si>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</si>
  <si>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</si>
  <si>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</si>
  <si>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</si>
  <si>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</si>
  <si>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</si>
  <si>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</si>
  <si>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</si>
  <si>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</si>
  <si>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</si>
  <si>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</si>
  <si>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</si>
  <si>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</si>
  <si>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</si>
  <si>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</si>
  <si>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</si>
  <si>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</si>
  <si>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</si>
  <si>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</si>
  <si>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</si>
  <si>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</si>
  <si>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</si>
  <si>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</si>
  <si>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</si>
  <si>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</si>
  <si>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</si>
  <si>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</si>
  <si>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</si>
  <si>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</si>
  <si>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</si>
  <si>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</si>
  <si>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</si>
  <si>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</si>
  <si>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</si>
  <si>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</si>
  <si>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</si>
  <si>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</si>
  <si>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</si>
  <si>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</si>
  <si>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</si>
  <si>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</si>
  <si>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</si>
  <si>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</si>
  <si>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</si>
  <si>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</si>
  <si>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</si>
  <si>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</si>
  <si>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</si>
  <si>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</si>
  <si>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</si>
  <si>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</si>
  <si>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</si>
  <si>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</si>
  <si>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</si>
  <si>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</si>
  <si>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</si>
  <si>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</si>
  <si>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</si>
  <si>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</si>
  <si>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</si>
  <si>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</si>
  <si>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</si>
  <si>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</si>
  <si>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</si>
  <si>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</si>
  <si>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</si>
  <si>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</si>
  <si>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</si>
  <si>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</si>
  <si>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</si>
  <si>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</si>
  <si>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</si>
  <si>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</si>
  <si>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</si>
  <si>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</si>
  <si>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</si>
  <si>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</si>
  <si>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</si>
  <si>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</si>
  <si>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</si>
  <si>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</si>
  <si>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</si>
  <si>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</si>
  <si>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</si>
  <si>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</si>
  <si>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</si>
  <si>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</si>
  <si>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</si>
  <si>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</si>
  <si>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</si>
  <si>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</si>
  <si>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</si>
  <si>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</si>
  <si>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</si>
  <si>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</si>
  <si>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</si>
  <si>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</si>
  <si>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</si>
  <si>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</si>
  <si>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</si>
  <si>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</si>
  <si>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</si>
  <si>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</si>
  <si>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</si>
  <si>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</si>
  <si>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</si>
  <si>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</si>
  <si>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</si>
  <si>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</si>
  <si>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</si>
  <si>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</si>
  <si>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</si>
  <si>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</si>
  <si>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</si>
  <si>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</si>
  <si>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</si>
  <si>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</si>
  <si>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</si>
  <si>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</si>
  <si>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</si>
  <si>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</si>
  <si>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</si>
  <si>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</si>
  <si>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</si>
  <si>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</si>
  <si>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</si>
  <si>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</si>
  <si>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</si>
  <si>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</si>
  <si>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</si>
  <si>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</si>
  <si>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</si>
  <si>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</si>
  <si>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</si>
  <si>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</si>
  <si>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</si>
  <si>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</si>
  <si>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</si>
  <si>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</si>
  <si>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</si>
  <si>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</si>
  <si>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</si>
  <si>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</si>
  <si>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</si>
  <si>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</si>
  <si>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</si>
  <si>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</si>
  <si>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</si>
  <si>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</si>
  <si>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</si>
  <si>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</si>
  <si>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</si>
  <si>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</si>
  <si>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</si>
  <si>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</si>
  <si>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</si>
  <si>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</si>
  <si>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</si>
  <si>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</si>
  <si>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</si>
  <si>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</si>
  <si>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</si>
  <si>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</si>
  <si>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</si>
  <si>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</si>
  <si>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</si>
  <si>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</si>
  <si>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</si>
  <si>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</si>
  <si>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</si>
  <si>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</si>
  <si>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</si>
  <si>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</si>
  <si>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</si>
  <si>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</si>
  <si>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</si>
  <si>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</si>
  <si>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</si>
  <si>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</si>
  <si>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</si>
  <si>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</si>
  <si>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</si>
  <si>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</si>
  <si>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</si>
  <si>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</si>
  <si>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</si>
  <si>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</si>
  <si>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</si>
  <si>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</si>
  <si>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</si>
  <si>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</si>
  <si>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</si>
  <si>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</si>
  <si>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</si>
  <si>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</si>
  <si>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</si>
  <si>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</si>
  <si>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</si>
  <si>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</si>
  <si>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</si>
  <si>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</si>
  <si>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</si>
  <si>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</si>
  <si>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</si>
  <si>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</si>
  <si>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</si>
  <si>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</si>
  <si>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</si>
  <si>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</si>
  <si>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</si>
  <si>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</si>
  <si>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</si>
  <si>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</si>
  <si>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</si>
  <si>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</si>
  <si>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</si>
  <si>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</si>
  <si>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</si>
  <si>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</si>
  <si>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</si>
  <si>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</si>
  <si>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</si>
  <si>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</si>
  <si>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</si>
  <si>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</si>
  <si>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</si>
  <si>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</si>
  <si>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</si>
  <si>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</si>
  <si>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</si>
  <si>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</si>
  <si>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</si>
  <si>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</si>
  <si>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</si>
  <si>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</si>
  <si>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</si>
  <si>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</si>
  <si>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</si>
  <si>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</si>
  <si>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</si>
  <si>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</si>
  <si>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</si>
  <si>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</si>
  <si>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</si>
  <si>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</si>
  <si>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</si>
  <si>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</si>
  <si>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</si>
  <si>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</si>
  <si>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</si>
  <si>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</si>
  <si>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</si>
  <si>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</si>
  <si>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</si>
  <si>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</si>
  <si>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</si>
  <si>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</si>
  <si>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</si>
  <si>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</si>
  <si>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</si>
  <si>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</si>
  <si>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</si>
  <si>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</si>
  <si>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</si>
  <si>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</si>
  <si>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</si>
  <si>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</si>
  <si>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</si>
  <si>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</si>
  <si>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</si>
  <si>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</si>
  <si>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</si>
  <si>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</si>
  <si>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</si>
  <si>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</si>
  <si>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</si>
  <si>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</si>
  <si>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</si>
  <si>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</si>
  <si>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</si>
  <si>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</si>
  <si>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</si>
  <si>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</si>
  <si>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</si>
  <si>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</si>
  <si>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</si>
  <si>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</si>
  <si>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</si>
  <si>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</si>
  <si>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</si>
  <si>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</si>
  <si>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</si>
  <si>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</si>
  <si>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</si>
  <si>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</si>
  <si>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</si>
  <si>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</si>
  <si>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</si>
  <si>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</si>
  <si>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</si>
  <si>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</si>
  <si>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</si>
  <si>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</si>
  <si>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</si>
  <si>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</si>
  <si>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</si>
  <si>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</si>
  <si>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</si>
  <si>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</si>
  <si>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</si>
  <si>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</si>
  <si>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</si>
  <si>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</si>
  <si>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</si>
  <si>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</si>
  <si>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</si>
  <si>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</si>
  <si>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</si>
  <si>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</si>
  <si>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</si>
  <si>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</si>
  <si>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</si>
  <si>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</si>
  <si>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</si>
  <si>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</si>
  <si>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</si>
  <si>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</si>
  <si>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</si>
  <si>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</si>
  <si>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</si>
  <si>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</si>
  <si>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</si>
  <si>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</si>
  <si>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</si>
  <si>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</si>
  <si>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</si>
  <si>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</si>
  <si>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</si>
  <si>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</si>
  <si>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</si>
  <si>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</si>
  <si>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</si>
  <si>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</si>
  <si>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</si>
  <si>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</si>
  <si>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</si>
  <si>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</si>
  <si>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</si>
  <si>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</si>
  <si>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</si>
  <si>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</si>
  <si>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</si>
  <si>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</si>
  <si>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</si>
  <si>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</si>
  <si>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</si>
  <si>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</si>
  <si>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</si>
  <si>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</si>
  <si>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</si>
  <si>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</si>
  <si>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</si>
  <si>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</si>
  <si>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</si>
  <si>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</si>
  <si>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</si>
  <si>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</si>
  <si>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</si>
  <si>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</si>
  <si>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</si>
  <si>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</si>
  <si>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</si>
  <si>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</si>
  <si>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</si>
  <si>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</si>
  <si>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</si>
  <si>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</si>
  <si>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</si>
  <si>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</si>
  <si>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</si>
  <si>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</si>
  <si>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</si>
  <si>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</si>
  <si>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</si>
  <si>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</si>
  <si>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</si>
  <si>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</si>
  <si>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</si>
  <si>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</si>
  <si>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</si>
  <si>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</si>
  <si>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</si>
  <si>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</si>
  <si>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</si>
  <si>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</si>
  <si>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</si>
  <si>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</si>
  <si>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</si>
  <si>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</si>
  <si>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</si>
  <si>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</si>
  <si>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</si>
  <si>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</si>
  <si>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</si>
  <si>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</si>
  <si>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</si>
  <si>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</si>
  <si>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</si>
  <si>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</si>
  <si>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</si>
  <si>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</si>
  <si>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</si>
  <si>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</si>
  <si>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</si>
  <si>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</si>
  <si>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</si>
  <si>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</si>
  <si>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</si>
  <si>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</si>
  <si>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</si>
  <si>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</si>
  <si>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</si>
  <si>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</si>
  <si>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</si>
  <si>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</si>
  <si>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</si>
  <si>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</si>
  <si>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</si>
  <si>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</si>
  <si>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</si>
  <si>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</si>
  <si>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</si>
  <si>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</si>
  <si>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</si>
  <si>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</si>
  <si>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</si>
  <si>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</si>
  <si>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</si>
  <si>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</si>
  <si>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</si>
  <si>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</si>
  <si>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</si>
  <si>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</si>
  <si>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</si>
  <si>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</si>
  <si>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</si>
  <si>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</si>
  <si>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</si>
  <si>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</si>
  <si>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</si>
  <si>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</si>
  <si>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</si>
  <si>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</si>
  <si>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</si>
  <si>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</si>
  <si>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</si>
  <si>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</si>
  <si>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</si>
  <si>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</si>
  <si>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</si>
  <si>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</si>
  <si>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</si>
  <si>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</si>
  <si>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</si>
  <si>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</si>
  <si>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</si>
  <si>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</si>
  <si>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</si>
  <si>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</si>
  <si>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</si>
  <si>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</si>
  <si>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</si>
  <si>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</si>
  <si>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</si>
  <si>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</si>
  <si>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</si>
  <si>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</si>
  <si>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</si>
  <si>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</si>
  <si>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</si>
  <si>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</si>
  <si>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</si>
  <si>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</si>
  <si>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</si>
  <si>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</si>
  <si>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</si>
  <si>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</si>
  <si>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</si>
  <si>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</si>
  <si>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</si>
  <si>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</si>
  <si>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</si>
  <si>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</si>
  <si>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</si>
  <si>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</si>
  <si>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</si>
  <si>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</si>
  <si>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</si>
  <si>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</si>
  <si>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</si>
  <si>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</si>
  <si>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</si>
  <si>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</si>
  <si>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</si>
  <si>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</si>
  <si>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</si>
  <si>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</si>
  <si>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</si>
  <si>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</si>
  <si>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</si>
  <si>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</si>
  <si>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</si>
  <si>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</si>
  <si>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</si>
  <si>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</si>
  <si>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</si>
  <si>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</si>
  <si>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</si>
  <si>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</si>
  <si>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</si>
  <si>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</si>
  <si>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</si>
  <si>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</si>
  <si>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</si>
  <si>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</si>
  <si>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</si>
  <si>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</si>
  <si>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</si>
  <si>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</si>
  <si>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</si>
  <si>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</si>
  <si>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</si>
  <si>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</si>
  <si>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</si>
  <si>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</si>
  <si>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</si>
  <si>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</si>
  <si>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</si>
  <si>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</si>
  <si>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</si>
  <si>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</si>
  <si>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</si>
  <si>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</si>
  <si>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</si>
  <si>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</si>
  <si>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</si>
  <si>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</si>
  <si>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</si>
  <si>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</si>
  <si>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</si>
  <si>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</si>
  <si>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</si>
  <si>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</si>
  <si>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</si>
  <si>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</si>
  <si>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</si>
  <si>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</si>
  <si>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</si>
  <si>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</si>
  <si>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</si>
  <si>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</si>
  <si>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</si>
  <si>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</si>
  <si>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</si>
  <si>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</si>
  <si>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</si>
  <si>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</si>
  <si>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</si>
  <si>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</si>
  <si>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</si>
  <si>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</si>
  <si>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</si>
  <si>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</si>
  <si>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</si>
  <si>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</si>
  <si>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</si>
  <si>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</si>
  <si>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</si>
  <si>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</si>
  <si>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</si>
  <si>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</si>
  <si>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</si>
  <si>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</si>
  <si>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</si>
  <si>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</si>
  <si>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</si>
  <si>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</si>
  <si>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</si>
  <si>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</si>
  <si>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</si>
  <si>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</si>
  <si>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</si>
  <si>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</si>
  <si>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</si>
  <si>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</si>
  <si>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</si>
  <si>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</si>
  <si>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</si>
  <si>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</si>
  <si>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</si>
  <si>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</si>
  <si>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</si>
  <si>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</si>
  <si>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</si>
  <si>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</si>
  <si>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</si>
  <si>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</si>
  <si>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</si>
  <si>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</si>
  <si>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</si>
  <si>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</si>
  <si>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</si>
  <si>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</si>
  <si>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</si>
  <si>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</si>
  <si>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</si>
  <si>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</si>
  <si>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</si>
  <si>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</si>
  <si>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</si>
  <si>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</si>
  <si>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</si>
  <si>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</si>
  <si>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</si>
  <si>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</si>
  <si>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</si>
  <si>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</si>
  <si>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</si>
  <si>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</si>
  <si>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</si>
  <si>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</si>
  <si>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</si>
  <si>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</si>
  <si>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</si>
  <si>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</si>
  <si>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</si>
  <si>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</si>
  <si>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</si>
  <si>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</si>
  <si>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</si>
  <si>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</si>
  <si>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</si>
  <si>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</si>
  <si>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</si>
  <si>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</si>
  <si>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</si>
  <si>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</si>
  <si>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</si>
  <si>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</si>
  <si>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</si>
  <si>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</si>
  <si>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</si>
  <si>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</si>
  <si>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</si>
  <si>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</si>
  <si>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</si>
  <si>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</si>
  <si>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</si>
  <si>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</si>
  <si>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</si>
  <si>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</si>
  <si>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</si>
  <si>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</si>
  <si>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</si>
  <si>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</si>
  <si>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</si>
  <si>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</si>
  <si>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</si>
  <si>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</si>
  <si>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</si>
  <si>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</si>
  <si>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</si>
  <si>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</si>
  <si>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</si>
  <si>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</si>
  <si>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</si>
  <si>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</si>
  <si>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</si>
  <si>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</si>
  <si>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</si>
  <si>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</si>
  <si>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</si>
  <si>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</si>
  <si>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</si>
  <si>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</si>
  <si>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</si>
  <si>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</si>
  <si>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</si>
  <si>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</si>
  <si>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</si>
  <si>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</si>
  <si>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</si>
  <si>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</si>
  <si>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</si>
  <si>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</si>
  <si>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</si>
  <si>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</si>
  <si>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</si>
  <si>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</si>
  <si>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</si>
  <si>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</si>
  <si>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</si>
  <si>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</si>
  <si>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</si>
  <si>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</si>
  <si>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</si>
  <si>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</si>
  <si>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</si>
  <si>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</si>
  <si>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</si>
  <si>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</si>
  <si>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</si>
  <si>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</si>
  <si>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</si>
  <si>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</si>
  <si>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</si>
  <si>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</si>
  <si>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</si>
  <si>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</si>
  <si>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</si>
  <si>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</si>
  <si>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</si>
  <si>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</si>
  <si>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</si>
  <si>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</si>
  <si>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</si>
  <si>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</si>
  <si>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</si>
  <si>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</si>
  <si>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</si>
  <si>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</si>
  <si>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</si>
  <si>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</si>
  <si>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</si>
  <si>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</si>
  <si>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</si>
  <si>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</si>
  <si>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</si>
  <si>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</si>
  <si>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</si>
  <si>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</si>
  <si>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</si>
  <si>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</si>
  <si>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</si>
  <si>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</si>
  <si>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</si>
  <si>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</si>
  <si>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</si>
  <si>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</si>
  <si>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</si>
  <si>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</si>
  <si>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</si>
  <si>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</si>
  <si>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</si>
  <si>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</si>
  <si>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</si>
  <si>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</si>
  <si>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</si>
  <si>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</si>
  <si>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</si>
  <si>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</si>
  <si>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</si>
  <si>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</si>
  <si>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</si>
  <si>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</si>
  <si>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</si>
  <si>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</si>
  <si>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</si>
  <si>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</si>
  <si>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</si>
  <si>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</si>
  <si>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</si>
  <si>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</si>
  <si>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</si>
  <si>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</si>
  <si>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</si>
  <si>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</si>
  <si>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</si>
  <si>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</si>
  <si>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</si>
  <si>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</si>
  <si>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</si>
  <si>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</si>
  <si>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</si>
  <si>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</si>
  <si>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</si>
  <si>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</si>
  <si>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</si>
  <si>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</si>
  <si>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</si>
  <si>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</si>
  <si>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</si>
  <si>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</si>
  <si>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</si>
  <si>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</si>
  <si>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</si>
  <si>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</si>
  <si>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</si>
  <si>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</si>
  <si>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</si>
  <si>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</si>
  <si>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</si>
  <si>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</si>
  <si>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</si>
  <si>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</si>
  <si>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</si>
  <si>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</si>
  <si>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</si>
  <si>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</si>
  <si>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</si>
  <si>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</si>
  <si>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</si>
  <si>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</si>
  <si>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</si>
  <si>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</si>
  <si>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</si>
  <si>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</si>
  <si>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</si>
  <si>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</si>
  <si>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</si>
  <si>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</si>
  <si>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</si>
  <si>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</si>
  <si>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</si>
  <si>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</si>
  <si>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</si>
  <si>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</si>
  <si>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</si>
  <si>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</si>
  <si>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</si>
  <si>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</si>
  <si>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</si>
  <si>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</si>
  <si>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</si>
  <si>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</si>
  <si>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</si>
  <si>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</si>
  <si>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</si>
  <si>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</si>
  <si>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</si>
  <si>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</si>
  <si>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</si>
  <si>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</si>
  <si>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</si>
  <si>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</si>
  <si>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</si>
  <si>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</si>
  <si>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</si>
  <si>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</si>
  <si>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</si>
  <si>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</si>
  <si>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</si>
  <si>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</si>
  <si>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</si>
  <si>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</si>
  <si>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</si>
  <si>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</si>
  <si>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</si>
  <si>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</si>
  <si>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</si>
  <si>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</si>
  <si>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</si>
  <si>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</si>
  <si>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</si>
  <si>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</si>
  <si>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</si>
  <si>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</si>
  <si>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</si>
  <si>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</si>
  <si>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</si>
  <si>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</si>
  <si>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</si>
  <si>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</si>
  <si>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</si>
  <si>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</si>
  <si>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</si>
  <si>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</si>
  <si>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</si>
  <si>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</si>
  <si>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</si>
  <si>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</si>
  <si>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</si>
  <si>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</si>
  <si>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</si>
  <si>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</si>
  <si>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</si>
  <si>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</si>
  <si>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</si>
  <si>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</si>
  <si>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</si>
  <si>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</si>
  <si>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</si>
  <si>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</si>
  <si>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</si>
  <si>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</si>
  <si>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</si>
  <si>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</si>
  <si>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</si>
  <si>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</si>
  <si>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</si>
  <si>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</si>
  <si>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</si>
  <si>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</si>
  <si>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</si>
  <si>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</si>
  <si>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</si>
  <si>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</si>
  <si>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</si>
  <si>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</si>
  <si>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</si>
  <si>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</si>
  <si>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</si>
  <si>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</si>
  <si>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</si>
  <si>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</si>
  <si>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</si>
  <si>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</si>
  <si>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</si>
  <si>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</si>
  <si>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</si>
  <si>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</si>
  <si>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</si>
  <si>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</si>
  <si>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</si>
  <si>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</si>
  <si>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</si>
  <si>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</si>
  <si>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</si>
  <si>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</si>
  <si>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</si>
  <si>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</si>
  <si>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</si>
  <si>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</si>
  <si>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</si>
  <si>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</si>
  <si>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</si>
  <si>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</si>
  <si>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</si>
  <si>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</si>
  <si>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</si>
  <si>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</si>
  <si>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</si>
  <si>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</si>
  <si>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</si>
  <si>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</si>
  <si>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</si>
  <si>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</si>
  <si>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</si>
  <si>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</si>
  <si>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</si>
  <si>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</si>
  <si>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</si>
  <si>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</si>
  <si>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</si>
  <si>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</si>
  <si>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</si>
  <si>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</si>
  <si>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</si>
  <si>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</si>
  <si>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</si>
  <si>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</si>
  <si>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</si>
  <si>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</si>
  <si>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</si>
  <si>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</si>
  <si>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</si>
  <si>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</si>
  <si>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</si>
  <si>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</si>
  <si>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</si>
  <si>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</si>
  <si>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</si>
  <si>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</si>
  <si>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</si>
  <si>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</si>
  <si>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</si>
  <si>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</si>
  <si>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</si>
  <si>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</si>
  <si>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</si>
  <si>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</si>
  <si>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</si>
  <si>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</si>
  <si>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</si>
  <si>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</si>
  <si>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</si>
  <si>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</si>
  <si>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</si>
  <si>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</si>
  <si>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</si>
  <si>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</si>
  <si>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</si>
  <si>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</si>
  <si>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</si>
  <si>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</si>
  <si>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</si>
  <si>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</si>
  <si>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</si>
  <si>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</si>
  <si>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</si>
  <si>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</si>
  <si>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</si>
  <si>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</si>
  <si>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</si>
  <si>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</si>
  <si>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</si>
  <si>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</si>
  <si>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</si>
  <si>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</si>
  <si>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</si>
  <si>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</si>
  <si>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</si>
  <si>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</si>
  <si>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</si>
  <si>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</si>
  <si>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</si>
  <si>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</si>
  <si>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</si>
  <si>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</si>
  <si>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</si>
  <si>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</si>
  <si>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</si>
  <si>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</si>
  <si>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</si>
  <si>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</si>
  <si>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</si>
  <si>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</si>
  <si>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</si>
  <si>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</si>
  <si>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</si>
  <si>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</si>
  <si>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</si>
  <si>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</si>
  <si>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</si>
  <si>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</si>
  <si>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</si>
  <si>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</si>
  <si>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</si>
  <si>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</si>
  <si>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</si>
  <si>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</si>
  <si>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</si>
  <si>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</si>
  <si>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</si>
  <si>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</si>
  <si>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</si>
  <si>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</si>
  <si>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</si>
  <si>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</si>
  <si>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</si>
  <si>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</si>
  <si>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</si>
  <si>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</si>
  <si>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</si>
  <si>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</si>
  <si>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</si>
  <si>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</si>
  <si>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</si>
  <si>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</si>
  <si>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</si>
  <si>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</si>
  <si>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</si>
  <si>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</si>
  <si>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</si>
  <si>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</si>
  <si>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</si>
  <si>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</si>
  <si>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</si>
  <si>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</si>
  <si>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</si>
  <si>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</si>
  <si>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</si>
  <si>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</si>
  <si>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</si>
  <si>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</si>
  <si>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</si>
  <si>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</si>
  <si>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</si>
  <si>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</si>
  <si>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</si>
  <si>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</si>
  <si>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</si>
  <si>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</si>
  <si>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</si>
  <si>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</si>
  <si>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</si>
  <si>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</si>
  <si>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</si>
  <si>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</si>
  <si>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</si>
  <si>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</si>
  <si>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</si>
  <si>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</si>
  <si>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</si>
  <si>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</si>
  <si>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</si>
  <si>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</si>
  <si>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</si>
  <si>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</si>
  <si>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</si>
  <si>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</si>
  <si>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</si>
  <si>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</si>
  <si>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</si>
  <si>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</si>
  <si>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</si>
  <si>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</si>
  <si>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</si>
  <si>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</si>
  <si>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</si>
  <si>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</si>
  <si>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</si>
  <si>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</si>
  <si>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</si>
  <si>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</si>
  <si>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</si>
  <si>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</si>
  <si>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</si>
  <si>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</si>
  <si>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</si>
  <si>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</si>
  <si>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</si>
  <si>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</si>
  <si>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</si>
  <si>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</si>
  <si>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</si>
  <si>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</si>
  <si>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</si>
  <si>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</si>
  <si>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</si>
  <si>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</si>
  <si>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</si>
  <si>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</si>
  <si>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</si>
  <si>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</si>
  <si>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</si>
  <si>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</si>
  <si>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</si>
  <si>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</si>
  <si>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</si>
  <si>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</si>
  <si>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</si>
  <si>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</si>
  <si>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</si>
  <si>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</si>
  <si>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</si>
  <si>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</si>
  <si>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</si>
  <si>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</si>
  <si>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</si>
  <si>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</si>
  <si>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</si>
  <si>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</si>
  <si>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</si>
  <si>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</si>
  <si>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</si>
  <si>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</si>
  <si>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</si>
  <si>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</si>
  <si>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</si>
  <si>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</si>
  <si>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</si>
  <si>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</si>
  <si>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</si>
  <si>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</si>
  <si>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</si>
  <si>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</si>
  <si>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</si>
  <si>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</si>
  <si>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</si>
  <si>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</si>
  <si>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</si>
  <si>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</si>
  <si>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</si>
  <si>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</si>
  <si>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</si>
  <si>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</si>
  <si>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</si>
  <si>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</si>
  <si>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</si>
  <si>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</si>
  <si>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</si>
  <si>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</si>
  <si>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</si>
  <si>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</si>
  <si>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</si>
  <si>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</si>
  <si>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</si>
  <si>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</si>
  <si>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</si>
  <si>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</si>
  <si>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</si>
  <si>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</si>
  <si>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</si>
  <si>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</si>
  <si>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</si>
  <si>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</si>
  <si>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</si>
  <si>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</si>
  <si>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</si>
  <si>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</si>
  <si>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</si>
  <si>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</si>
  <si>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</si>
  <si>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</si>
  <si>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</si>
  <si>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</si>
  <si>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</si>
  <si>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</si>
  <si>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</si>
  <si>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</si>
  <si>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</si>
  <si>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</si>
  <si>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</si>
  <si>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</si>
  <si>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</si>
  <si>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</si>
  <si>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</si>
  <si>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</si>
  <si>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</si>
  <si>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</si>
  <si>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</si>
  <si>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</si>
  <si>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</si>
  <si>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</si>
  <si>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</si>
  <si>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</si>
  <si>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</si>
  <si>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</si>
  <si>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</si>
  <si>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</si>
  <si>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</si>
  <si>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</si>
  <si>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</si>
  <si>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</si>
  <si>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</si>
  <si>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</si>
  <si>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</si>
  <si>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</si>
  <si>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</si>
  <si>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</si>
  <si>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</si>
  <si>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</si>
  <si>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</si>
  <si>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</si>
  <si>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</si>
  <si>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</si>
  <si>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</si>
  <si>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</si>
  <si>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</si>
  <si>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</si>
  <si>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</si>
  <si>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</si>
  <si>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</si>
  <si>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</si>
  <si>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</si>
  <si>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</si>
  <si>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</si>
  <si>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</si>
  <si>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</si>
  <si>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</si>
  <si>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</si>
  <si>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</si>
  <si>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</si>
  <si>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</si>
  <si>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</si>
  <si>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</si>
  <si>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</si>
  <si>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</si>
  <si>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</si>
  <si>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</si>
  <si>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</si>
  <si>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</si>
  <si>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</si>
  <si>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</si>
  <si>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</si>
  <si>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</si>
  <si>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</si>
  <si>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</si>
  <si>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</si>
  <si>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</si>
  <si>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</si>
  <si>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</si>
  <si>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</si>
  <si>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</si>
  <si>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</si>
  <si>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</si>
  <si>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</si>
  <si>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</si>
  <si>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</si>
  <si>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</si>
  <si>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</si>
  <si>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</si>
  <si>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</si>
  <si>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</si>
  <si>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</si>
  <si>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</si>
  <si>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</si>
  <si>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</si>
  <si>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</si>
  <si>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</si>
  <si>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</si>
  <si>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</si>
  <si>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</si>
  <si>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</si>
  <si>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</si>
  <si>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</si>
  <si>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</si>
  <si>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</si>
  <si>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</si>
  <si>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</si>
  <si>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</si>
  <si>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</si>
  <si>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</si>
  <si>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</si>
  <si>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</si>
  <si>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</si>
  <si>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</si>
  <si>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</si>
  <si>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</si>
  <si>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</si>
  <si>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</si>
  <si>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</si>
  <si>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</si>
  <si>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</si>
  <si>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</si>
  <si>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</si>
  <si>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</si>
  <si>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</si>
  <si>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</si>
  <si>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</si>
  <si>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</si>
  <si>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</si>
  <si>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</si>
  <si>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</si>
  <si>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</si>
  <si>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</si>
  <si>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</si>
  <si>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</si>
  <si>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</si>
  <si>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</si>
  <si>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</si>
  <si>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</si>
  <si>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</si>
  <si>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</si>
  <si>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</si>
  <si>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</si>
  <si>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</si>
  <si>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</si>
  <si>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</si>
  <si>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</si>
  <si>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</si>
  <si>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</si>
  <si>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</si>
  <si>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</si>
  <si>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</si>
  <si>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</si>
  <si>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</si>
  <si>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</si>
  <si>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</si>
  <si>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</si>
  <si>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</si>
  <si>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</si>
  <si>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</si>
  <si>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</si>
  <si>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</si>
  <si>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</si>
  <si>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</si>
  <si>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</si>
  <si>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</si>
  <si>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</si>
  <si>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</si>
  <si>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</si>
  <si>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</si>
  <si>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</si>
  <si>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</si>
  <si>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</si>
  <si>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</si>
  <si>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</si>
  <si>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</si>
  <si>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</si>
  <si>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</si>
  <si>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</si>
  <si>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</si>
  <si>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</si>
  <si>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</si>
  <si>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</si>
  <si>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</si>
  <si>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</si>
  <si>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</si>
  <si>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</si>
  <si>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</si>
  <si>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</si>
  <si>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</si>
  <si>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</si>
  <si>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</si>
  <si>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</si>
  <si>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</si>
  <si>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</si>
  <si>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</si>
  <si>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</si>
  <si>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</si>
  <si>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</si>
  <si>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</si>
  <si>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</si>
  <si>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</si>
  <si>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</si>
  <si>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</si>
  <si>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</si>
  <si>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</si>
  <si>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</si>
  <si>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</si>
  <si>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</si>
  <si>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</si>
  <si>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</si>
  <si>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</si>
  <si>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</si>
  <si>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</si>
  <si>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</si>
  <si>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</si>
  <si>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</si>
  <si>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</si>
  <si>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</si>
  <si>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</si>
  <si>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</si>
  <si>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</si>
  <si>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</si>
  <si>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</si>
  <si>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</si>
  <si>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</si>
  <si>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</si>
  <si>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</si>
  <si>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</si>
  <si>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</si>
  <si>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</si>
  <si>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</si>
  <si>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</si>
  <si>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</si>
  <si>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</si>
  <si>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</si>
  <si>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</si>
  <si>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</si>
  <si>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</si>
  <si>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</si>
  <si>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</si>
  <si>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</si>
  <si>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</si>
  <si>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</si>
  <si>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</si>
  <si>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</si>
  <si>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</si>
  <si>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</si>
  <si>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</si>
  <si>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</si>
  <si>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</si>
  <si>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</si>
  <si>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</si>
  <si>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</si>
  <si>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</si>
  <si>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</si>
  <si>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</si>
  <si>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</si>
  <si>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</si>
  <si>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</si>
  <si>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</si>
  <si>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</si>
  <si>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</si>
  <si>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</si>
  <si>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</si>
  <si>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</si>
  <si>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</si>
  <si>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</si>
  <si>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</si>
  <si>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</si>
  <si>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</si>
  <si>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</si>
  <si>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</si>
  <si>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</si>
  <si>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</si>
  <si>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</si>
  <si>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</si>
  <si>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</si>
  <si>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</si>
  <si>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</si>
  <si>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</si>
  <si>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</si>
  <si>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</si>
  <si>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</si>
  <si>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</si>
  <si>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</si>
  <si>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</si>
  <si>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</si>
  <si>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</si>
  <si>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</si>
  <si>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</si>
  <si>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</si>
  <si>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</si>
  <si>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</si>
  <si>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</si>
  <si>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</si>
  <si>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</si>
  <si>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</si>
  <si>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</si>
  <si>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</si>
  <si>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</si>
  <si>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</si>
  <si>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</si>
  <si>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</si>
  <si>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</si>
  <si>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</si>
  <si>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</si>
  <si>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</si>
  <si>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</si>
  <si>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</si>
  <si>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</si>
  <si>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</si>
  <si>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</si>
  <si>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</si>
  <si>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</si>
  <si>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</si>
  <si>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</si>
  <si>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</si>
  <si>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</si>
  <si>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</si>
  <si>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</si>
  <si>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</si>
  <si>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</si>
  <si>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</si>
  <si>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</si>
  <si>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</si>
  <si>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</si>
  <si>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</si>
  <si>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</si>
  <si>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</si>
  <si>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</si>
  <si>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</si>
  <si>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</si>
  <si>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</si>
  <si>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</si>
  <si>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</si>
  <si>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</si>
  <si>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</si>
  <si>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</si>
  <si>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</si>
  <si>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</si>
  <si>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</si>
  <si>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</si>
  <si>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</si>
  <si>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</si>
  <si>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</si>
  <si>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</si>
  <si>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</si>
  <si>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</si>
  <si>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</si>
  <si>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</si>
  <si>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</si>
  <si>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</si>
  <si>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</si>
  <si>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</si>
  <si>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</si>
  <si>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</si>
  <si>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</si>
  <si>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</si>
  <si>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</si>
  <si>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</si>
  <si>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</si>
  <si>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</si>
  <si>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</si>
  <si>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</si>
  <si>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</si>
  <si>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</si>
  <si>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</si>
  <si>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</si>
  <si>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</si>
  <si>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</si>
  <si>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</si>
  <si>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</si>
  <si>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</si>
  <si>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</si>
  <si>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</si>
  <si>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</si>
  <si>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</si>
  <si>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</si>
  <si>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</si>
  <si>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</si>
  <si>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</si>
  <si>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</si>
  <si>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</si>
  <si>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</si>
  <si>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</si>
  <si>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</si>
  <si>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</si>
  <si>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</si>
  <si>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</si>
  <si>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</si>
  <si>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</si>
  <si>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</si>
  <si>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</si>
  <si>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</si>
  <si>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</si>
  <si>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</si>
  <si>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</si>
  <si>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</si>
  <si>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</si>
  <si>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</si>
  <si>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</si>
  <si>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</si>
  <si>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</si>
  <si>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</si>
  <si>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</si>
  <si>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</si>
  <si>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</si>
  <si>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</si>
  <si>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</si>
  <si>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</si>
  <si>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</si>
  <si>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</si>
  <si>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</si>
  <si>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</si>
  <si>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</si>
  <si>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</si>
  <si>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</si>
  <si>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</si>
  <si>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</si>
  <si>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</si>
  <si>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</si>
  <si>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</si>
  <si>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</si>
  <si>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</si>
  <si>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</si>
  <si>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</si>
  <si>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</si>
  <si>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</si>
  <si>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</si>
  <si>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</si>
  <si>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</si>
  <si>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</si>
  <si>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</si>
  <si>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</si>
  <si>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</si>
  <si>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</si>
  <si>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</si>
  <si>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</si>
  <si>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</si>
  <si>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</si>
  <si>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</si>
  <si>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</si>
  <si>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</si>
  <si>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</si>
  <si>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</si>
  <si>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</si>
  <si>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</si>
  <si>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</si>
  <si>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</si>
  <si>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</si>
  <si>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</si>
  <si>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</si>
  <si>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</si>
  <si>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</si>
  <si>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</si>
  <si>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</si>
  <si>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</si>
  <si>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</si>
  <si>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</si>
  <si>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</si>
  <si>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</si>
  <si>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</si>
  <si>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</si>
  <si>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</si>
  <si>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</si>
  <si>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</si>
  <si>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</si>
  <si>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</si>
  <si>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</si>
  <si>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</si>
  <si>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</si>
  <si>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</si>
  <si>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</si>
  <si>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</si>
  <si>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</si>
  <si>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</si>
  <si>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</si>
  <si>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</si>
  <si>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</si>
  <si>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</si>
  <si>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</si>
  <si>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</si>
  <si>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</si>
  <si>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</si>
  <si>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</si>
  <si>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</si>
  <si>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</si>
  <si>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</si>
  <si>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</si>
  <si>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</si>
  <si>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</si>
  <si>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</si>
  <si>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</si>
  <si>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</si>
  <si>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</si>
  <si>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</si>
  <si>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</si>
  <si>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</si>
  <si>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</si>
  <si>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</si>
  <si>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</si>
  <si>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</si>
  <si>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</si>
  <si>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</si>
  <si>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</si>
  <si>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</si>
  <si>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</si>
  <si>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</si>
  <si>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</si>
  <si>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</si>
  <si>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</si>
  <si>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</si>
  <si>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</si>
  <si>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</si>
  <si>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</si>
  <si>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</si>
  <si>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</si>
  <si>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</si>
  <si>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</si>
  <si>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</si>
  <si>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</si>
  <si>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</si>
  <si>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</si>
  <si>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</si>
  <si>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</si>
  <si>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</si>
  <si>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</si>
  <si>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</si>
  <si>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</si>
  <si>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</si>
  <si>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</si>
  <si>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</si>
  <si>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</si>
  <si>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</si>
  <si>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</si>
  <si>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</si>
  <si>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</si>
  <si>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</si>
  <si>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</si>
  <si>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</si>
  <si>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</si>
  <si>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</si>
  <si>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</si>
  <si>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</si>
  <si>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</si>
  <si>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</si>
  <si>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</si>
  <si>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</si>
  <si>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</si>
  <si>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</si>
  <si>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</si>
  <si>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</si>
  <si>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</si>
  <si>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</si>
  <si>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</si>
  <si>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</si>
  <si>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</si>
  <si>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</si>
  <si>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</si>
  <si>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</si>
  <si>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</si>
  <si>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</si>
  <si>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</si>
  <si>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</si>
  <si>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</si>
  <si>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</si>
  <si>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</si>
  <si>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</si>
  <si>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</si>
  <si>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</si>
  <si>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</si>
  <si>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</si>
  <si>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</si>
  <si>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</si>
  <si>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</si>
  <si>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</si>
  <si>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</si>
  <si>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</si>
  <si>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</si>
  <si>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</si>
  <si>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</si>
  <si>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</si>
  <si>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</si>
  <si>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</si>
  <si>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</si>
  <si>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</si>
  <si>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</si>
  <si>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</si>
  <si>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</si>
  <si>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</si>
  <si>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</si>
  <si>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</si>
  <si>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</si>
  <si>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</si>
  <si>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</si>
  <si>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</si>
  <si>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</si>
  <si>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</si>
  <si>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</si>
  <si>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</si>
  <si>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</si>
  <si>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</si>
  <si>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</si>
  <si>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</si>
  <si>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</si>
  <si>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</si>
  <si>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</si>
  <si>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</si>
  <si>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</si>
  <si>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</si>
  <si>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</si>
  <si>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</si>
  <si>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</si>
  <si>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</si>
  <si>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</si>
  <si>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</si>
  <si>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</si>
  <si>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</si>
  <si>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</si>
  <si>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</si>
  <si>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</si>
  <si>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</si>
  <si>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</si>
  <si>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</si>
  <si>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</si>
  <si>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</si>
  <si>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</si>
  <si>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</si>
  <si>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</si>
  <si>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</si>
  <si>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</si>
  <si>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</si>
  <si>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</si>
  <si>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</si>
  <si>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</si>
  <si>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</si>
  <si>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</si>
  <si>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</si>
  <si>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</si>
  <si>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</si>
  <si>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</si>
  <si>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</si>
  <si>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</si>
  <si>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</si>
  <si>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</si>
  <si>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</si>
  <si>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</si>
  <si>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</si>
  <si>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</si>
  <si>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</si>
  <si>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</si>
  <si>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</si>
  <si>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</si>
  <si>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</si>
  <si>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</si>
  <si>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</si>
  <si>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</si>
  <si>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</si>
  <si>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</si>
  <si>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</si>
  <si>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</si>
  <si>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</si>
  <si>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</si>
  <si>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</si>
  <si>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</si>
  <si>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</si>
  <si>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</si>
  <si>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</si>
  <si>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</si>
  <si>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</si>
  <si>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</si>
  <si>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</si>
  <si>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</si>
  <si>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</si>
  <si>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</si>
  <si>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</si>
  <si>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</si>
  <si>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</si>
  <si>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</si>
  <si>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</si>
  <si>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</si>
  <si>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</si>
  <si>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</si>
  <si>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</si>
  <si>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</si>
  <si>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</si>
  <si>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</si>
  <si>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</si>
  <si>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</si>
  <si>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</si>
  <si>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</si>
  <si>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</si>
  <si>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</si>
  <si>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</si>
  <si>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</si>
  <si>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</si>
  <si>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</si>
  <si>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</si>
  <si>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</si>
  <si>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</si>
  <si>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</si>
  <si>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</si>
  <si>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</si>
  <si>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</si>
  <si>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</si>
  <si>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</si>
  <si>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</si>
  <si>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</si>
  <si>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</si>
  <si>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</si>
  <si>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</si>
  <si>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</si>
  <si>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</si>
  <si>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</si>
  <si>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</si>
  <si>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</si>
  <si>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</si>
  <si>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</si>
  <si>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</si>
  <si>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</si>
  <si>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</si>
  <si>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</si>
  <si>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</si>
  <si>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</si>
  <si>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</si>
  <si>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</si>
  <si>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</si>
  <si>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</si>
  <si>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</si>
  <si>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</si>
  <si>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</si>
  <si>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</si>
  <si>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</si>
  <si>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</si>
  <si>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</si>
  <si>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</si>
  <si>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</si>
  <si>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</si>
  <si>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</si>
  <si>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</si>
  <si>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</si>
  <si>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</si>
  <si>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</si>
  <si>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</si>
  <si>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</si>
  <si>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</si>
  <si>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</si>
  <si>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</si>
  <si>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</si>
  <si>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</si>
  <si>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</si>
  <si>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</si>
  <si>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</si>
  <si>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</si>
  <si>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</si>
  <si>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</si>
  <si>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</si>
  <si>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</si>
  <si>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</si>
  <si>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</si>
  <si>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</si>
  <si>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</si>
  <si>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</si>
  <si>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</si>
  <si>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</si>
  <si>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</si>
  <si>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</si>
  <si>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</si>
  <si>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</si>
  <si>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</si>
  <si>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</si>
  <si>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</si>
  <si>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</si>
  <si>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</si>
  <si>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</si>
  <si>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</si>
  <si>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</si>
  <si>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</si>
  <si>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</si>
  <si>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</si>
  <si>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</si>
  <si>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</si>
  <si>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</si>
  <si>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</si>
  <si>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</si>
  <si>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</si>
  <si>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</si>
  <si>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</si>
  <si>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</si>
  <si>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</si>
  <si>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</si>
  <si>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</si>
  <si>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</si>
  <si>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</si>
  <si>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</si>
  <si>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</si>
  <si>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</si>
  <si>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</si>
  <si>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</si>
  <si>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</si>
  <si>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</si>
  <si>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</si>
  <si>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</si>
  <si>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</si>
  <si>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</si>
  <si>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</si>
  <si>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</si>
  <si>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</si>
  <si>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</si>
  <si>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</si>
  <si>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</si>
  <si>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</si>
  <si>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</si>
  <si>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</si>
  <si>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</si>
  <si>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</si>
  <si>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</si>
  <si>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</si>
  <si>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</si>
  <si>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</si>
  <si>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</si>
  <si>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</si>
  <si>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</si>
  <si>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</si>
  <si>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</si>
  <si>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</si>
  <si>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</si>
  <si>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</si>
  <si>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</si>
  <si>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</si>
  <si>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</si>
  <si>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</si>
  <si>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</si>
  <si>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</si>
  <si>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</si>
  <si>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</si>
  <si>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</si>
  <si>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</si>
  <si>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</si>
  <si>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</si>
  <si>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</si>
  <si>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</si>
  <si>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</si>
  <si>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</si>
  <si>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</si>
  <si>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</si>
  <si>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</si>
  <si>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</si>
  <si>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</si>
  <si>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</si>
  <si>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</si>
  <si>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</si>
  <si>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</si>
  <si>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</si>
  <si>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</si>
  <si>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</si>
  <si>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</si>
  <si>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</si>
  <si>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</si>
  <si>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</si>
  <si>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</si>
  <si>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</si>
  <si>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</si>
  <si>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</si>
  <si>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</si>
  <si>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</si>
  <si>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</si>
  <si>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</si>
  <si>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</si>
  <si>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</si>
  <si>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</si>
  <si>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</si>
  <si>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</si>
  <si>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</si>
  <si>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</si>
  <si>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</si>
  <si>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</si>
  <si>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</si>
  <si>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</si>
  <si>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</si>
  <si>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</si>
  <si>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</si>
  <si>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</si>
  <si>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</si>
  <si>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</si>
  <si>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</si>
  <si>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</si>
  <si>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</si>
  <si>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</si>
  <si>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</si>
  <si>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</si>
  <si>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</si>
  <si>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</si>
  <si>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</si>
  <si>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</si>
  <si>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</si>
  <si>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</si>
  <si>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</si>
  <si>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</si>
  <si>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</si>
  <si>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</si>
  <si>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</si>
  <si>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</si>
  <si>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</si>
  <si>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</si>
  <si>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</si>
  <si>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</si>
  <si>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</si>
  <si>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</si>
  <si>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</si>
  <si>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</si>
  <si>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</si>
  <si>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</si>
  <si>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</si>
  <si>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</si>
  <si>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</si>
  <si>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</si>
  <si>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</si>
  <si>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</si>
  <si>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</si>
  <si>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</si>
  <si>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</si>
  <si>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</si>
  <si>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</si>
  <si>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</si>
  <si>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</si>
  <si>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</si>
  <si>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</si>
  <si>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</si>
  <si>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</si>
  <si>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</si>
  <si>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</si>
  <si>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</si>
  <si>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</si>
  <si>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</si>
  <si>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</si>
  <si>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</si>
  <si>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</si>
  <si>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</si>
  <si>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</si>
  <si>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</si>
  <si>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</si>
  <si>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</si>
  <si>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</si>
  <si>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</si>
  <si>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</si>
  <si>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</si>
  <si>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</si>
  <si>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</si>
  <si>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</si>
  <si>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</si>
  <si>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</si>
  <si>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</si>
  <si>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</si>
  <si>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</si>
  <si>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</si>
  <si>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</si>
  <si>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</si>
  <si>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</si>
  <si>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</si>
  <si>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</si>
  <si>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</si>
  <si>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</si>
  <si>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</si>
  <si>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</si>
  <si>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</si>
  <si>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</si>
  <si>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</si>
  <si>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</si>
  <si>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</si>
  <si>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</si>
  <si>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</si>
  <si>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</si>
  <si>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</si>
  <si>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</si>
  <si>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</si>
  <si>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</si>
  <si>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</si>
  <si>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</si>
  <si>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</si>
  <si>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</si>
  <si>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</si>
  <si>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</si>
  <si>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</si>
  <si>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</si>
  <si>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</si>
  <si>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</si>
  <si>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</si>
  <si>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</si>
  <si>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</si>
  <si>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</si>
  <si>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</si>
  <si>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</si>
  <si>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</si>
  <si>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</si>
  <si>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</si>
  <si>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</si>
  <si>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</si>
  <si>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</si>
  <si>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</si>
  <si>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</si>
  <si>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</si>
  <si>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</si>
  <si>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</si>
  <si>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</si>
  <si>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</si>
  <si>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</si>
  <si>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</si>
  <si>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</si>
  <si>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</si>
  <si>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</si>
  <si>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</si>
  <si>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</si>
  <si>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</si>
  <si>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</si>
  <si>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</si>
  <si>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</si>
  <si>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</si>
  <si>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</si>
  <si>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</si>
  <si>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</si>
  <si>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</si>
  <si>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</si>
  <si>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</si>
  <si>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</si>
  <si>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</si>
  <si>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</si>
  <si>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</si>
  <si>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</si>
  <si>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</si>
  <si>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</si>
  <si>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</si>
  <si>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</si>
  <si>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</si>
  <si>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</si>
  <si>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</si>
  <si>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</si>
  <si>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</si>
  <si>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</si>
  <si>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</si>
  <si>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</si>
  <si>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</si>
  <si>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</si>
  <si>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</si>
  <si>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</si>
  <si>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</si>
  <si>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</si>
  <si>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</si>
  <si>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</si>
  <si>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</si>
  <si>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</si>
  <si>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</si>
  <si>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</si>
  <si>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</si>
  <si>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</si>
  <si>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</si>
  <si>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</si>
  <si>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</si>
  <si>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</si>
  <si>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</si>
  <si>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</si>
  <si>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</si>
  <si>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</si>
  <si>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</si>
  <si>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</si>
  <si>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</si>
  <si>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</si>
  <si>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</si>
  <si>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</si>
  <si>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</si>
  <si>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</si>
  <si>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</si>
  <si>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</si>
  <si>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</si>
  <si>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</si>
  <si>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</si>
  <si>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</si>
  <si>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</si>
  <si>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</si>
  <si>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</si>
  <si>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</si>
  <si>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</si>
  <si>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</si>
  <si>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</si>
  <si>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</si>
  <si>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</si>
  <si>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</si>
  <si>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</si>
  <si>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</si>
  <si>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</si>
  <si>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</si>
  <si>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</si>
  <si>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</si>
  <si>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</si>
  <si>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</si>
  <si>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</si>
  <si>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</si>
  <si>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</si>
  <si>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</si>
  <si>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</si>
  <si>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</si>
  <si>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</si>
  <si>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</si>
  <si>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</si>
  <si>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</si>
  <si>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</si>
  <si>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</si>
  <si>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</si>
  <si>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</si>
  <si>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</si>
  <si>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</si>
  <si>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</si>
  <si>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</si>
  <si>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</si>
  <si>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</si>
  <si>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</si>
  <si>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</si>
  <si>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</si>
  <si>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</si>
  <si>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</si>
  <si>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</si>
  <si>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</si>
  <si>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</si>
  <si>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</si>
  <si>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</si>
  <si>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</si>
  <si>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</si>
  <si>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</si>
  <si>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</si>
  <si>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</si>
  <si>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</si>
  <si>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</si>
  <si>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</si>
  <si>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</si>
  <si>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</si>
  <si>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</si>
  <si>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</si>
  <si>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</si>
  <si>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</si>
  <si>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</si>
  <si>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</si>
  <si>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</si>
  <si>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</si>
  <si>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</si>
  <si>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</si>
  <si>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</si>
  <si>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</si>
  <si>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</si>
  <si>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</si>
  <si>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</si>
  <si>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</si>
  <si>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</si>
  <si>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</si>
  <si>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</si>
  <si>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</si>
  <si>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</si>
  <si>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</si>
  <si>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</si>
  <si>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</si>
  <si>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</si>
  <si>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</si>
  <si>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</si>
  <si>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</si>
  <si>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</si>
  <si>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</si>
  <si>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</si>
  <si>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</si>
  <si>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</si>
  <si>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</si>
  <si>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</si>
  <si>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</si>
  <si>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</si>
  <si>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</si>
  <si>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</si>
  <si>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</si>
  <si>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</si>
  <si>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</si>
  <si>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</si>
  <si>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</si>
  <si>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</si>
  <si>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</si>
  <si>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</si>
  <si>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</si>
  <si>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</si>
  <si>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</si>
  <si>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</si>
  <si>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</si>
  <si>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</si>
  <si>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</si>
  <si>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</si>
  <si>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</si>
  <si>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</si>
  <si>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</si>
  <si>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</si>
  <si>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</si>
  <si>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</si>
  <si>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</si>
  <si>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</si>
  <si>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</si>
  <si>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</si>
  <si>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</si>
  <si>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</si>
  <si>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</si>
  <si>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</si>
  <si>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</si>
  <si>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</si>
  <si>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</si>
  <si>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</si>
  <si>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</si>
  <si>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</si>
  <si>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</si>
  <si>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</si>
  <si>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</si>
  <si>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</si>
  <si>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</si>
  <si>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</si>
  <si>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</si>
  <si>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</si>
  <si>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</si>
  <si>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</si>
  <si>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</si>
  <si>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</si>
  <si>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</si>
  <si>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</si>
  <si>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</si>
  <si>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</si>
  <si>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</si>
  <si>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</si>
  <si>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</si>
  <si>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</si>
  <si>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</si>
  <si>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</si>
  <si>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</si>
  <si>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</si>
  <si>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</si>
  <si>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</si>
  <si>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</si>
  <si>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</si>
  <si>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</si>
  <si>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</si>
  <si>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</si>
  <si>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</si>
  <si>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</si>
  <si>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</si>
  <si>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</si>
  <si>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</si>
  <si>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</si>
  <si>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</si>
  <si>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</si>
  <si>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</si>
  <si>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</si>
  <si>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</si>
  <si>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</si>
  <si>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</si>
  <si>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</si>
  <si>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</si>
  <si>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</si>
  <si>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</si>
  <si>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</si>
  <si>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</si>
  <si>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</si>
  <si>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</si>
  <si>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</si>
  <si>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</si>
  <si>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</si>
  <si>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</si>
  <si>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</si>
  <si>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</si>
  <si>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</si>
  <si>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</si>
  <si>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</si>
  <si>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</si>
  <si>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</si>
  <si>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</si>
  <si>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</si>
  <si>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</si>
  <si>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</si>
  <si>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</si>
  <si>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</si>
  <si>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</si>
  <si>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</si>
  <si>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</si>
  <si>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</si>
  <si>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</si>
  <si>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</si>
  <si>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</si>
  <si>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</si>
  <si>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</si>
  <si>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</si>
  <si>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</si>
  <si>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</si>
  <si>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</si>
  <si>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</si>
  <si>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</si>
  <si>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</si>
  <si>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</si>
  <si>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</si>
  <si>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</si>
  <si>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</si>
  <si>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</si>
  <si>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</si>
  <si>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</si>
  <si>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</si>
  <si>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</si>
  <si>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</si>
  <si>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</si>
  <si>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</si>
  <si>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</si>
  <si>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</si>
  <si>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</si>
  <si>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</si>
  <si>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</si>
  <si>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</si>
  <si>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</si>
  <si>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</si>
  <si>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</si>
  <si>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</si>
  <si>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</si>
  <si>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</si>
  <si>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</si>
  <si>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</si>
  <si>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</si>
  <si>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</si>
  <si>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</si>
  <si>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</si>
  <si>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</si>
  <si>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</si>
  <si>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</si>
  <si>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</si>
  <si>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</si>
  <si>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</si>
  <si>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</si>
  <si>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</si>
  <si>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</si>
  <si>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</si>
  <si>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</si>
  <si>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</si>
  <si>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</si>
  <si>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</si>
  <si>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</si>
  <si>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</si>
  <si>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</si>
  <si>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</si>
  <si>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</si>
  <si>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</si>
  <si>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</si>
  <si>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</si>
  <si>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</si>
  <si>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</si>
  <si>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</si>
  <si>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</si>
  <si>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</si>
  <si>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</si>
  <si>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</si>
  <si>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</si>
  <si>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</si>
  <si>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</si>
  <si>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</si>
  <si>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</si>
  <si>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</si>
  <si>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</si>
  <si>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</si>
  <si>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</si>
  <si>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</si>
  <si>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</si>
  <si>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</si>
  <si>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</si>
  <si>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</si>
  <si>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</si>
  <si>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</si>
  <si>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</si>
  <si>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</si>
  <si>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</si>
  <si>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</si>
  <si>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</si>
  <si>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</si>
  <si>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</si>
  <si>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</si>
  <si>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</si>
  <si>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</si>
  <si>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</si>
  <si>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</si>
  <si>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</si>
  <si>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</si>
  <si>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</si>
  <si>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</si>
  <si>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</si>
  <si>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</si>
  <si>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</si>
  <si>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</si>
  <si>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</si>
  <si>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</si>
  <si>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</si>
  <si>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</si>
  <si>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</si>
  <si>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</si>
  <si>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</si>
  <si>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</si>
  <si>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</si>
  <si>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</si>
  <si>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</si>
  <si>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</si>
  <si>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</si>
  <si>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</si>
  <si>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</si>
  <si>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</si>
  <si>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</si>
  <si>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</si>
  <si>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</si>
  <si>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</si>
  <si>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</si>
  <si>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</si>
  <si>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</si>
  <si>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</si>
  <si>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</si>
  <si>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</si>
  <si>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</si>
  <si>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</si>
  <si>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</si>
  <si>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</si>
  <si>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</si>
  <si>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</si>
  <si>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</si>
  <si>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</si>
  <si>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</si>
  <si>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</si>
  <si>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</si>
  <si>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</si>
  <si>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</si>
  <si>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</si>
  <si>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</si>
  <si>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</si>
  <si>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</si>
  <si>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</si>
  <si>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</si>
  <si>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</si>
  <si>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</si>
  <si>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</si>
  <si>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</si>
  <si>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</si>
  <si>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</si>
  <si>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</si>
  <si>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</si>
  <si>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</si>
  <si>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</si>
  <si>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</si>
  <si>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</si>
  <si>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</si>
  <si>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</si>
  <si>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</si>
  <si>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</si>
  <si>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</si>
  <si>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</si>
  <si>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</si>
  <si>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</si>
  <si>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</si>
  <si>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</si>
  <si>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</si>
  <si>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</si>
  <si>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</si>
  <si>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</si>
  <si>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</si>
  <si>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</si>
  <si>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</si>
  <si>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</si>
  <si>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</si>
  <si>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</si>
  <si>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</si>
  <si>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</si>
  <si>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</si>
  <si>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</si>
  <si>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</si>
  <si>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</si>
  <si>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</si>
  <si>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</si>
  <si>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</si>
  <si>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</si>
  <si>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</si>
  <si>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</si>
  <si>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</si>
  <si>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</si>
  <si>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</si>
  <si>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</si>
  <si>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</si>
  <si>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</si>
  <si>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</si>
  <si>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</si>
  <si>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</si>
  <si>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</si>
  <si>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</si>
  <si>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</si>
  <si>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</si>
  <si>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</si>
  <si>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</si>
  <si>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</si>
  <si>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</si>
  <si>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</si>
  <si>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</si>
  <si>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</si>
  <si>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</si>
  <si>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</si>
  <si>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</si>
  <si>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</si>
  <si>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</si>
  <si>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</si>
  <si>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</si>
  <si>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</si>
  <si>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</si>
  <si>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</si>
  <si>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</si>
  <si>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</si>
  <si>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</si>
  <si>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</si>
  <si>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</si>
  <si>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</si>
  <si>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</si>
  <si>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</si>
  <si>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</si>
  <si>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</si>
  <si>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</si>
  <si>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</si>
  <si>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</si>
  <si>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</si>
  <si>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</si>
  <si>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</si>
  <si>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</si>
  <si>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</si>
  <si>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</si>
  <si>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</si>
  <si>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</si>
  <si>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</si>
  <si>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</si>
  <si>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</si>
  <si>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</si>
  <si>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</si>
  <si>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</si>
  <si>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</si>
  <si>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</si>
  <si>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</si>
  <si>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</si>
  <si>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</si>
  <si>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</si>
  <si>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</si>
  <si>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</si>
  <si>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</si>
  <si>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</si>
  <si>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</si>
  <si>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</si>
  <si>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</si>
  <si>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</si>
  <si>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</si>
  <si>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</si>
  <si>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</si>
  <si>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</si>
  <si>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</si>
  <si>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</si>
  <si>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</si>
  <si>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</si>
  <si>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</si>
  <si>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</si>
  <si>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</si>
  <si>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</si>
  <si>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</si>
  <si>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</si>
  <si>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</si>
  <si>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</si>
  <si>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</si>
  <si>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</si>
  <si>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</si>
  <si>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</si>
  <si>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</si>
  <si>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</si>
  <si>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</si>
  <si>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</si>
  <si>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</si>
  <si>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</si>
  <si>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</si>
  <si>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</si>
  <si>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</si>
  <si>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</si>
  <si>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</si>
  <si>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</si>
  <si>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</si>
  <si>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</si>
  <si>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</si>
  <si>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</si>
  <si>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</si>
  <si>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</si>
  <si>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</si>
  <si>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</si>
  <si>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</si>
  <si>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</si>
  <si>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</si>
  <si>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</si>
  <si>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</si>
  <si>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</si>
  <si>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</si>
  <si>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</si>
  <si>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</si>
  <si>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</si>
  <si>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</si>
  <si>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</si>
  <si>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</si>
  <si>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</si>
  <si>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</si>
  <si>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</si>
  <si>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</si>
  <si>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</si>
  <si>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</si>
  <si>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</si>
  <si>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</si>
  <si>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</si>
  <si>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</si>
  <si>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</si>
  <si>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</si>
  <si>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</si>
  <si>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</si>
  <si>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</si>
  <si>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</si>
  <si>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</si>
  <si>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</si>
  <si>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</si>
  <si>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</si>
  <si>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</si>
  <si>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</si>
  <si>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</si>
  <si>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</si>
  <si>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</si>
  <si>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</si>
  <si>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</si>
  <si>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</si>
  <si>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</si>
  <si>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</si>
  <si>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</si>
  <si>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</si>
  <si>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</si>
  <si>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</si>
  <si>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</si>
  <si>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</si>
  <si>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</si>
  <si>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</si>
  <si>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</si>
  <si>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</si>
  <si>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</si>
  <si>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</si>
  <si>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</si>
  <si>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</si>
  <si>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</si>
  <si>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</si>
  <si>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</si>
  <si>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</si>
  <si>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</si>
  <si>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</si>
  <si>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</si>
  <si>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</si>
  <si>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</si>
  <si>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</si>
  <si>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</si>
  <si>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</si>
  <si>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</si>
  <si>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</si>
  <si>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</si>
  <si>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</si>
  <si>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</si>
  <si>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</si>
  <si>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</si>
  <si>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</si>
  <si>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</si>
  <si>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</si>
  <si>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</si>
  <si>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</si>
  <si>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</si>
  <si>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</si>
  <si>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</si>
  <si>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</si>
  <si>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</si>
  <si>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</si>
  <si>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</si>
  <si>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</si>
  <si>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</si>
  <si>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</si>
  <si>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</si>
  <si>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</si>
  <si>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</si>
  <si>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</si>
  <si>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</si>
  <si>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</si>
  <si>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</si>
  <si>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</si>
  <si>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</si>
  <si>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</si>
  <si>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</si>
  <si>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</si>
  <si>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</si>
  <si>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</si>
  <si>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</si>
  <si>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</si>
  <si>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</si>
  <si>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</si>
  <si>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</si>
  <si>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</si>
  <si>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</si>
  <si>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</si>
  <si>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</si>
  <si>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</si>
  <si>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</si>
  <si>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</si>
  <si>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</si>
  <si>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</si>
  <si>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</si>
  <si>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</si>
  <si>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</si>
  <si>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</si>
  <si>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</si>
  <si>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</si>
  <si>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</si>
  <si>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</si>
  <si>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</si>
  <si>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</si>
  <si>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</si>
  <si>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</si>
  <si>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</si>
  <si>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</si>
  <si>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</si>
  <si>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</si>
  <si>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</si>
  <si>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</si>
  <si>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</si>
  <si>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</si>
  <si>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</si>
  <si>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</si>
  <si>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</si>
  <si>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</si>
  <si>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</si>
  <si>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</si>
  <si>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</si>
  <si>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</si>
  <si>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</si>
  <si>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</si>
  <si>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</si>
  <si>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</si>
  <si>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</si>
  <si>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</si>
  <si>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</si>
  <si>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</si>
  <si>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</si>
  <si>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</si>
  <si>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</si>
  <si>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</si>
  <si>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</si>
  <si>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</si>
  <si>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</si>
  <si>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</si>
  <si>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</si>
  <si>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</si>
  <si>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</si>
  <si>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</si>
  <si>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</si>
  <si>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</si>
  <si>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</si>
  <si>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</si>
  <si>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</si>
  <si>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</si>
  <si>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</si>
  <si>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</si>
  <si>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</si>
  <si>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</si>
  <si>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</si>
  <si>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</si>
  <si>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</si>
  <si>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</si>
  <si>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</si>
  <si>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</si>
  <si>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</si>
  <si>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</si>
  <si>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</si>
  <si>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</si>
  <si>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</si>
  <si>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</si>
  <si>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</si>
  <si>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</si>
  <si>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</si>
  <si>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</si>
  <si>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</si>
  <si>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</si>
  <si>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</si>
  <si>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</si>
  <si>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</si>
  <si>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</si>
  <si>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</si>
  <si>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</si>
  <si>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</si>
  <si>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</si>
  <si>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</si>
  <si>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</si>
  <si>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</si>
  <si>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</si>
  <si>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</si>
  <si>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</si>
  <si>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</si>
  <si>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</si>
  <si>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</si>
  <si>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</si>
  <si>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</si>
  <si>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</si>
  <si>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</si>
  <si>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</si>
  <si>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</si>
  <si>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</si>
  <si>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</si>
  <si>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</si>
  <si>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</si>
  <si>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</si>
  <si>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</si>
  <si>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</si>
  <si>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</si>
  <si>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</si>
  <si>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</si>
  <si>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</si>
  <si>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</si>
  <si>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</si>
  <si>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</si>
  <si>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</si>
  <si>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</si>
  <si>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</si>
  <si>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</si>
  <si>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</si>
  <si>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</si>
  <si>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</si>
  <si>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</si>
  <si>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</si>
  <si>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</si>
  <si>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</si>
  <si>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</si>
  <si>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</si>
  <si>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</si>
  <si>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</si>
  <si>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</si>
  <si>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</si>
  <si>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</si>
  <si>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</si>
  <si>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</si>
  <si>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</si>
  <si>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</si>
  <si>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</si>
  <si>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</si>
  <si>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</si>
  <si>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</si>
  <si>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</si>
  <si>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</si>
  <si>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</si>
  <si>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</si>
  <si>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</si>
  <si>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</si>
  <si>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</si>
  <si>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</si>
  <si>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</si>
  <si>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</si>
  <si>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</si>
  <si>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</si>
  <si>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</si>
  <si>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</si>
  <si>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</si>
  <si>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</si>
  <si>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</si>
  <si>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</si>
  <si>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</si>
  <si>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</si>
  <si>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</si>
  <si>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</si>
  <si>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</si>
  <si>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</si>
  <si>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</si>
  <si>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</si>
  <si>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</si>
  <si>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</si>
  <si>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</si>
  <si>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</si>
  <si>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</si>
  <si>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</si>
  <si>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</si>
  <si>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</si>
  <si>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</si>
  <si>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</si>
  <si>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</si>
  <si>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</si>
  <si>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</si>
  <si>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</si>
  <si>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</si>
  <si>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</si>
  <si>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</si>
  <si>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</si>
  <si>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</si>
  <si>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</si>
  <si>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</si>
  <si>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</si>
  <si>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</si>
  <si>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</si>
  <si>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</si>
  <si>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</si>
  <si>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</si>
  <si>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</si>
  <si>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</si>
  <si>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</si>
  <si>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</si>
  <si>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</si>
  <si>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</si>
  <si>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</si>
  <si>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</si>
  <si>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</si>
  <si>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</si>
  <si>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</si>
  <si>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</si>
  <si>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</si>
  <si>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</si>
  <si>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</si>
  <si>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</si>
  <si>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</si>
  <si>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</si>
  <si>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</si>
  <si>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</si>
  <si>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</si>
  <si>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</si>
  <si>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</si>
  <si>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</si>
  <si>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</si>
  <si>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</si>
  <si>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</si>
  <si>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</si>
  <si>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</si>
  <si>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</si>
  <si>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</si>
  <si>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</si>
  <si>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</si>
  <si>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</si>
  <si>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</si>
  <si>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</si>
  <si>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</si>
  <si>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</si>
  <si>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</si>
  <si>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</si>
  <si>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</si>
  <si>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</si>
  <si>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</si>
  <si>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</si>
  <si>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</si>
  <si>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</si>
  <si>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</si>
  <si>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</si>
  <si>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</si>
  <si>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</si>
  <si>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</si>
  <si>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</si>
  <si>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</si>
  <si>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</si>
  <si>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</si>
  <si>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</si>
  <si>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</si>
  <si>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</si>
  <si>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</si>
  <si>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</si>
  <si>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</si>
  <si>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</si>
  <si>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</si>
  <si>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</si>
  <si>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</si>
  <si>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</si>
  <si>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</si>
  <si>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</si>
  <si>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</si>
  <si>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</si>
  <si>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</si>
  <si>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</si>
  <si>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</si>
  <si>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</si>
  <si>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</si>
  <si>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</si>
  <si>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</si>
  <si>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</si>
  <si>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</si>
  <si>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</si>
  <si>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</si>
  <si>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</si>
  <si>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</si>
  <si>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</si>
  <si>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</si>
  <si>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</si>
  <si>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</si>
  <si>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</si>
  <si>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</si>
  <si>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</si>
  <si>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</si>
  <si>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</si>
  <si>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</si>
  <si>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</si>
  <si>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</si>
  <si>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</si>
  <si>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</si>
  <si>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</si>
  <si>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</si>
  <si>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</si>
  <si>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</si>
  <si>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</si>
  <si>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</si>
  <si>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</si>
  <si>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</si>
  <si>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</si>
  <si>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</si>
  <si>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</si>
  <si>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</si>
  <si>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</si>
  <si>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</si>
  <si>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</si>
  <si>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</si>
  <si>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</si>
  <si>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</si>
  <si>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</si>
  <si>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</si>
  <si>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</si>
  <si>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</si>
  <si>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</si>
  <si>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</si>
  <si>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</si>
  <si>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</si>
  <si>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</si>
  <si>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</si>
  <si>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</si>
  <si>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</si>
  <si>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</si>
  <si>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</si>
  <si>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</si>
  <si>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</si>
  <si>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</si>
  <si>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</si>
  <si>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</si>
  <si>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</si>
  <si>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</si>
  <si>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</si>
  <si>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</si>
  <si>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</si>
  <si>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</si>
  <si>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</si>
  <si>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</si>
  <si>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</si>
  <si>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</si>
  <si>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</si>
  <si>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</si>
  <si>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</si>
  <si>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</si>
  <si>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</si>
  <si>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</si>
  <si>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</si>
  <si>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</si>
  <si>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</si>
  <si>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</si>
  <si>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</si>
  <si>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</si>
  <si>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</si>
  <si>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</si>
  <si>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</si>
  <si>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</si>
  <si>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</si>
  <si>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</si>
  <si>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</si>
  <si>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</si>
  <si>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</si>
  <si>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</si>
  <si>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</si>
  <si>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</si>
  <si>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</si>
  <si>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</si>
  <si>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</si>
  <si>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</si>
  <si>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</si>
  <si>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</si>
  <si>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</si>
  <si>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</si>
  <si>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</si>
  <si>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</si>
  <si>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</si>
  <si>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</si>
  <si>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</si>
  <si>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</si>
  <si>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</si>
  <si>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</si>
  <si>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</si>
  <si>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</si>
  <si>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</si>
  <si>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</si>
  <si>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</si>
  <si>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</si>
  <si>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</si>
  <si>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</si>
  <si>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</si>
  <si>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</si>
  <si>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</si>
  <si>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</si>
  <si>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</si>
  <si>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</si>
  <si>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</si>
  <si>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</si>
  <si>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</si>
  <si>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</si>
  <si>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</si>
  <si>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</si>
  <si>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</si>
  <si>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</si>
  <si>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</si>
  <si>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</si>
  <si>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</si>
  <si>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</si>
  <si>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</si>
  <si>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</si>
  <si>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</si>
  <si>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</si>
  <si>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</si>
  <si>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</si>
  <si>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</si>
  <si>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</si>
  <si>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</si>
  <si>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</si>
  <si>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</si>
  <si>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</si>
  <si>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</si>
  <si>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</si>
  <si>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</si>
  <si>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</si>
  <si>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</si>
  <si>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</si>
  <si>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</si>
  <si>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</si>
  <si>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</si>
  <si>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</si>
  <si>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</si>
  <si>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</si>
  <si>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</si>
  <si>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</si>
  <si>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</si>
  <si>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</si>
  <si>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</si>
  <si>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</si>
  <si>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</si>
  <si>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</si>
  <si>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</si>
  <si>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</si>
  <si>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</si>
  <si>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</si>
  <si>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</si>
  <si>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</si>
  <si>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</si>
  <si>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</si>
  <si>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</si>
  <si>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</si>
  <si>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</si>
  <si>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</si>
  <si>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</si>
  <si>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</si>
  <si>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</si>
  <si>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</si>
  <si>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</si>
  <si>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</si>
  <si>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</si>
  <si>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</si>
  <si>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</si>
  <si>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</si>
  <si>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</si>
  <si>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</si>
  <si>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</si>
  <si>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</si>
  <si>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</si>
  <si>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</si>
  <si>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</si>
  <si>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</si>
  <si>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</si>
  <si>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</si>
  <si>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</si>
  <si>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</si>
  <si>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</si>
  <si>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</si>
  <si>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</si>
  <si>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</si>
  <si>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</si>
  <si>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</si>
  <si>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</si>
  <si>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</si>
  <si>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</si>
  <si>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</si>
  <si>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</si>
  <si>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</si>
  <si>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</si>
  <si>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</si>
  <si>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</si>
  <si>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</si>
  <si>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</si>
  <si>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</si>
  <si>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</si>
  <si>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</si>
  <si>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</si>
  <si>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</si>
  <si>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</si>
  <si>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</si>
  <si>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</si>
  <si>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</si>
  <si>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</si>
  <si>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</si>
  <si>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</si>
  <si>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</si>
  <si>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</si>
  <si>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</si>
  <si>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</si>
  <si>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</si>
  <si>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</si>
  <si>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</si>
  <si>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</si>
  <si>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</si>
  <si>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</si>
  <si>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</si>
  <si>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</si>
  <si>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</si>
  <si>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</si>
  <si>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</si>
  <si>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</si>
  <si>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</si>
  <si>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</si>
  <si>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</si>
  <si>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</si>
  <si>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</si>
  <si>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</si>
  <si>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</si>
  <si>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</si>
  <si>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</si>
  <si>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</si>
  <si>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</si>
  <si>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</si>
  <si>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</si>
  <si>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</si>
  <si>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</si>
  <si>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</si>
  <si>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</si>
  <si>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</si>
  <si>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</si>
  <si>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</si>
  <si>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</si>
  <si>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</si>
  <si>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</si>
  <si>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</si>
  <si>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</si>
  <si>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</si>
  <si>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</si>
  <si>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</si>
  <si>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</si>
  <si>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</si>
  <si>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</si>
  <si>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</si>
  <si>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</si>
  <si>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</si>
  <si>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</si>
  <si>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</si>
  <si>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</si>
  <si>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</si>
  <si>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</si>
  <si>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</si>
  <si>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</si>
  <si>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</si>
  <si>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</si>
  <si>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</si>
  <si>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</si>
  <si>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</si>
  <si>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</si>
  <si>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</si>
  <si>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</si>
  <si>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</si>
  <si>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</si>
  <si>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</si>
  <si>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</si>
  <si>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</si>
  <si>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</si>
  <si>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</si>
  <si>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</si>
  <si>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</si>
  <si>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</si>
  <si>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</si>
  <si>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</si>
  <si>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</si>
  <si>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</si>
  <si>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</si>
  <si>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</si>
  <si>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</si>
  <si>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</si>
  <si>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</si>
  <si>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</si>
  <si>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</si>
  <si>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</si>
  <si>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</si>
  <si>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</si>
  <si>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</si>
  <si>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</si>
  <si>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</si>
  <si>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</si>
  <si>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</si>
  <si>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</si>
  <si>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</si>
  <si>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</si>
  <si>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</si>
  <si>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</si>
  <si>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</si>
  <si>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</si>
  <si>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</si>
  <si>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</si>
  <si>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</si>
  <si>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</si>
  <si>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</si>
  <si>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</si>
  <si>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</si>
  <si>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</si>
  <si>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</si>
  <si>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</si>
  <si>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</si>
  <si>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</si>
  <si>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</si>
  <si>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</si>
  <si>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</si>
  <si>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</si>
  <si>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</si>
  <si>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</si>
  <si>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</si>
  <si>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</si>
  <si>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</si>
  <si>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</si>
  <si>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</si>
  <si>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</si>
  <si>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</si>
  <si>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</si>
  <si>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</si>
  <si>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</si>
  <si>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</si>
  <si>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</si>
  <si>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</si>
  <si>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</si>
  <si>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</si>
  <si>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</si>
  <si>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</si>
  <si>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</si>
  <si>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</si>
  <si>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</si>
  <si>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</si>
  <si>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</si>
  <si>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</si>
  <si>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</si>
  <si>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</si>
  <si>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</si>
  <si>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</si>
  <si>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</si>
  <si>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</si>
  <si>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</si>
  <si>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</si>
  <si>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</si>
  <si>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</si>
  <si>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</si>
  <si>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</si>
  <si>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</si>
  <si>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</si>
  <si>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</si>
  <si>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</si>
  <si>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</si>
  <si>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</si>
  <si>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</si>
  <si>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</si>
  <si>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</si>
  <si>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</si>
  <si>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</si>
  <si>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</si>
  <si>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</si>
  <si>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</si>
  <si>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</si>
  <si>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</si>
  <si>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</si>
  <si>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</si>
  <si>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</si>
  <si>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</si>
  <si>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</si>
  <si>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</si>
  <si>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</si>
  <si>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</si>
  <si>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</si>
  <si>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</si>
  <si>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</si>
  <si>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</si>
  <si>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</si>
  <si>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</si>
  <si>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</si>
  <si>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</si>
  <si>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</si>
  <si>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</si>
  <si>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</si>
  <si>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</si>
  <si>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</si>
  <si>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</si>
  <si>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</si>
  <si>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</si>
  <si>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</si>
  <si>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</si>
  <si>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</si>
  <si>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</si>
  <si>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</si>
  <si>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</si>
  <si>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</si>
  <si>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</si>
  <si>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</si>
  <si>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</si>
  <si>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</si>
  <si>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</si>
  <si>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</si>
  <si>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</si>
  <si>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</si>
  <si>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</si>
  <si>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</si>
  <si>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</si>
  <si>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</si>
  <si>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</si>
  <si>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</si>
  <si>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</si>
  <si>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</si>
  <si>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</si>
  <si>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</si>
  <si>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</si>
  <si>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</si>
  <si>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</si>
  <si>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</si>
  <si>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</si>
  <si>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</si>
  <si>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</si>
  <si>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</si>
  <si>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</si>
  <si>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</si>
  <si>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</si>
  <si>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</si>
  <si>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</si>
  <si>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</si>
  <si>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</si>
  <si>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</si>
  <si>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</si>
  <si>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</si>
  <si>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</si>
  <si>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</si>
  <si>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</si>
  <si>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</si>
  <si>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</si>
  <si>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</si>
  <si>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</si>
  <si>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</si>
  <si>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</si>
  <si>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</si>
  <si>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</si>
  <si>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</si>
  <si>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</si>
  <si>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</si>
  <si>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</si>
  <si>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</si>
  <si>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</si>
  <si>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</si>
  <si>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</si>
  <si>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</si>
  <si>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</si>
  <si>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</si>
  <si>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</si>
  <si>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</si>
  <si>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</si>
  <si>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</si>
  <si>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</si>
  <si>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</si>
  <si>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</si>
  <si>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</si>
  <si>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</si>
  <si>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</si>
  <si>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</si>
  <si>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</si>
  <si>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</si>
  <si>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</si>
  <si>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</si>
  <si>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</si>
  <si>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</si>
  <si>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</si>
  <si>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</si>
  <si>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</si>
  <si>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</si>
  <si>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</si>
  <si>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</si>
  <si>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</si>
  <si>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</si>
  <si>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</si>
  <si>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</si>
  <si>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</si>
  <si>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</si>
  <si>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</si>
  <si>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</si>
  <si>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</si>
  <si>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</si>
  <si>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</si>
  <si>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</si>
  <si>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</si>
  <si>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</si>
  <si>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</si>
  <si>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</si>
  <si>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</si>
  <si>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</si>
  <si>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</si>
  <si>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</si>
  <si>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</si>
  <si>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</si>
  <si>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</si>
  <si>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</si>
  <si>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</si>
  <si>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</si>
  <si>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</si>
  <si>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</si>
  <si>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</si>
  <si>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</si>
  <si>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</si>
  <si>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</si>
  <si>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</si>
  <si>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</si>
  <si>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</si>
  <si>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</si>
  <si>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</si>
  <si>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</si>
  <si>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</si>
  <si>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</si>
  <si>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</si>
  <si>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</si>
  <si>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</si>
  <si>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</si>
  <si>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</si>
  <si>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</si>
  <si>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</si>
  <si>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</si>
  <si>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</si>
  <si>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</si>
  <si>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</si>
  <si>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</si>
  <si>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</si>
  <si>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</si>
  <si>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</si>
  <si>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</si>
  <si>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</si>
  <si>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</si>
  <si>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</si>
  <si>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</si>
  <si>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</si>
  <si>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</si>
  <si>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</si>
  <si>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</si>
  <si>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</si>
  <si>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</si>
  <si>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</si>
  <si>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</si>
  <si>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</si>
  <si>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</si>
  <si>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</si>
  <si>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</si>
  <si>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</si>
  <si>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</si>
  <si>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</si>
  <si>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</si>
  <si>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</si>
  <si>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</si>
  <si>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</si>
  <si>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</si>
  <si>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</si>
  <si>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</si>
  <si>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</si>
  <si>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</si>
  <si>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</si>
  <si>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</si>
  <si>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</si>
  <si>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</si>
  <si>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</si>
  <si>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</si>
  <si>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</si>
  <si>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</si>
  <si>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</si>
  <si>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</si>
  <si>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</si>
  <si>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</si>
  <si>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</si>
  <si>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</si>
  <si>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</si>
  <si>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</si>
  <si>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</si>
  <si>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</si>
  <si>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</si>
  <si>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</si>
  <si>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</si>
  <si>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</si>
  <si>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</si>
  <si>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</si>
  <si>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</si>
  <si>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</si>
  <si>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</si>
  <si>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</si>
  <si>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</si>
  <si>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</si>
  <si>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</si>
  <si>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</si>
  <si>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</si>
  <si>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</si>
  <si>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</si>
  <si>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</si>
  <si>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</si>
  <si>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</si>
  <si>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</si>
  <si>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</si>
  <si>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</si>
  <si>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</si>
  <si>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</si>
  <si>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</si>
  <si>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</si>
  <si>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</si>
  <si>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</si>
  <si>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</si>
  <si>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</si>
  <si>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</si>
  <si>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</si>
  <si>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</si>
  <si>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</si>
  <si>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</si>
  <si>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</si>
  <si>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</si>
  <si>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</si>
  <si>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</si>
  <si>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</si>
  <si>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</si>
  <si>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</si>
  <si>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</si>
  <si>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</si>
  <si>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</si>
  <si>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</si>
  <si>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</si>
  <si>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</si>
  <si>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</si>
  <si>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</si>
  <si>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</si>
  <si>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</si>
  <si>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</si>
  <si>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</si>
  <si>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</si>
  <si>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</si>
  <si>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</si>
  <si>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</si>
  <si>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</si>
  <si>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</si>
  <si>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</si>
  <si>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</si>
  <si>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</si>
  <si>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</si>
  <si>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</si>
  <si>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</si>
  <si>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</si>
  <si>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</si>
  <si>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</si>
  <si>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</si>
  <si>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</si>
  <si>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</si>
  <si>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</si>
  <si>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</si>
  <si>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</si>
  <si>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</si>
  <si>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</si>
  <si>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</si>
  <si>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</si>
  <si>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</si>
  <si>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</si>
  <si>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</si>
  <si>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</si>
  <si>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</si>
  <si>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</si>
  <si>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</si>
  <si>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</si>
  <si>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</si>
  <si>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</si>
  <si>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</si>
  <si>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</si>
  <si>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Trần Tuyết Hương</t>
  </si>
  <si>
    <t>Đường dây trung thế &amp; TBA 3 pha 1000 kVA - 22/0,4kV Công ty Cổ phần Sunrise Solar</t>
  </si>
  <si>
    <t>024A</t>
  </si>
  <si>
    <t>Nhánh rẽ Bàu Sình 4, 5</t>
  </si>
  <si>
    <t>024A/007</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</si>
  <si>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</si>
  <si>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</si>
  <si>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</si>
  <si>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</si>
  <si>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</si>
  <si>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</si>
  <si>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</si>
  <si>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</si>
  <si>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</si>
  <si>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</si>
  <si>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 xml:space="preserve"> - Từ trụ 024A đến trụ 024A/007 đường dây dọc theo bên phải đường hiện hữu, đường dây dừng lại và đặt TBA tại trụ 024A/007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</si>
</sst>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Tuyết Hương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67029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Tuyết Hương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51533617"/>
          <a:ext cx="11716872" cy="1628463"/>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882580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Tuyết Hương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7292</v>
      </c>
    </row>
    <row r="2" spans="1:11" s="1632" customFormat="1" ht="21.75" hidden="1" customHeight="1">
      <c r="A2" s="1630"/>
      <c r="B2" s="1631">
        <v>2</v>
      </c>
      <c r="C2" s="1630">
        <v>3</v>
      </c>
      <c r="D2" s="1345">
        <v>4</v>
      </c>
      <c r="E2" s="1717"/>
      <c r="F2" s="1632">
        <v>3000</v>
      </c>
    </row>
    <row r="3" spans="1:11" hidden="1">
      <c r="A3" s="2966" t="s">
        <v>6490</v>
      </c>
      <c r="B3" s="2967"/>
      <c r="C3" s="2966" t="s">
        <v>6491</v>
      </c>
      <c r="D3" s="69" t="s">
        <v>6492</v>
      </c>
      <c r="E3" s="2968"/>
      <c r="F3" s="2968">
        <v>7</v>
      </c>
      <c r="G3" s="2968" t="s">
        <v>6493</v>
      </c>
      <c r="H3" s="2968"/>
      <c r="I3" s="2968"/>
      <c r="J3" s="2968" t="str">
        <f>A3</f>
        <v>CXDV3x120</v>
      </c>
      <c r="K3" s="2969" t="str">
        <f t="shared" ref="K3:K66" si="0">A3&amp;C3</f>
        <v>CXDV3x120 Cáp 24kV C/XLPE/DSTA/PVC 3x120mm2</v>
      </c>
    </row>
    <row r="4" spans="1:11" hidden="1">
      <c r="A4" s="2966" t="s">
        <v>6494</v>
      </c>
      <c r="B4" s="2967"/>
      <c r="C4" s="2966" t="s">
        <v>6495</v>
      </c>
      <c r="D4" s="69" t="s">
        <v>6492</v>
      </c>
      <c r="E4" s="2968"/>
      <c r="F4" s="2968">
        <v>7</v>
      </c>
      <c r="G4" s="2968" t="s">
        <v>6493</v>
      </c>
      <c r="H4" s="2968"/>
      <c r="I4" s="2968"/>
      <c r="J4" s="2968" t="str">
        <f t="shared" ref="J4:J67" si="1">A4</f>
        <v>CXDV3x150</v>
      </c>
      <c r="K4" s="2969" t="str">
        <f t="shared" si="0"/>
        <v>CXDV3x150 Cáp 24kV C/XLPE/DSTA/PVC 3x150mm2</v>
      </c>
    </row>
    <row r="5" spans="1:11" hidden="1">
      <c r="A5" s="2966" t="s">
        <v>6496</v>
      </c>
      <c r="B5" s="2967"/>
      <c r="C5" s="2966" t="s">
        <v>6497</v>
      </c>
      <c r="D5" s="69" t="s">
        <v>6492</v>
      </c>
      <c r="E5" s="69"/>
      <c r="F5" s="2968">
        <v>7</v>
      </c>
      <c r="G5" s="2968" t="s">
        <v>6493</v>
      </c>
      <c r="H5" s="69"/>
      <c r="I5" s="69"/>
      <c r="J5" s="2968" t="str">
        <f t="shared" si="1"/>
        <v>CXDV3x185</v>
      </c>
      <c r="K5" s="2969" t="str">
        <f t="shared" si="0"/>
        <v>CXDV3x185 Cáp 24kV C/XLPE/DSTA/PVC 3x185mm2</v>
      </c>
    </row>
    <row r="6" spans="1:11" hidden="1">
      <c r="A6" s="2966" t="s">
        <v>6498</v>
      </c>
      <c r="B6" s="2967"/>
      <c r="C6" s="2966" t="s">
        <v>6499</v>
      </c>
      <c r="D6" s="69" t="s">
        <v>6492</v>
      </c>
      <c r="E6" s="2968"/>
      <c r="F6" s="2968">
        <v>7</v>
      </c>
      <c r="G6" s="2968" t="s">
        <v>6493</v>
      </c>
      <c r="H6" s="2968"/>
      <c r="I6" s="2968"/>
      <c r="J6" s="2968" t="str">
        <f t="shared" si="1"/>
        <v>CXDV3x240</v>
      </c>
      <c r="K6" s="2969" t="str">
        <f t="shared" si="0"/>
        <v>CXDV3x240 Cáp 24kV C/XLPE/DSTA/PVC 3x240mm2</v>
      </c>
    </row>
    <row r="7" spans="1:11" hidden="1">
      <c r="A7" s="2966" t="s">
        <v>6500</v>
      </c>
      <c r="B7" s="2967"/>
      <c r="C7" s="2966" t="s">
        <v>6501</v>
      </c>
      <c r="D7" s="69" t="s">
        <v>6492</v>
      </c>
      <c r="E7" s="2968"/>
      <c r="F7" s="2968">
        <v>7</v>
      </c>
      <c r="G7" s="2968" t="s">
        <v>6493</v>
      </c>
      <c r="H7" s="2968"/>
      <c r="I7" s="2968"/>
      <c r="J7" s="2968" t="str">
        <f t="shared" si="1"/>
        <v>CXDV3x25</v>
      </c>
      <c r="K7" s="2969" t="str">
        <f t="shared" si="0"/>
        <v>CXDV3x25 Cáp 24kV C/XLPE/DSTA/PVC 3x25mm2</v>
      </c>
    </row>
    <row r="8" spans="1:11" hidden="1">
      <c r="A8" s="2966" t="s">
        <v>6502</v>
      </c>
      <c r="B8" s="2967"/>
      <c r="C8" s="2966" t="s">
        <v>6503</v>
      </c>
      <c r="D8" s="69" t="s">
        <v>6492</v>
      </c>
      <c r="E8" s="2968"/>
      <c r="F8" s="2968">
        <v>7</v>
      </c>
      <c r="G8" s="2968" t="s">
        <v>6493</v>
      </c>
      <c r="H8" s="2968"/>
      <c r="I8" s="2968"/>
      <c r="J8" s="2968" t="str">
        <f t="shared" si="1"/>
        <v>CXDV3x35</v>
      </c>
      <c r="K8" s="2969" t="str">
        <f t="shared" si="0"/>
        <v>CXDV3x35 Cáp 24kV C/XLPE/DSTA/PVC 3x35mm2</v>
      </c>
    </row>
    <row r="9" spans="1:11" hidden="1">
      <c r="A9" s="2966" t="s">
        <v>6504</v>
      </c>
      <c r="B9" s="2967"/>
      <c r="C9" s="2966" t="s">
        <v>6505</v>
      </c>
      <c r="D9" s="69" t="s">
        <v>6492</v>
      </c>
      <c r="E9" s="2968"/>
      <c r="F9" s="2968">
        <v>7</v>
      </c>
      <c r="G9" s="2968" t="s">
        <v>6493</v>
      </c>
      <c r="H9" s="2968"/>
      <c r="I9" s="2968"/>
      <c r="J9" s="2968" t="str">
        <f t="shared" si="1"/>
        <v>CXDV3x50</v>
      </c>
      <c r="K9" s="2969" t="str">
        <f t="shared" si="0"/>
        <v>CXDV3x50 Cáp 24kV C/XLPE/DSTA/PVC 3x50mm2</v>
      </c>
    </row>
    <row r="10" spans="1:11" hidden="1">
      <c r="A10" s="2966" t="s">
        <v>6506</v>
      </c>
      <c r="B10" s="2967"/>
      <c r="C10" s="2966" t="s">
        <v>6507</v>
      </c>
      <c r="D10" s="69" t="s">
        <v>6492</v>
      </c>
      <c r="E10" s="2968"/>
      <c r="F10" s="2968">
        <v>7</v>
      </c>
      <c r="G10" s="2968" t="s">
        <v>6493</v>
      </c>
      <c r="H10" s="2968"/>
      <c r="I10" s="2968"/>
      <c r="J10" s="2968" t="str">
        <f t="shared" si="1"/>
        <v>CXDV3x70</v>
      </c>
      <c r="K10" s="2969" t="str">
        <f t="shared" si="0"/>
        <v>CXDV3x70 Cáp 24kV C/XLPE/DSTA/PVC 3x70mm2</v>
      </c>
    </row>
    <row r="11" spans="1:11" hidden="1">
      <c r="A11" s="2966" t="s">
        <v>6508</v>
      </c>
      <c r="B11" s="2967"/>
      <c r="C11" s="2966" t="s">
        <v>6509</v>
      </c>
      <c r="D11" s="69" t="s">
        <v>6492</v>
      </c>
      <c r="E11" s="2968"/>
      <c r="F11" s="2968">
        <v>7</v>
      </c>
      <c r="G11" s="2968" t="s">
        <v>6493</v>
      </c>
      <c r="H11" s="2968"/>
      <c r="I11" s="2968"/>
      <c r="J11" s="2968" t="str">
        <f t="shared" si="1"/>
        <v>CXDV3x95</v>
      </c>
      <c r="K11" s="2969" t="str">
        <f t="shared" si="0"/>
        <v>CXDV3x95 Cáp 24kV C/XLPE/DSTA/PVC 3x95mm2</v>
      </c>
    </row>
    <row r="12" spans="1:11" hidden="1">
      <c r="A12" s="2966" t="s">
        <v>6510</v>
      </c>
      <c r="B12" s="2967"/>
      <c r="C12" s="2966" t="s">
        <v>6511</v>
      </c>
      <c r="D12" s="69" t="s">
        <v>2379</v>
      </c>
      <c r="E12" s="2968"/>
      <c r="F12" s="2968">
        <v>9</v>
      </c>
      <c r="G12" s="2968" t="s">
        <v>6512</v>
      </c>
      <c r="H12" s="2968"/>
      <c r="I12" s="2968"/>
      <c r="J12" s="2968" t="str">
        <f t="shared" si="1"/>
        <v>DS630</v>
      </c>
      <c r="K12" s="2969" t="str">
        <f t="shared" si="0"/>
        <v xml:space="preserve">DS630 DS 3P - 24KV - 630A  </v>
      </c>
    </row>
    <row r="13" spans="1:11" hidden="1">
      <c r="A13" s="2966" t="s">
        <v>6513</v>
      </c>
      <c r="B13" s="2967"/>
      <c r="C13" s="2966" t="s">
        <v>6514</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6515</v>
      </c>
      <c r="B14" s="2967"/>
      <c r="C14" s="2966" t="s">
        <v>6516</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6517</v>
      </c>
      <c r="B15" s="2967"/>
      <c r="C15" s="2966" t="s">
        <v>6518</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6519</v>
      </c>
      <c r="B16" s="2967"/>
      <c r="C16" s="2966" t="s">
        <v>6520</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6521</v>
      </c>
      <c r="B17" s="2967"/>
      <c r="C17" s="2966" t="s">
        <v>6522</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6523</v>
      </c>
      <c r="B18" s="2967"/>
      <c r="C18" s="2966" t="s">
        <v>6524</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6525</v>
      </c>
      <c r="B19" s="2967"/>
      <c r="C19" s="2966" t="s">
        <v>6526</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6527</v>
      </c>
      <c r="B20" s="2967"/>
      <c r="C20" s="2966" t="s">
        <v>6528</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6529</v>
      </c>
      <c r="B21" s="2967"/>
      <c r="C21" s="2966" t="s">
        <v>7333</v>
      </c>
      <c r="D21" s="69" t="s">
        <v>2379</v>
      </c>
      <c r="E21" s="2968"/>
      <c r="F21" s="2968">
        <v>9</v>
      </c>
      <c r="G21" s="2968" t="s">
        <v>6512</v>
      </c>
      <c r="H21" s="2968"/>
      <c r="I21" s="2968"/>
      <c r="J21" s="2968" t="str">
        <f t="shared" si="1"/>
        <v>LBS630</v>
      </c>
      <c r="K21" s="2969" t="str">
        <f t="shared" si="0"/>
        <v>LBS630 LBS SF6 3pha 24kV 630A - 16kA (MBA cấp nguồn + Phụ kiện)</v>
      </c>
    </row>
    <row r="22" spans="1:11" hidden="1">
      <c r="A22" s="2966" t="s">
        <v>6530</v>
      </c>
      <c r="B22" s="2967"/>
      <c r="C22" s="2966" t="s">
        <v>6531</v>
      </c>
      <c r="D22" s="69" t="s">
        <v>2379</v>
      </c>
      <c r="E22" s="2968"/>
      <c r="F22" s="2968">
        <v>9</v>
      </c>
      <c r="G22" s="2968" t="s">
        <v>6512</v>
      </c>
      <c r="H22" s="2968"/>
      <c r="I22" s="2968"/>
      <c r="J22" s="2968" t="str">
        <f t="shared" si="1"/>
        <v>LTD800</v>
      </c>
      <c r="K22" s="2969" t="str">
        <f t="shared" si="0"/>
        <v xml:space="preserve">LTD800 LTD 1P 24KV - 800A </v>
      </c>
    </row>
    <row r="23" spans="1:11" hidden="1">
      <c r="A23" s="2966" t="s">
        <v>6532</v>
      </c>
      <c r="B23" s="2967"/>
      <c r="C23" s="2966" t="s">
        <v>6533</v>
      </c>
      <c r="D23" s="69" t="s">
        <v>2379</v>
      </c>
      <c r="E23" s="2968"/>
      <c r="F23" s="2968">
        <v>9</v>
      </c>
      <c r="G23" s="2968" t="s">
        <v>6512</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6512</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6512</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6512</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6512</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6512</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6512</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6512</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6512</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6512</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6512</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6512</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6512</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6512</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6512</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6512</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6512</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6512</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6534</v>
      </c>
      <c r="B47" s="2967"/>
      <c r="C47" s="2966" t="s">
        <v>6535</v>
      </c>
      <c r="D47" s="69" t="s">
        <v>2433</v>
      </c>
      <c r="E47" s="2968"/>
      <c r="F47" s="2968">
        <v>50</v>
      </c>
      <c r="G47" s="2968" t="s">
        <v>510</v>
      </c>
      <c r="H47" s="2968"/>
      <c r="I47" s="2968"/>
      <c r="J47" s="2968" t="str">
        <f t="shared" si="1"/>
        <v>BANGNH</v>
      </c>
      <c r="K47" s="2969" t="str">
        <f t="shared" si="0"/>
        <v>BANGNHBảng cảnh báo nguy hiểm</v>
      </c>
    </row>
    <row r="48" spans="1:11" hidden="1">
      <c r="A48" s="2966" t="s">
        <v>6536</v>
      </c>
      <c r="B48" s="2967"/>
      <c r="C48" s="2966" t="s">
        <v>6537</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6538</v>
      </c>
      <c r="B51" s="2967"/>
      <c r="C51" s="2966" t="s">
        <v>6539</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6540</v>
      </c>
      <c r="B52" s="2967"/>
      <c r="C52" s="2966" t="s">
        <v>6541</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6542</v>
      </c>
      <c r="B53" s="2967"/>
      <c r="C53" s="2966" t="s">
        <v>6543</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6544</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6545</v>
      </c>
      <c r="B58" s="2967"/>
      <c r="C58" s="2966" t="s">
        <v>6546</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6547</v>
      </c>
      <c r="B59" s="2967"/>
      <c r="C59" s="2966" t="s">
        <v>6548</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6549</v>
      </c>
      <c r="B62" s="2967"/>
      <c r="C62" s="2966" t="s">
        <v>7317</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6550</v>
      </c>
      <c r="B64" s="2967"/>
      <c r="C64" s="2966" t="s">
        <v>6551</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6552</v>
      </c>
      <c r="B102" s="2967" t="s">
        <v>6553</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6554</v>
      </c>
      <c r="B104" s="2967" t="s">
        <v>6555</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6556</v>
      </c>
      <c r="B107" s="2967" t="s">
        <v>5311</v>
      </c>
      <c r="C107" s="2966" t="s">
        <v>6557</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6558</v>
      </c>
      <c r="B110" s="2967" t="s">
        <v>6559</v>
      </c>
      <c r="C110" s="2966" t="s">
        <v>6560</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6561</v>
      </c>
      <c r="B113" s="2967" t="s">
        <v>5320</v>
      </c>
      <c r="C113" s="2966" t="s">
        <v>6562</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6563</v>
      </c>
      <c r="B116" s="2967" t="s">
        <v>5067</v>
      </c>
      <c r="C116" s="2966" t="s">
        <v>6564</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6565</v>
      </c>
      <c r="B118" s="2967" t="s">
        <v>5323</v>
      </c>
      <c r="C118" s="2966" t="s">
        <v>6566</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6567</v>
      </c>
      <c r="B123" s="2967" t="s">
        <v>5067</v>
      </c>
      <c r="C123" s="2966" t="s">
        <v>6568</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6569</v>
      </c>
      <c r="B126" s="2967" t="s">
        <v>5314</v>
      </c>
      <c r="C126" s="2966" t="s">
        <v>6570</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6571</v>
      </c>
      <c r="B129" s="2967" t="s">
        <v>5308</v>
      </c>
      <c r="C129" s="2966" t="s">
        <v>6572</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6573</v>
      </c>
      <c r="B133" s="2967" t="s">
        <v>5067</v>
      </c>
      <c r="C133" s="2966" t="s">
        <v>6574</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6459</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6575</v>
      </c>
      <c r="B147" s="2967"/>
      <c r="C147" s="2966" t="s">
        <v>6576</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6577</v>
      </c>
      <c r="B148" s="2967" t="s">
        <v>5067</v>
      </c>
      <c r="C148" s="2966" t="s">
        <v>6578</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6579</v>
      </c>
      <c r="B149" s="2967" t="s">
        <v>5067</v>
      </c>
      <c r="C149" s="2966" t="s">
        <v>6580</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6581</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6581</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6581</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6581</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6581</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6581</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6581</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6581</v>
      </c>
      <c r="H164" s="2968"/>
      <c r="I164" s="2968"/>
      <c r="J164" s="2968" t="str">
        <f t="shared" si="5"/>
        <v xml:space="preserve">MNX15-6 </v>
      </c>
      <c r="K164" s="2969" t="str">
        <f t="shared" si="4"/>
        <v>MNX15-6 Bộ móng neo 1500x600 cho chằng xuống: MNX15-6</v>
      </c>
    </row>
    <row r="165" spans="1:11" hidden="1">
      <c r="A165" s="2966" t="s">
        <v>6582</v>
      </c>
      <c r="B165" s="2967" t="s">
        <v>6559</v>
      </c>
      <c r="C165" s="2966" t="s">
        <v>6583</v>
      </c>
      <c r="D165" s="69" t="s">
        <v>2379</v>
      </c>
      <c r="E165" s="2968"/>
      <c r="F165" s="2968">
        <v>2000</v>
      </c>
      <c r="G165" s="2968" t="s">
        <v>6581</v>
      </c>
      <c r="H165" s="2968"/>
      <c r="I165" s="2968"/>
      <c r="J165" s="2968" t="str">
        <f t="shared" si="5"/>
        <v>NXL-H</v>
      </c>
      <c r="K165" s="2969" t="str">
        <f t="shared" si="4"/>
        <v>NXL-HBộ móng neo xòe cho chằng lệch (HT)</v>
      </c>
    </row>
    <row r="166" spans="1:11" hidden="1">
      <c r="A166" s="2966" t="s">
        <v>6584</v>
      </c>
      <c r="B166" s="2967" t="s">
        <v>5259</v>
      </c>
      <c r="C166" s="2966" t="s">
        <v>6585</v>
      </c>
      <c r="D166" s="69" t="s">
        <v>2379</v>
      </c>
      <c r="E166" s="2968"/>
      <c r="F166" s="2968">
        <v>2000</v>
      </c>
      <c r="G166" s="2968" t="s">
        <v>6581</v>
      </c>
      <c r="H166" s="2968"/>
      <c r="I166" s="2968"/>
      <c r="J166" s="2968" t="str">
        <f t="shared" si="5"/>
        <v>NXL-HD</v>
      </c>
      <c r="K166" s="2969" t="str">
        <f t="shared" si="4"/>
        <v>NXL-HDBộ móng neo xòe cho chằng lệch (HT) - Lỗ đá</v>
      </c>
    </row>
    <row r="167" spans="1:11" hidden="1">
      <c r="A167" s="2966" t="s">
        <v>6586</v>
      </c>
      <c r="B167" s="2967" t="s">
        <v>5317</v>
      </c>
      <c r="C167" s="2966" t="s">
        <v>6587</v>
      </c>
      <c r="D167" s="69" t="s">
        <v>2379</v>
      </c>
      <c r="E167" s="2968"/>
      <c r="F167" s="2968">
        <v>2000</v>
      </c>
      <c r="G167" s="2968" t="s">
        <v>6581</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6581</v>
      </c>
      <c r="H168" s="2968"/>
      <c r="I168" s="2968"/>
      <c r="J168" s="2968" t="str">
        <f t="shared" si="5"/>
        <v>NXL</v>
      </c>
      <c r="K168" s="2969" t="str">
        <f t="shared" si="4"/>
        <v>NXLBộ móng neo xòe cho chằng lệch: NXL</v>
      </c>
    </row>
    <row r="169" spans="1:11" hidden="1">
      <c r="A169" s="2966" t="s">
        <v>6588</v>
      </c>
      <c r="B169" s="2967" t="s">
        <v>6589</v>
      </c>
      <c r="C169" s="2966" t="s">
        <v>6590</v>
      </c>
      <c r="D169" s="69" t="s">
        <v>2379</v>
      </c>
      <c r="E169" s="2968"/>
      <c r="F169" s="2968">
        <v>2000</v>
      </c>
      <c r="G169" s="2968" t="s">
        <v>6581</v>
      </c>
      <c r="H169" s="2968"/>
      <c r="I169" s="2968"/>
      <c r="J169" s="2968" t="str">
        <f t="shared" si="5"/>
        <v>NXX-H</v>
      </c>
      <c r="K169" s="2969" t="str">
        <f t="shared" si="4"/>
        <v>NXX-HBộ móng neo xòe cho chằng xuống (HT)</v>
      </c>
    </row>
    <row r="170" spans="1:11" hidden="1">
      <c r="A170" s="2966" t="s">
        <v>6591</v>
      </c>
      <c r="B170" s="2967" t="s">
        <v>5308</v>
      </c>
      <c r="C170" s="2966" t="s">
        <v>6592</v>
      </c>
      <c r="D170" s="69" t="s">
        <v>2379</v>
      </c>
      <c r="E170" s="2968"/>
      <c r="F170" s="2968">
        <v>2000</v>
      </c>
      <c r="G170" s="2968" t="s">
        <v>6581</v>
      </c>
      <c r="H170" s="2968"/>
      <c r="I170" s="2968"/>
      <c r="J170" s="2968" t="str">
        <f t="shared" si="5"/>
        <v>NXX-HD</v>
      </c>
      <c r="K170" s="2969" t="str">
        <f t="shared" si="4"/>
        <v>NXX-HDBộ móng neo xòe cho chằng xuống (HT) - Lỗ đá</v>
      </c>
    </row>
    <row r="171" spans="1:11" hidden="1">
      <c r="A171" s="2966" t="s">
        <v>6593</v>
      </c>
      <c r="B171" s="2967" t="s">
        <v>5317</v>
      </c>
      <c r="C171" s="2966" t="s">
        <v>6594</v>
      </c>
      <c r="D171" s="69" t="s">
        <v>2379</v>
      </c>
      <c r="E171" s="2968"/>
      <c r="F171" s="2968">
        <v>2000</v>
      </c>
      <c r="G171" s="2968" t="s">
        <v>6581</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6581</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6595</v>
      </c>
      <c r="B174" s="2967" t="s">
        <v>6596</v>
      </c>
      <c r="C174" s="2966" t="s">
        <v>6597</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6598</v>
      </c>
      <c r="B175" s="2967" t="s">
        <v>6599</v>
      </c>
      <c r="C175" s="2966" t="s">
        <v>6600</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6601</v>
      </c>
      <c r="B176" s="2967" t="s">
        <v>6602</v>
      </c>
      <c r="C176" s="2966" t="s">
        <v>6603</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6604</v>
      </c>
      <c r="B177" s="2967" t="s">
        <v>6605</v>
      </c>
      <c r="C177" s="2966" t="s">
        <v>6606</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6607</v>
      </c>
      <c r="B178" s="2967" t="s">
        <v>6608</v>
      </c>
      <c r="C178" s="2966" t="s">
        <v>6609</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6610</v>
      </c>
      <c r="B179" s="2967" t="s">
        <v>5436</v>
      </c>
      <c r="C179" s="2966" t="s">
        <v>6611</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6612</v>
      </c>
      <c r="B180" s="2967" t="s">
        <v>5432</v>
      </c>
      <c r="C180" s="2966" t="s">
        <v>6613</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6614</v>
      </c>
      <c r="B181" s="2967" t="s">
        <v>5432</v>
      </c>
      <c r="C181" s="2966" t="s">
        <v>6615</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6616</v>
      </c>
      <c r="B182" s="2967" t="s">
        <v>5433</v>
      </c>
      <c r="C182" s="2966" t="s">
        <v>6617</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6618</v>
      </c>
      <c r="B187" s="2967"/>
      <c r="C187" s="2966" t="s">
        <v>6619</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6620</v>
      </c>
      <c r="B188" s="2967"/>
      <c r="C188" s="2966" t="s">
        <v>6621</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6455</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6622</v>
      </c>
      <c r="B190" s="2967" t="s">
        <v>6623</v>
      </c>
      <c r="C190" s="2966" t="s">
        <v>6624</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6457</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6625</v>
      </c>
      <c r="B192" s="2967" t="s">
        <v>6626</v>
      </c>
      <c r="C192" s="2966" t="s">
        <v>6457</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6458</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6627</v>
      </c>
      <c r="B194" s="2967"/>
      <c r="C194" s="2966" t="s">
        <v>6458</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6456</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6628</v>
      </c>
      <c r="B197" s="2967" t="s">
        <v>6629</v>
      </c>
      <c r="C197" s="2966" t="s">
        <v>6630</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6631</v>
      </c>
      <c r="B198" s="2967" t="s">
        <v>6629</v>
      </c>
      <c r="C198" s="2966" t="s">
        <v>6632</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6633</v>
      </c>
      <c r="B199" s="2967" t="s">
        <v>6634</v>
      </c>
      <c r="C199" s="2966" t="s">
        <v>6635</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6636</v>
      </c>
      <c r="B200" s="2967" t="s">
        <v>6634</v>
      </c>
      <c r="C200" s="2966" t="s">
        <v>6637</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6638</v>
      </c>
      <c r="B204" s="2967" t="s">
        <v>6639</v>
      </c>
      <c r="C204" s="2966" t="s">
        <v>6640</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6641</v>
      </c>
      <c r="B206" s="2967" t="s">
        <v>6642</v>
      </c>
      <c r="C206" s="2966" t="s">
        <v>6643</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6644</v>
      </c>
      <c r="B218" s="2967" t="s">
        <v>6639</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6645</v>
      </c>
      <c r="B219" s="2967" t="s">
        <v>6646</v>
      </c>
      <c r="C219" s="2966" t="s">
        <v>6647</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6648</v>
      </c>
      <c r="B220" s="2967" t="s">
        <v>6646</v>
      </c>
      <c r="C220" s="2966" t="s">
        <v>6649</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6650</v>
      </c>
      <c r="B228" s="2967" t="s">
        <v>6634</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6651</v>
      </c>
      <c r="B230" s="2967" t="s">
        <v>6652</v>
      </c>
      <c r="C230" s="2966" t="s">
        <v>6653</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6654</v>
      </c>
      <c r="B231" s="2967" t="s">
        <v>6655</v>
      </c>
      <c r="C231" s="2966" t="s">
        <v>6656</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6657</v>
      </c>
      <c r="B233" s="2967" t="s">
        <v>6639</v>
      </c>
      <c r="C233" s="2966" t="s">
        <v>6658</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6659</v>
      </c>
      <c r="B235" s="2967" t="s">
        <v>6660</v>
      </c>
      <c r="C235" s="2966" t="s">
        <v>6661</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6662</v>
      </c>
      <c r="B236" s="2967" t="s">
        <v>6634</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6663</v>
      </c>
      <c r="B238" s="2967" t="s">
        <v>5231</v>
      </c>
      <c r="C238" s="2966" t="s">
        <v>6664</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6665</v>
      </c>
      <c r="B239" s="2967" t="s">
        <v>6666</v>
      </c>
      <c r="C239" s="2966" t="s">
        <v>6667</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6668</v>
      </c>
      <c r="B241" s="2967" t="s">
        <v>6639</v>
      </c>
      <c r="C241" s="2966" t="s">
        <v>6669</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6670</v>
      </c>
      <c r="B243" s="2967" t="s">
        <v>6671</v>
      </c>
      <c r="C243" s="2966" t="s">
        <v>6672</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6673</v>
      </c>
      <c r="B270" s="2967"/>
      <c r="C270" s="2966" t="s">
        <v>6674</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6675</v>
      </c>
      <c r="B295" s="2967"/>
      <c r="C295" s="2966" t="s">
        <v>6676</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6677</v>
      </c>
      <c r="B298" s="2967"/>
      <c r="C298" s="2966" t="s">
        <v>6678</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6679</v>
      </c>
      <c r="B302" s="2967"/>
      <c r="C302" s="2966" t="s">
        <v>6680</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6681</v>
      </c>
      <c r="B306" s="2967"/>
      <c r="C306" s="2966" t="s">
        <v>6682</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6683</v>
      </c>
      <c r="B309" s="2967"/>
      <c r="C309" s="2966" t="s">
        <v>6684</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6685</v>
      </c>
      <c r="B311" s="2967"/>
      <c r="C311" s="2966" t="s">
        <v>6686</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6687</v>
      </c>
      <c r="B313" s="2967"/>
      <c r="C313" s="2966" t="s">
        <v>6688</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6689</v>
      </c>
      <c r="B316" s="2967"/>
      <c r="C316" s="2966" t="s">
        <v>6690</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6691</v>
      </c>
      <c r="B331" s="2967"/>
      <c r="C331" s="2966" t="s">
        <v>6692</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6693</v>
      </c>
      <c r="B334" s="2967" t="s">
        <v>1012</v>
      </c>
      <c r="C334" s="2966" t="s">
        <v>6694</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6695</v>
      </c>
      <c r="B338" s="2967"/>
      <c r="C338" s="2966" t="s">
        <v>6696</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6697</v>
      </c>
      <c r="B340" s="2967"/>
      <c r="C340" s="2966" t="s">
        <v>6698</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6699</v>
      </c>
      <c r="B351" s="2967"/>
      <c r="C351" s="2966" t="s">
        <v>6700</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6701</v>
      </c>
      <c r="B354" s="2967"/>
      <c r="C354" s="2966" t="s">
        <v>6702</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6703</v>
      </c>
      <c r="B357" s="2967"/>
      <c r="C357" s="2966" t="s">
        <v>6704</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6705</v>
      </c>
      <c r="B358" s="2967"/>
      <c r="C358" s="2966" t="s">
        <v>6706</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6707</v>
      </c>
      <c r="B359" s="2967"/>
      <c r="C359" s="2966" t="s">
        <v>6708</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6709</v>
      </c>
      <c r="B361" s="2967"/>
      <c r="C361" s="2966" t="s">
        <v>6710</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6711</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6711</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6711</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6711</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6711</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6711</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6493</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6493</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6493</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6493</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6493</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6493</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6493</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6493</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6493</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6493</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6493</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6493</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6493</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6493</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6493</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6493</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6493</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6493</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6493</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6493</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6493</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6493</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6493</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6493</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6493</v>
      </c>
      <c r="H397" s="2968">
        <v>120</v>
      </c>
      <c r="I397" s="2968"/>
      <c r="J397" s="2968" t="str">
        <f t="shared" si="13"/>
        <v>XLPE95AC</v>
      </c>
      <c r="K397" s="2969" t="str">
        <f t="shared" si="12"/>
        <v>XLPE95ACCáp 24KV AC/XLPE/PVC 95mm2</v>
      </c>
    </row>
    <row r="398" spans="1:11" hidden="1">
      <c r="A398" s="2966" t="s">
        <v>6712</v>
      </c>
      <c r="B398" s="2967"/>
      <c r="C398" s="2966" t="s">
        <v>6713</v>
      </c>
      <c r="D398" s="69" t="s">
        <v>2526</v>
      </c>
      <c r="E398" s="2968"/>
      <c r="F398" s="2968">
        <v>8</v>
      </c>
      <c r="G398" s="2968" t="s">
        <v>6493</v>
      </c>
      <c r="H398" s="2968">
        <v>85</v>
      </c>
      <c r="I398" s="2968"/>
      <c r="J398" s="2968" t="str">
        <f t="shared" si="13"/>
        <v>ACX120</v>
      </c>
      <c r="K398" s="2969" t="str">
        <f t="shared" si="12"/>
        <v>ACX120Cáp 24KV ACX 120mm2</v>
      </c>
    </row>
    <row r="399" spans="1:11" hidden="1">
      <c r="A399" s="2966" t="s">
        <v>6714</v>
      </c>
      <c r="B399" s="2967"/>
      <c r="C399" s="2966" t="s">
        <v>6715</v>
      </c>
      <c r="D399" s="69" t="s">
        <v>2526</v>
      </c>
      <c r="E399" s="2968"/>
      <c r="F399" s="2968">
        <v>8</v>
      </c>
      <c r="G399" s="2968" t="s">
        <v>6493</v>
      </c>
      <c r="H399" s="2968">
        <v>70</v>
      </c>
      <c r="I399" s="2968"/>
      <c r="J399" s="2968" t="str">
        <f t="shared" si="13"/>
        <v>ACX150</v>
      </c>
      <c r="K399" s="2969" t="str">
        <f t="shared" si="12"/>
        <v>ACX150Cáp 24KV ACX 150mm2</v>
      </c>
    </row>
    <row r="400" spans="1:11" hidden="1">
      <c r="A400" s="2966" t="s">
        <v>6716</v>
      </c>
      <c r="B400" s="2967"/>
      <c r="C400" s="2966" t="s">
        <v>6717</v>
      </c>
      <c r="D400" s="69" t="s">
        <v>2526</v>
      </c>
      <c r="E400" s="2968"/>
      <c r="F400" s="2968">
        <v>8</v>
      </c>
      <c r="G400" s="2968" t="s">
        <v>6493</v>
      </c>
      <c r="H400" s="2968">
        <v>50</v>
      </c>
      <c r="I400" s="2968"/>
      <c r="J400" s="2968" t="str">
        <f t="shared" si="13"/>
        <v>ACX185</v>
      </c>
      <c r="K400" s="2969" t="str">
        <f t="shared" si="12"/>
        <v>ACX185Cáp 24KV ACX 185mm2</v>
      </c>
    </row>
    <row r="401" spans="1:11" hidden="1">
      <c r="A401" s="2966" t="s">
        <v>6718</v>
      </c>
      <c r="B401" s="2967"/>
      <c r="C401" s="2966" t="s">
        <v>6719</v>
      </c>
      <c r="D401" s="69" t="s">
        <v>2526</v>
      </c>
      <c r="E401" s="2968"/>
      <c r="F401" s="2968">
        <v>8</v>
      </c>
      <c r="G401" s="2968" t="s">
        <v>6493</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6493</v>
      </c>
      <c r="H402" s="2968"/>
      <c r="I402" s="2968"/>
      <c r="J402" s="2968" t="str">
        <f t="shared" si="13"/>
        <v>ACXV50</v>
      </c>
      <c r="K402" s="2969" t="str">
        <f t="shared" si="12"/>
        <v>ACXV50Cáp 24KV ACX 50mm2</v>
      </c>
    </row>
    <row r="403" spans="1:11" hidden="1">
      <c r="A403" s="2966" t="s">
        <v>6720</v>
      </c>
      <c r="B403" s="2967"/>
      <c r="C403" s="2966" t="s">
        <v>6721</v>
      </c>
      <c r="D403" s="69" t="s">
        <v>2526</v>
      </c>
      <c r="E403" s="2968"/>
      <c r="F403" s="2968">
        <v>8</v>
      </c>
      <c r="G403" s="2968" t="s">
        <v>6493</v>
      </c>
      <c r="H403" s="2968"/>
      <c r="I403" s="2968"/>
      <c r="J403" s="2968" t="str">
        <f t="shared" si="13"/>
        <v>ACX70</v>
      </c>
      <c r="K403" s="2969" t="str">
        <f t="shared" si="12"/>
        <v>ACX70Cáp 24KV ACX 70mm2</v>
      </c>
    </row>
    <row r="404" spans="1:11" hidden="1">
      <c r="A404" s="2966" t="s">
        <v>6722</v>
      </c>
      <c r="B404" s="2967"/>
      <c r="C404" s="2966" t="s">
        <v>6723</v>
      </c>
      <c r="D404" s="69" t="s">
        <v>2526</v>
      </c>
      <c r="E404" s="2968"/>
      <c r="F404" s="2968">
        <v>8</v>
      </c>
      <c r="G404" s="2968" t="s">
        <v>6493</v>
      </c>
      <c r="H404" s="2968"/>
      <c r="I404" s="2968"/>
      <c r="J404" s="2968" t="str">
        <f t="shared" si="13"/>
        <v>ACX95</v>
      </c>
      <c r="K404" s="2969" t="str">
        <f t="shared" si="12"/>
        <v>ACX95Cáp 24KV ACX 95mm2</v>
      </c>
    </row>
    <row r="405" spans="1:11" ht="26.4" hidden="1">
      <c r="A405" s="2971" t="s">
        <v>6414</v>
      </c>
      <c r="B405" s="2967"/>
      <c r="C405" s="2966" t="s">
        <v>6335</v>
      </c>
      <c r="D405" s="69" t="s">
        <v>2526</v>
      </c>
      <c r="E405" s="2968"/>
      <c r="F405" s="2968">
        <v>8</v>
      </c>
      <c r="G405" s="2968" t="s">
        <v>6493</v>
      </c>
      <c r="H405" s="2968"/>
      <c r="I405" s="2968"/>
      <c r="J405" s="2968" t="str">
        <f t="shared" si="13"/>
        <v xml:space="preserve">ACXH120
</v>
      </c>
      <c r="K405" s="2969" t="str">
        <f t="shared" si="12"/>
        <v>ACXH120
Cáp 24KV ACXH 120mm2</v>
      </c>
    </row>
    <row r="406" spans="1:11" hidden="1">
      <c r="A406" s="2966" t="s">
        <v>6724</v>
      </c>
      <c r="B406" s="2967"/>
      <c r="C406" s="2966" t="s">
        <v>6725</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6440</v>
      </c>
      <c r="B407" s="2967"/>
      <c r="C407" s="2966" t="s">
        <v>6487</v>
      </c>
      <c r="D407" s="69" t="s">
        <v>2526</v>
      </c>
      <c r="E407" s="2968"/>
      <c r="F407" s="2968">
        <v>8</v>
      </c>
      <c r="G407" s="2968" t="s">
        <v>6493</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6493</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6493</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6493</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6493</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6493</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6493</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6493</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6493</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6493</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6493</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6493</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6493</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6493</v>
      </c>
      <c r="H420" s="2968"/>
      <c r="I420" s="2968"/>
      <c r="J420" s="2968" t="str">
        <f t="shared" si="13"/>
        <v>XLPE395D</v>
      </c>
      <c r="K420" s="2969" t="str">
        <f t="shared" si="12"/>
        <v>XLPE395DCáp 24kV C/XLPE/DSTA/PVC3x95mm2</v>
      </c>
    </row>
    <row r="421" spans="1:11" hidden="1">
      <c r="A421" s="2966" t="s">
        <v>6726</v>
      </c>
      <c r="B421" s="2967"/>
      <c r="C421" s="2966" t="s">
        <v>2703</v>
      </c>
      <c r="D421" s="69" t="s">
        <v>2526</v>
      </c>
      <c r="E421" s="2968"/>
      <c r="F421" s="2968">
        <v>7</v>
      </c>
      <c r="G421" s="2968" t="s">
        <v>6493</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6493</v>
      </c>
      <c r="H422" s="2968"/>
      <c r="I422" s="2968"/>
      <c r="J422" s="2968" t="str">
        <f t="shared" si="13"/>
        <v>XLPE120</v>
      </c>
      <c r="K422" s="2969" t="str">
        <f t="shared" si="12"/>
        <v>XLPE120Cáp 24KV C/XLPE/PVC 120mm2</v>
      </c>
    </row>
    <row r="423" spans="1:11" hidden="1">
      <c r="A423" s="2966" t="s">
        <v>6727</v>
      </c>
      <c r="B423" s="2967"/>
      <c r="C423" s="2966" t="s">
        <v>2704</v>
      </c>
      <c r="D423" s="69" t="s">
        <v>2526</v>
      </c>
      <c r="E423" s="2968"/>
      <c r="F423" s="2968">
        <v>7</v>
      </c>
      <c r="G423" s="2968" t="s">
        <v>6493</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6493</v>
      </c>
      <c r="H424" s="2968"/>
      <c r="I424" s="2968"/>
      <c r="J424" s="2968" t="str">
        <f t="shared" si="13"/>
        <v>XLPE150</v>
      </c>
      <c r="K424" s="2969" t="str">
        <f t="shared" si="12"/>
        <v>XLPE150Cáp 24KV C/XLPE/PVC 150mm2</v>
      </c>
    </row>
    <row r="425" spans="1:11" hidden="1">
      <c r="A425" s="2966" t="s">
        <v>6728</v>
      </c>
      <c r="B425" s="2967"/>
      <c r="C425" s="2966" t="s">
        <v>2705</v>
      </c>
      <c r="D425" s="69" t="s">
        <v>2526</v>
      </c>
      <c r="E425" s="2968"/>
      <c r="F425" s="2968">
        <v>7</v>
      </c>
      <c r="G425" s="2968" t="s">
        <v>6493</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6493</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6493</v>
      </c>
      <c r="H427" s="2968"/>
      <c r="I427" s="2968"/>
      <c r="J427" s="2968" t="str">
        <f t="shared" si="13"/>
        <v>XLPE22</v>
      </c>
      <c r="K427" s="2969" t="str">
        <f t="shared" si="12"/>
        <v>XLPE22Cáp 24KV C/XLPE/PVC 22mm2</v>
      </c>
    </row>
    <row r="428" spans="1:11" hidden="1">
      <c r="A428" s="2966" t="s">
        <v>6729</v>
      </c>
      <c r="B428" s="2967"/>
      <c r="C428" s="2966" t="s">
        <v>2706</v>
      </c>
      <c r="D428" s="69" t="s">
        <v>2526</v>
      </c>
      <c r="E428" s="2968"/>
      <c r="F428" s="2968">
        <v>7</v>
      </c>
      <c r="G428" s="2968" t="s">
        <v>6493</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6493</v>
      </c>
      <c r="H429" s="2968"/>
      <c r="I429" s="2968"/>
      <c r="J429" s="2968" t="str">
        <f t="shared" si="13"/>
        <v>XLPE240</v>
      </c>
      <c r="K429" s="2969" t="str">
        <f t="shared" si="12"/>
        <v>XLPE240Cáp 24KV C/XLPE/PVC 240mm2</v>
      </c>
    </row>
    <row r="430" spans="1:11" hidden="1">
      <c r="A430" s="2966" t="s">
        <v>6730</v>
      </c>
      <c r="B430" s="2967"/>
      <c r="C430" s="2966" t="s">
        <v>2707</v>
      </c>
      <c r="D430" s="69" t="s">
        <v>2526</v>
      </c>
      <c r="E430" s="2968"/>
      <c r="F430" s="2968">
        <v>7</v>
      </c>
      <c r="G430" s="2968" t="s">
        <v>6493</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6493</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6493</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6493</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6493</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6493</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6493</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6493</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6493</v>
      </c>
      <c r="H438" s="2968"/>
      <c r="I438" s="2968"/>
      <c r="J438" s="2968" t="str">
        <f t="shared" si="13"/>
        <v>XLPE70C</v>
      </c>
      <c r="K438" s="2969" t="str">
        <f t="shared" si="12"/>
        <v>XLPE70CCáp 24KV C/XLPE-70mm2</v>
      </c>
    </row>
    <row r="439" spans="1:11" hidden="1">
      <c r="A439" s="2966" t="s">
        <v>6731</v>
      </c>
      <c r="B439" s="2967"/>
      <c r="C439" s="2966" t="s">
        <v>6732</v>
      </c>
      <c r="D439" s="69" t="s">
        <v>6492</v>
      </c>
      <c r="E439" s="2968"/>
      <c r="F439" s="2968">
        <v>7</v>
      </c>
      <c r="G439" s="2968" t="s">
        <v>6493</v>
      </c>
      <c r="H439" s="2968"/>
      <c r="I439" s="2968"/>
      <c r="J439" s="2968" t="str">
        <f t="shared" si="13"/>
        <v>CXVSE3x120</v>
      </c>
      <c r="K439" s="2969" t="str">
        <f t="shared" si="12"/>
        <v>CXVSE3x120Cáp 24kV CXV/SE/DSTA 3x120mm2</v>
      </c>
    </row>
    <row r="440" spans="1:11" hidden="1">
      <c r="A440" s="2966" t="s">
        <v>6733</v>
      </c>
      <c r="B440" s="2967"/>
      <c r="C440" s="2966" t="s">
        <v>6734</v>
      </c>
      <c r="D440" s="69" t="s">
        <v>6492</v>
      </c>
      <c r="E440" s="2968"/>
      <c r="F440" s="2968">
        <v>7</v>
      </c>
      <c r="G440" s="2968" t="s">
        <v>6493</v>
      </c>
      <c r="H440" s="2968"/>
      <c r="I440" s="2968"/>
      <c r="J440" s="2968" t="str">
        <f t="shared" si="13"/>
        <v>CXVSE3x150</v>
      </c>
      <c r="K440" s="2969" t="str">
        <f t="shared" si="12"/>
        <v>CXVSE3x150Cáp 24kV CXV/SE/DSTA 3x150mm2</v>
      </c>
    </row>
    <row r="441" spans="1:11" hidden="1">
      <c r="A441" s="2966" t="s">
        <v>6735</v>
      </c>
      <c r="B441" s="2967"/>
      <c r="C441" s="2966" t="s">
        <v>6736</v>
      </c>
      <c r="D441" s="69" t="s">
        <v>6492</v>
      </c>
      <c r="E441" s="2968"/>
      <c r="F441" s="2968">
        <v>7</v>
      </c>
      <c r="G441" s="2968" t="s">
        <v>6493</v>
      </c>
      <c r="H441" s="2968">
        <v>720</v>
      </c>
      <c r="I441" s="2968"/>
      <c r="J441" s="2968" t="str">
        <f t="shared" si="13"/>
        <v>CXVSE3x185</v>
      </c>
      <c r="K441" s="2969" t="str">
        <f t="shared" si="12"/>
        <v>CXVSE3x185Cáp 24kV CXV/SE/DSTA 3x185mm2</v>
      </c>
    </row>
    <row r="442" spans="1:11" hidden="1">
      <c r="A442" s="2966" t="s">
        <v>6737</v>
      </c>
      <c r="B442" s="2967"/>
      <c r="C442" s="2966" t="s">
        <v>6738</v>
      </c>
      <c r="D442" s="69" t="s">
        <v>6492</v>
      </c>
      <c r="E442" s="2968"/>
      <c r="F442" s="2968">
        <v>7</v>
      </c>
      <c r="G442" s="2968" t="s">
        <v>6493</v>
      </c>
      <c r="H442" s="2968">
        <v>810</v>
      </c>
      <c r="I442" s="2968"/>
      <c r="J442" s="2968" t="str">
        <f t="shared" si="13"/>
        <v>CXVSE3x240</v>
      </c>
      <c r="K442" s="2969" t="str">
        <f t="shared" si="12"/>
        <v>CXVSE3x240Cáp 24kV CXV/SE/DSTA 3x240mm2</v>
      </c>
    </row>
    <row r="443" spans="1:11" hidden="1">
      <c r="A443" s="2966" t="s">
        <v>6739</v>
      </c>
      <c r="B443" s="2967"/>
      <c r="C443" s="2966" t="s">
        <v>6740</v>
      </c>
      <c r="D443" s="69" t="s">
        <v>6492</v>
      </c>
      <c r="E443" s="2968"/>
      <c r="F443" s="2968">
        <v>7</v>
      </c>
      <c r="G443" s="2968" t="s">
        <v>6493</v>
      </c>
      <c r="H443" s="2968">
        <v>920</v>
      </c>
      <c r="I443" s="2968"/>
      <c r="J443" s="2968" t="str">
        <f t="shared" si="13"/>
        <v>CXVSE3x25</v>
      </c>
      <c r="K443" s="2969" t="str">
        <f t="shared" si="12"/>
        <v>CXVSE3x25Cáp 24kV CXV/SE/DSTA 3x25mm2</v>
      </c>
    </row>
    <row r="444" spans="1:11" hidden="1">
      <c r="A444" s="2966" t="s">
        <v>6741</v>
      </c>
      <c r="B444" s="2967"/>
      <c r="C444" s="2966" t="s">
        <v>6742</v>
      </c>
      <c r="D444" s="69" t="s">
        <v>6492</v>
      </c>
      <c r="E444" s="2968"/>
      <c r="F444" s="2968">
        <v>7</v>
      </c>
      <c r="G444" s="2968" t="s">
        <v>6493</v>
      </c>
      <c r="H444" s="2968">
        <v>1190</v>
      </c>
      <c r="I444" s="2968"/>
      <c r="J444" s="2968" t="str">
        <f t="shared" si="13"/>
        <v>CXVSE3x300</v>
      </c>
      <c r="K444" s="2969" t="str">
        <f t="shared" si="12"/>
        <v>CXVSE3x300Cáp 24kV CXV/SE/DSTA 3x300mm2</v>
      </c>
    </row>
    <row r="445" spans="1:11" hidden="1">
      <c r="A445" s="2966" t="s">
        <v>6743</v>
      </c>
      <c r="B445" s="2967"/>
      <c r="C445" s="2966" t="s">
        <v>6744</v>
      </c>
      <c r="D445" s="69" t="s">
        <v>6492</v>
      </c>
      <c r="E445" s="2968"/>
      <c r="F445" s="2968">
        <v>7</v>
      </c>
      <c r="G445" s="2968" t="s">
        <v>6493</v>
      </c>
      <c r="H445" s="2968"/>
      <c r="I445" s="2968"/>
      <c r="J445" s="2968" t="str">
        <f t="shared" si="13"/>
        <v>CXVSE3x35</v>
      </c>
      <c r="K445" s="2969" t="str">
        <f t="shared" si="12"/>
        <v>CXVSE3x35Cáp 24kV CXV/SE/DSTA 3x35mm2</v>
      </c>
    </row>
    <row r="446" spans="1:11" hidden="1">
      <c r="A446" s="2966" t="s">
        <v>6745</v>
      </c>
      <c r="B446" s="2967"/>
      <c r="C446" s="2966" t="s">
        <v>6746</v>
      </c>
      <c r="D446" s="69" t="s">
        <v>6492</v>
      </c>
      <c r="E446" s="2968"/>
      <c r="F446" s="2968">
        <v>7</v>
      </c>
      <c r="G446" s="2968" t="s">
        <v>6493</v>
      </c>
      <c r="H446" s="2968"/>
      <c r="I446" s="2968"/>
      <c r="J446" s="2968" t="str">
        <f t="shared" si="13"/>
        <v>CXVSE3x400</v>
      </c>
      <c r="K446" s="2969" t="str">
        <f t="shared" si="12"/>
        <v>CXVSE3x400Cáp 24kV CXV/SE/DSTA 3x400mm2</v>
      </c>
    </row>
    <row r="447" spans="1:11" hidden="1">
      <c r="A447" s="2966" t="s">
        <v>6747</v>
      </c>
      <c r="B447" s="2967"/>
      <c r="C447" s="2966" t="s">
        <v>6748</v>
      </c>
      <c r="D447" s="69" t="s">
        <v>6492</v>
      </c>
      <c r="E447" s="2968"/>
      <c r="F447" s="2968">
        <v>7</v>
      </c>
      <c r="G447" s="2968" t="s">
        <v>6493</v>
      </c>
      <c r="H447" s="2968"/>
      <c r="I447" s="2968"/>
      <c r="J447" s="2968" t="str">
        <f t="shared" si="13"/>
        <v>CXVSE3x50</v>
      </c>
      <c r="K447" s="2969" t="str">
        <f t="shared" si="12"/>
        <v>CXVSE3x50Cáp 24kV CXV/SE/DSTA 3x50mm2</v>
      </c>
    </row>
    <row r="448" spans="1:11" hidden="1">
      <c r="A448" s="2966" t="s">
        <v>6749</v>
      </c>
      <c r="B448" s="2967"/>
      <c r="C448" s="2966" t="s">
        <v>6750</v>
      </c>
      <c r="D448" s="69" t="s">
        <v>6492</v>
      </c>
      <c r="E448" s="2968"/>
      <c r="F448" s="2968">
        <v>7</v>
      </c>
      <c r="G448" s="2968" t="s">
        <v>6493</v>
      </c>
      <c r="H448" s="2968"/>
      <c r="I448" s="2968"/>
      <c r="J448" s="2968" t="str">
        <f t="shared" si="13"/>
        <v>CXVSE3x70</v>
      </c>
      <c r="K448" s="2969" t="str">
        <f t="shared" si="12"/>
        <v>CXVSE3x70Cáp 24kV CXV/SE/DSTA 3x70mm2</v>
      </c>
    </row>
    <row r="449" spans="1:11" hidden="1">
      <c r="A449" s="2966" t="s">
        <v>6751</v>
      </c>
      <c r="B449" s="2967"/>
      <c r="C449" s="2966" t="s">
        <v>6752</v>
      </c>
      <c r="D449" s="69" t="s">
        <v>6492</v>
      </c>
      <c r="E449" s="2968"/>
      <c r="F449" s="2968">
        <v>7</v>
      </c>
      <c r="G449" s="2968" t="s">
        <v>6493</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6493</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6493</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6493</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6493</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6493</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6493</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6493</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6493</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6493</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6493</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6493</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6493</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6493</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6493</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6493</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6493</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6493</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6493</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6493</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6493</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6493</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6493</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6493</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6493</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6493</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6493</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6493</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6493</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6493</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6753</v>
      </c>
      <c r="B481" s="2967"/>
      <c r="C481" s="2966" t="s">
        <v>6754</v>
      </c>
      <c r="D481" s="69" t="s">
        <v>2526</v>
      </c>
      <c r="E481" s="2968"/>
      <c r="F481" s="2968">
        <v>7</v>
      </c>
      <c r="G481" s="2968" t="s">
        <v>6493</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6493</v>
      </c>
      <c r="H482" s="2968"/>
      <c r="I482" s="2968"/>
      <c r="J482" s="2968" t="str">
        <f t="shared" si="15"/>
        <v>cxv25</v>
      </c>
      <c r="K482" s="2969" t="str">
        <f t="shared" si="14"/>
        <v>cxv25Cáp đồng bọc 24KV-CXV-25</v>
      </c>
    </row>
    <row r="483" spans="1:11" hidden="1">
      <c r="A483" s="2966" t="s">
        <v>6489</v>
      </c>
      <c r="B483" s="2984"/>
      <c r="C483" s="2966" t="s">
        <v>6755</v>
      </c>
      <c r="D483" s="69" t="s">
        <v>2526</v>
      </c>
      <c r="E483" s="2968"/>
      <c r="F483" s="2968">
        <v>7</v>
      </c>
      <c r="G483" s="2968" t="s">
        <v>6493</v>
      </c>
      <c r="H483" s="2968"/>
      <c r="I483" s="2968"/>
      <c r="J483" s="2968" t="str">
        <f t="shared" si="15"/>
        <v>cxv50</v>
      </c>
      <c r="K483" s="2969" t="str">
        <f t="shared" si="14"/>
        <v>cxv50Cáp đồng bọc 24KV-CXV-50</v>
      </c>
    </row>
    <row r="484" spans="1:11" hidden="1">
      <c r="A484" s="2966" t="s">
        <v>6756</v>
      </c>
      <c r="B484" s="2984"/>
      <c r="C484" s="2966" t="s">
        <v>6757</v>
      </c>
      <c r="D484" s="69" t="s">
        <v>2526</v>
      </c>
      <c r="E484" s="2968"/>
      <c r="F484" s="2968">
        <v>7</v>
      </c>
      <c r="G484" s="2968" t="s">
        <v>6493</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6493</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6512</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6512</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6512</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6512</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6512</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6512</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6512</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6512</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6512</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6512</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6512</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6512</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6512</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6512</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6512</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6512</v>
      </c>
      <c r="H501" s="2968"/>
      <c r="I501" s="2968"/>
      <c r="J501" s="2968" t="str">
        <f t="shared" si="15"/>
        <v>cv95</v>
      </c>
      <c r="K501" s="2969" t="str">
        <f t="shared" si="14"/>
        <v>cv95Cáp đồng bọc CV95</v>
      </c>
    </row>
    <row r="502" spans="1:11" hidden="1">
      <c r="A502" s="2966" t="s">
        <v>6758</v>
      </c>
      <c r="B502" s="2967"/>
      <c r="C502" s="2966" t="s">
        <v>6759</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6760</v>
      </c>
      <c r="B503" s="2967"/>
      <c r="C503" s="2966" t="s">
        <v>6761</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6762</v>
      </c>
      <c r="B504" s="2967"/>
      <c r="C504" s="2966" t="s">
        <v>6763</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6764</v>
      </c>
      <c r="B505" s="2967"/>
      <c r="C505" s="2966" t="s">
        <v>6765</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6766</v>
      </c>
      <c r="B506" s="2967"/>
      <c r="C506" s="2966" t="s">
        <v>6767</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6768</v>
      </c>
      <c r="B507" s="2967"/>
      <c r="C507" s="2966" t="s">
        <v>6769</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6770</v>
      </c>
      <c r="B508" s="2967"/>
      <c r="C508" s="2981" t="s">
        <v>6771</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6772</v>
      </c>
      <c r="B509" s="2967"/>
      <c r="C509" s="2966" t="s">
        <v>6773</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6774</v>
      </c>
      <c r="B510" s="2967"/>
      <c r="C510" s="2966" t="s">
        <v>6775</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6776</v>
      </c>
      <c r="B511" s="2967"/>
      <c r="C511" s="2966" t="s">
        <v>6777</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6778</v>
      </c>
      <c r="B521" s="2967"/>
      <c r="C521" s="2966" t="s">
        <v>6779</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6780</v>
      </c>
      <c r="B522" s="2967"/>
      <c r="C522" s="2966" t="s">
        <v>6781</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6782</v>
      </c>
      <c r="B523" s="2967"/>
      <c r="C523" s="2966" t="s">
        <v>6783</v>
      </c>
      <c r="D523" s="69" t="s">
        <v>6492</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6493</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6493</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6493</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6493</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6493</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6493</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6493</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6493</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6493</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6493</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6493</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6493</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6493</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6493</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6493</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6493</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6493</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6493</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6493</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6493</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6493</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6493</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6493</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6493</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6493</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6493</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6493</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6493</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6493</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6493</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6493</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6493</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6493</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6493</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6493</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6493</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6493</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6493</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6493</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6493</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6493</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6493</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6493</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6493</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6493</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6493</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6493</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6493</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6493</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6493</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6493</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6493</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6493</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6512</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6784</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6785</v>
      </c>
      <c r="B650" s="2967"/>
      <c r="C650" s="2966" t="s">
        <v>6786</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6787</v>
      </c>
      <c r="B652" s="2967"/>
      <c r="C652" s="2966" t="s">
        <v>6788</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6789</v>
      </c>
      <c r="B657" s="2967"/>
      <c r="C657" s="2966" t="s">
        <v>6790</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6791</v>
      </c>
      <c r="B662" s="2967"/>
      <c r="C662" s="2966" t="s">
        <v>6792</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6793</v>
      </c>
      <c r="B664" s="2967"/>
      <c r="C664" s="2966" t="s">
        <v>6794</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6795</v>
      </c>
      <c r="B668" s="2967"/>
      <c r="C668" s="2966" t="s">
        <v>6796</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6797</v>
      </c>
      <c r="B670" s="2967"/>
      <c r="C670" s="2966" t="s">
        <v>6798</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6799</v>
      </c>
      <c r="B694" s="2967"/>
      <c r="C694" s="2966" t="s">
        <v>6800</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6801</v>
      </c>
      <c r="B695" s="2967"/>
      <c r="C695" s="2966" t="s">
        <v>6802</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6803</v>
      </c>
      <c r="B696" s="2967"/>
      <c r="C696" s="2966" t="s">
        <v>6804</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6805</v>
      </c>
      <c r="B697" s="2967"/>
      <c r="C697" s="2966" t="s">
        <v>6806</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6807</v>
      </c>
      <c r="B702" s="2967"/>
      <c r="C702" s="2966" t="s">
        <v>6808</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6809</v>
      </c>
      <c r="B723" s="2967"/>
      <c r="C723" s="2966" t="s">
        <v>6810</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6512</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6512</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6512</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6581</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6581</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6581</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6581</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6581</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6811</v>
      </c>
      <c r="B755" s="2967"/>
      <c r="C755" s="2966" t="s">
        <v>6812</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6813</v>
      </c>
      <c r="B756" s="2967"/>
      <c r="C756" s="2966" t="s">
        <v>6814</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6815</v>
      </c>
      <c r="B760" s="2967"/>
      <c r="C760" s="2966" t="s">
        <v>6816</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6817</v>
      </c>
      <c r="B761" s="2967"/>
      <c r="C761" s="2966" t="s">
        <v>6818</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6819</v>
      </c>
      <c r="B762" s="2967"/>
      <c r="C762" s="2966" t="s">
        <v>6820</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6821</v>
      </c>
      <c r="B763" s="2967"/>
      <c r="C763" s="2966" t="s">
        <v>6822</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6823</v>
      </c>
      <c r="B764" s="2967"/>
      <c r="C764" s="2966" t="s">
        <v>6824</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6825</v>
      </c>
      <c r="B765" s="2967"/>
      <c r="C765" s="2966" t="s">
        <v>6826</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6827</v>
      </c>
      <c r="B766" s="2967"/>
      <c r="C766" s="2966" t="s">
        <v>6828</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6829</v>
      </c>
      <c r="B767" s="2967"/>
      <c r="C767" s="2966" t="s">
        <v>6830</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6831</v>
      </c>
      <c r="B769" s="2967"/>
      <c r="C769" s="2966" t="s">
        <v>6832</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6833</v>
      </c>
      <c r="B770" s="2967"/>
      <c r="C770" s="2966" t="s">
        <v>6834</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6835</v>
      </c>
      <c r="B771" s="2967"/>
      <c r="C771" s="2966" t="s">
        <v>6836</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6837</v>
      </c>
      <c r="B773" s="2967"/>
      <c r="C773" s="2966" t="s">
        <v>6838</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7296</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7296</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7297</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7297</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7297</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7297</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7297</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6839</v>
      </c>
      <c r="B795" s="2967"/>
      <c r="C795" s="2966" t="s">
        <v>6840</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6841</v>
      </c>
      <c r="B796" s="2967"/>
      <c r="C796" s="2966" t="s">
        <v>6842</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6843</v>
      </c>
      <c r="B799" s="2967"/>
      <c r="C799" s="2966" t="s">
        <v>6844</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6845</v>
      </c>
      <c r="B800" s="2967"/>
      <c r="C800" s="2966" t="s">
        <v>6846</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6847</v>
      </c>
      <c r="B801" s="2967"/>
      <c r="C801" s="2966" t="s">
        <v>6848</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6849</v>
      </c>
      <c r="B803" s="2967"/>
      <c r="C803" s="2966" t="s">
        <v>6850</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6851</v>
      </c>
      <c r="B804" s="2967"/>
      <c r="C804" s="2966" t="s">
        <v>6852</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6853</v>
      </c>
      <c r="B805" s="2967"/>
      <c r="C805" s="2966" t="s">
        <v>6854</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6855</v>
      </c>
      <c r="B809" s="2967"/>
      <c r="C809" s="2966" t="s">
        <v>6856</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6857</v>
      </c>
      <c r="B810" s="2967"/>
      <c r="C810" s="2966" t="s">
        <v>6858</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6859</v>
      </c>
      <c r="B822" s="2967" t="s">
        <v>6660</v>
      </c>
      <c r="C822" s="2966" t="s">
        <v>6860</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6861</v>
      </c>
      <c r="B824" s="2967" t="s">
        <v>6666</v>
      </c>
      <c r="C824" s="2966" t="s">
        <v>6862</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6863</v>
      </c>
      <c r="B832" s="2967" t="s">
        <v>6642</v>
      </c>
      <c r="C832" s="2966" t="s">
        <v>6864</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6865</v>
      </c>
      <c r="B833" s="2967" t="s">
        <v>6655</v>
      </c>
      <c r="C833" s="2966" t="s">
        <v>6866</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6867</v>
      </c>
      <c r="B857" s="2967" t="s">
        <v>6868</v>
      </c>
      <c r="C857" s="2966" t="s">
        <v>6869</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6870</v>
      </c>
      <c r="B892" s="2967"/>
      <c r="C892" s="2966" t="s">
        <v>6871</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6872</v>
      </c>
      <c r="B893" s="2967"/>
      <c r="C893" s="2966" t="s">
        <v>6873</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6874</v>
      </c>
      <c r="B894" s="2967"/>
      <c r="C894" s="2966" t="s">
        <v>6875</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6876</v>
      </c>
      <c r="B895" s="2967"/>
      <c r="C895" s="2966" t="s">
        <v>6877</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6878</v>
      </c>
      <c r="B896" s="2967"/>
      <c r="C896" s="2966" t="s">
        <v>6879</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6880</v>
      </c>
      <c r="B897" s="2967"/>
      <c r="C897" s="2966" t="s">
        <v>6881</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6882</v>
      </c>
      <c r="B898" s="2967"/>
      <c r="C898" s="2966" t="s">
        <v>6883</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6884</v>
      </c>
      <c r="B899" s="2967"/>
      <c r="C899" s="2966" t="s">
        <v>6885</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6886</v>
      </c>
      <c r="B900" s="2967"/>
      <c r="C900" s="2966" t="s">
        <v>6887</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7298</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7299</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7300</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7301</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7302</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7303</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7304</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7305</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6888</v>
      </c>
      <c r="B966" s="2967"/>
      <c r="C966" s="2966" t="s">
        <v>6889</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6890</v>
      </c>
      <c r="B967" s="2967"/>
      <c r="C967" s="2966" t="s">
        <v>6891</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6443</v>
      </c>
      <c r="B968" s="2967"/>
      <c r="C968" s="2966" t="s">
        <v>7309</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7310</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7311</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7312</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7313</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7314</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7315</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6892</v>
      </c>
      <c r="B976" s="2967"/>
      <c r="C976" s="2966" t="s">
        <v>6893</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6894</v>
      </c>
      <c r="B977" s="2967"/>
      <c r="C977" s="2966" t="s">
        <v>6895</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6896</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6897</v>
      </c>
      <c r="B984" s="2967"/>
      <c r="C984" s="2966" t="s">
        <v>6898</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6899</v>
      </c>
      <c r="B996" s="2967"/>
      <c r="C996" s="2966" t="s">
        <v>6900</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6901</v>
      </c>
      <c r="B1003" s="2967"/>
      <c r="C1003" s="2981" t="s">
        <v>4921</v>
      </c>
      <c r="D1003" s="69" t="s">
        <v>6902</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6903</v>
      </c>
      <c r="B1005" s="2967"/>
      <c r="C1005" s="2981" t="s">
        <v>4919</v>
      </c>
      <c r="D1005" s="69" t="s">
        <v>6902</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6904</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6905</v>
      </c>
      <c r="B1025" s="2967" t="s">
        <v>5837</v>
      </c>
      <c r="C1025" s="2966" t="s">
        <v>6906</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6907</v>
      </c>
      <c r="B1026" s="2967" t="s">
        <v>5840</v>
      </c>
      <c r="C1026" s="2966" t="s">
        <v>6908</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6512</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6512</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6512</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6512</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6909</v>
      </c>
      <c r="B1060" s="2967" t="s">
        <v>6646</v>
      </c>
      <c r="C1060" s="2981" t="s">
        <v>6910</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6911</v>
      </c>
      <c r="B1064" s="2967" t="s">
        <v>6646</v>
      </c>
      <c r="C1064" s="2981" t="s">
        <v>6912</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6512</v>
      </c>
      <c r="H1083" s="2968"/>
      <c r="I1083" s="2968"/>
      <c r="J1083" s="2968" t="str">
        <f t="shared" si="33"/>
        <v>FCO100-22</v>
      </c>
      <c r="K1083" s="2969" t="str">
        <f t="shared" si="32"/>
        <v>FCO100-22FCO 24kV - 100A</v>
      </c>
    </row>
    <row r="1084" spans="1:11" hidden="1">
      <c r="A1084" s="2966" t="s">
        <v>6913</v>
      </c>
      <c r="B1084" s="2967" t="s">
        <v>5514</v>
      </c>
      <c r="C1084" s="2981" t="s">
        <v>95</v>
      </c>
      <c r="D1084" s="69" t="s">
        <v>2547</v>
      </c>
      <c r="E1084" s="2968"/>
      <c r="F1084" s="2968">
        <v>2</v>
      </c>
      <c r="G1084" s="2968" t="s">
        <v>6512</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6512</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6512</v>
      </c>
      <c r="H1086" s="2968"/>
      <c r="I1086" s="2968"/>
      <c r="J1086" s="2968" t="str">
        <f t="shared" si="33"/>
        <v>FCO200-22</v>
      </c>
      <c r="K1086" s="2969" t="str">
        <f t="shared" si="32"/>
        <v xml:space="preserve">FCO200-22FCO 24KV - 200A </v>
      </c>
    </row>
    <row r="1087" spans="1:11" hidden="1">
      <c r="A1087" s="2966" t="s">
        <v>1893</v>
      </c>
      <c r="B1087" s="2967" t="s">
        <v>6914</v>
      </c>
      <c r="C1087" s="2981" t="s">
        <v>6915</v>
      </c>
      <c r="D1087" s="69" t="s">
        <v>2547</v>
      </c>
      <c r="E1087" s="2968"/>
      <c r="F1087" s="2968">
        <v>2</v>
      </c>
      <c r="G1087" s="2968" t="s">
        <v>6512</v>
      </c>
      <c r="H1087" s="2968"/>
      <c r="I1087" s="2968"/>
      <c r="J1087" s="2968" t="str">
        <f t="shared" si="33"/>
        <v>FCO100</v>
      </c>
      <c r="K1087" s="2969" t="str">
        <f t="shared" si="32"/>
        <v>FCO100FCO 27kV - 100A</v>
      </c>
    </row>
    <row r="1088" spans="1:11" hidden="1">
      <c r="A1088" s="2966" t="s">
        <v>672</v>
      </c>
      <c r="B1088" s="2967" t="s">
        <v>6914</v>
      </c>
      <c r="C1088" s="2981" t="s">
        <v>6916</v>
      </c>
      <c r="D1088" s="69" t="s">
        <v>2547</v>
      </c>
      <c r="E1088" s="2968"/>
      <c r="F1088" s="2968">
        <v>2</v>
      </c>
      <c r="G1088" s="2968" t="s">
        <v>6512</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6917</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6477</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6918</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6919</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6920</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6921</v>
      </c>
      <c r="B1163" s="2967"/>
      <c r="C1163" s="2966" t="s">
        <v>6922</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6923</v>
      </c>
      <c r="B1164" s="2967"/>
      <c r="C1164" s="2981" t="s">
        <v>6924</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6925</v>
      </c>
      <c r="B1166" s="2967"/>
      <c r="C1166" s="2966" t="s">
        <v>6926</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6927</v>
      </c>
      <c r="B1167" s="2967"/>
      <c r="C1167" s="2966" t="s">
        <v>6928</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6929</v>
      </c>
      <c r="B1169" s="2967"/>
      <c r="C1169" s="2966" t="s">
        <v>6930</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6931</v>
      </c>
      <c r="B1170" s="2967"/>
      <c r="C1170" s="2966" t="s">
        <v>6932</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6933</v>
      </c>
      <c r="B1175" s="2967"/>
      <c r="C1175" s="2966" t="s">
        <v>6934</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6935</v>
      </c>
      <c r="B1177" s="2967"/>
      <c r="C1177" s="2966" t="s">
        <v>6936</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6937</v>
      </c>
      <c r="B1179" s="2967"/>
      <c r="C1179" s="2966" t="s">
        <v>6938</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6441</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6939</v>
      </c>
      <c r="B1189" s="2967"/>
      <c r="C1189" s="2966" t="s">
        <v>6940</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6941</v>
      </c>
      <c r="B1190" s="2967"/>
      <c r="C1190" s="2966" t="s">
        <v>6942</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6943</v>
      </c>
      <c r="B1191" s="2967"/>
      <c r="C1191" s="2966" t="s">
        <v>6942</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6944</v>
      </c>
      <c r="B1192" s="2967"/>
      <c r="C1192" s="2966" t="s">
        <v>6945</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6946</v>
      </c>
      <c r="B1221" s="3004" t="s">
        <v>5411</v>
      </c>
      <c r="C1221" s="2969" t="s">
        <v>6947</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6948</v>
      </c>
      <c r="B1223" s="2967" t="s">
        <v>5413</v>
      </c>
      <c r="C1223" s="2966" t="s">
        <v>6949</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6950</v>
      </c>
      <c r="B1226" s="2967" t="s">
        <v>5409</v>
      </c>
      <c r="C1226" s="2966" t="s">
        <v>6951</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6952</v>
      </c>
      <c r="B1229" s="2967" t="s">
        <v>5410</v>
      </c>
      <c r="C1229" s="2966" t="s">
        <v>6953</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6954</v>
      </c>
      <c r="B1239" s="2967" t="s">
        <v>6599</v>
      </c>
      <c r="C1239" s="2966" t="s">
        <v>6955</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6481</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6956</v>
      </c>
      <c r="B1268" s="2967" t="s">
        <v>5436</v>
      </c>
      <c r="C1268" s="2966" t="s">
        <v>6957</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6958</v>
      </c>
      <c r="B1269" s="2967" t="s">
        <v>6596</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6959</v>
      </c>
      <c r="B1271" s="2967" t="s">
        <v>5432</v>
      </c>
      <c r="C1271" s="2966" t="s">
        <v>6960</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6961</v>
      </c>
      <c r="B1272" s="2967" t="s">
        <v>6602</v>
      </c>
      <c r="C1272" s="2966" t="s">
        <v>6962</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6963</v>
      </c>
      <c r="B1273" s="2967" t="s">
        <v>5432</v>
      </c>
      <c r="C1273" s="2966" t="s">
        <v>6964</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6965</v>
      </c>
      <c r="B1274" s="2967" t="s">
        <v>6605</v>
      </c>
      <c r="C1274" s="2966" t="s">
        <v>6966</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6967</v>
      </c>
      <c r="B1275" s="2967" t="s">
        <v>5433</v>
      </c>
      <c r="C1275" s="2966" t="s">
        <v>6968</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6969</v>
      </c>
      <c r="B1276" s="2967" t="s">
        <v>6608</v>
      </c>
      <c r="C1276" s="2966" t="s">
        <v>6970</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6971</v>
      </c>
      <c r="B1283" s="3004" t="s">
        <v>1762</v>
      </c>
      <c r="C1283" s="2969" t="s">
        <v>6972</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6973</v>
      </c>
      <c r="B1285" s="3004" t="s">
        <v>6555</v>
      </c>
      <c r="C1285" s="2969" t="s">
        <v>6974</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6975</v>
      </c>
      <c r="B1287" s="3004" t="s">
        <v>6553</v>
      </c>
      <c r="C1287" s="2969" t="s">
        <v>6976</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6977</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6978</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6979</v>
      </c>
      <c r="B1312" s="3004" t="s">
        <v>6639</v>
      </c>
      <c r="C1312" s="2969" t="s">
        <v>6980</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6981</v>
      </c>
      <c r="B1313" s="3004" t="s">
        <v>6639</v>
      </c>
      <c r="C1313" s="2969" t="s">
        <v>6982</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6983</v>
      </c>
      <c r="B1314" s="3004" t="s">
        <v>6639</v>
      </c>
      <c r="C1314" s="2969" t="s">
        <v>6984</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6985</v>
      </c>
      <c r="B1315" s="3004" t="s">
        <v>6639</v>
      </c>
      <c r="C1315" s="2969" t="s">
        <v>6986</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6987</v>
      </c>
      <c r="B1316" s="3004" t="s">
        <v>6634</v>
      </c>
      <c r="C1316" s="2969" t="s">
        <v>6988</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6989</v>
      </c>
      <c r="B1317" s="3004" t="s">
        <v>6634</v>
      </c>
      <c r="C1317" s="2969" t="s">
        <v>6990</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6991</v>
      </c>
      <c r="B1318" s="3004" t="s">
        <v>6634</v>
      </c>
      <c r="C1318" s="2969" t="s">
        <v>6992</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6993</v>
      </c>
      <c r="B1319" s="3004" t="s">
        <v>6634</v>
      </c>
      <c r="C1319" s="2969" t="s">
        <v>6994</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6995</v>
      </c>
      <c r="B1320" s="3004" t="s">
        <v>6629</v>
      </c>
      <c r="C1320" s="2969" t="s">
        <v>6996</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6997</v>
      </c>
      <c r="B1321" s="3004" t="s">
        <v>6629</v>
      </c>
      <c r="C1321" s="2969" t="s">
        <v>6998</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6999</v>
      </c>
      <c r="B1332" s="3004"/>
      <c r="C1332" s="2969" t="s">
        <v>7000</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7001</v>
      </c>
      <c r="B1335" s="3004"/>
      <c r="C1335" s="2969" t="s">
        <v>7002</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7003</v>
      </c>
      <c r="B1350" s="3004" t="s">
        <v>7004</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7005</v>
      </c>
      <c r="B1353" s="3004" t="s">
        <v>7004</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7006</v>
      </c>
      <c r="B1377" s="3004" t="s">
        <v>7007</v>
      </c>
      <c r="C1377" s="2969" t="s">
        <v>7008</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7009</v>
      </c>
      <c r="B1380" s="3004" t="s">
        <v>7007</v>
      </c>
      <c r="C1380" s="2969" t="s">
        <v>7010</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7011</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7012</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7013</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7014</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7015</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7016</v>
      </c>
      <c r="B1410" s="3004"/>
      <c r="C1410" s="2969" t="s">
        <v>7017</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7018</v>
      </c>
      <c r="B1411" s="3004"/>
      <c r="C1411" s="2969" t="s">
        <v>7019</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6438</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6439</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6512</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6512</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6512</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7020</v>
      </c>
      <c r="B1458" s="3004" t="s">
        <v>7021</v>
      </c>
      <c r="C1458" s="2969" t="s">
        <v>7022</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7023</v>
      </c>
      <c r="B1459" s="3004" t="s">
        <v>7024</v>
      </c>
      <c r="C1459" s="2969" t="s">
        <v>7025</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7026</v>
      </c>
      <c r="B1460" s="3004" t="s">
        <v>7027</v>
      </c>
      <c r="C1460" s="2969" t="s">
        <v>7028</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7029</v>
      </c>
      <c r="B1461" s="3004" t="s">
        <v>7030</v>
      </c>
      <c r="C1461" s="2969" t="s">
        <v>7031</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7032</v>
      </c>
      <c r="B1462" s="3004" t="s">
        <v>7033</v>
      </c>
      <c r="C1462" s="2969" t="s">
        <v>7034</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7035</v>
      </c>
      <c r="B1463" s="3004" t="s">
        <v>5377</v>
      </c>
      <c r="C1463" s="2969" t="s">
        <v>7036</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6465</v>
      </c>
      <c r="B1464" s="3004"/>
      <c r="C1464" s="2969" t="s">
        <v>6467</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6450</v>
      </c>
      <c r="B1465" s="3004"/>
      <c r="C1465" s="2969" t="s">
        <v>6463</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7037</v>
      </c>
      <c r="B1467" s="3004" t="s">
        <v>5259</v>
      </c>
      <c r="C1467" s="2969" t="s">
        <v>7038</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7039</v>
      </c>
      <c r="B1468" s="3004" t="s">
        <v>5259</v>
      </c>
      <c r="C1468" s="2969" t="s">
        <v>7038</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7040</v>
      </c>
      <c r="B1469" s="3004" t="s">
        <v>5259</v>
      </c>
      <c r="C1469" s="2969" t="s">
        <v>7041</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6452</v>
      </c>
      <c r="B1473" s="3004"/>
      <c r="C1473" s="2969" t="s">
        <v>6454</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6474</v>
      </c>
      <c r="B1474" s="3004"/>
      <c r="C1474" s="2969" t="s">
        <v>6476</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7042</v>
      </c>
      <c r="B1493" s="3004"/>
      <c r="C1493" s="2969" t="s">
        <v>7043</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7044</v>
      </c>
      <c r="B1501" s="3004" t="s">
        <v>6671</v>
      </c>
      <c r="C1501" s="2969" t="s">
        <v>7045</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6484</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7046</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6448</v>
      </c>
      <c r="B1517" s="3004"/>
      <c r="C1517" s="2969" t="s">
        <v>6462</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7047</v>
      </c>
      <c r="B1519" s="3004" t="s">
        <v>5067</v>
      </c>
      <c r="C1519" s="2969" t="s">
        <v>7048</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7049</v>
      </c>
      <c r="B1520" s="3004" t="s">
        <v>5067</v>
      </c>
      <c r="C1520" s="2969" t="s">
        <v>7050</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7051</v>
      </c>
      <c r="B1521" s="3004" t="s">
        <v>5067</v>
      </c>
      <c r="C1521" s="2969" t="s">
        <v>7052</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7053</v>
      </c>
      <c r="B1522" s="3004" t="s">
        <v>5067</v>
      </c>
      <c r="C1522" s="2969" t="s">
        <v>7054</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7055</v>
      </c>
      <c r="B1523" s="3004" t="s">
        <v>5067</v>
      </c>
      <c r="C1523" s="2969" t="s">
        <v>7056</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7057</v>
      </c>
      <c r="B1532" s="3004" t="s">
        <v>6652</v>
      </c>
      <c r="C1532" s="2969" t="s">
        <v>7058</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7059</v>
      </c>
      <c r="B1539" s="3004" t="s">
        <v>5317</v>
      </c>
      <c r="C1539" s="2969" t="s">
        <v>7060</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7061</v>
      </c>
      <c r="B1540" s="3004" t="s">
        <v>6589</v>
      </c>
      <c r="C1540" s="2969" t="s">
        <v>7062</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7063</v>
      </c>
      <c r="B1541" s="3004" t="s">
        <v>6559</v>
      </c>
      <c r="C1541" s="2969" t="s">
        <v>7064</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7065</v>
      </c>
      <c r="B1542" s="3004" t="s">
        <v>5308</v>
      </c>
      <c r="C1542" s="2969" t="s">
        <v>7066</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7067</v>
      </c>
      <c r="B1543" s="3004" t="s">
        <v>5311</v>
      </c>
      <c r="C1543" s="2969" t="s">
        <v>7068</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7069</v>
      </c>
      <c r="B1544" s="3004" t="s">
        <v>5314</v>
      </c>
      <c r="C1544" s="2969" t="s">
        <v>7070</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7071</v>
      </c>
      <c r="B1545" s="3004" t="s">
        <v>5320</v>
      </c>
      <c r="C1545" s="2969" t="s">
        <v>7072</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7073</v>
      </c>
      <c r="B1546" s="3004" t="s">
        <v>5323</v>
      </c>
      <c r="C1546" s="2969" t="s">
        <v>7074</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7075</v>
      </c>
      <c r="B1547" s="3004" t="s">
        <v>5317</v>
      </c>
      <c r="C1547" s="2969" t="s">
        <v>7076</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7077</v>
      </c>
      <c r="B1548" s="3004" t="s">
        <v>7078</v>
      </c>
      <c r="C1548" s="2969" t="s">
        <v>7079</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7080</v>
      </c>
      <c r="B1549" s="3004" t="s">
        <v>6623</v>
      </c>
      <c r="C1549" s="2969" t="s">
        <v>7081</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7082</v>
      </c>
      <c r="B1550" s="3004" t="s">
        <v>7083</v>
      </c>
      <c r="C1550" s="2969" t="s">
        <v>7084</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7085</v>
      </c>
      <c r="B1551" s="3004" t="s">
        <v>5317</v>
      </c>
      <c r="C1551" s="2969" t="s">
        <v>7086</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7087</v>
      </c>
      <c r="B1552" s="3004" t="s">
        <v>6559</v>
      </c>
      <c r="C1552" s="2969" t="s">
        <v>7088</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7089</v>
      </c>
      <c r="B1553" s="3004" t="s">
        <v>5308</v>
      </c>
      <c r="C1553" s="2969" t="s">
        <v>7090</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7091</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7092</v>
      </c>
      <c r="B1581" s="3004"/>
      <c r="C1581" s="2969" t="s">
        <v>7093</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6485</v>
      </c>
      <c r="B1606" s="3004"/>
      <c r="C1606" s="2969" t="s">
        <v>6486</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7094</v>
      </c>
      <c r="B1610" s="3004" t="s">
        <v>6626</v>
      </c>
      <c r="C1610" s="2969" t="s">
        <v>7095</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7096</v>
      </c>
      <c r="B1613" s="3004" t="s">
        <v>7097</v>
      </c>
      <c r="C1613" s="2969" t="s">
        <v>7098</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7099</v>
      </c>
      <c r="B1639" s="3004" t="s">
        <v>7100</v>
      </c>
      <c r="C1639" s="2969" t="s">
        <v>7101</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7102</v>
      </c>
      <c r="B1640" s="3004" t="s">
        <v>7103</v>
      </c>
      <c r="C1640" s="2969" t="s">
        <v>7104</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7105</v>
      </c>
      <c r="B1641" s="3004" t="s">
        <v>7106</v>
      </c>
      <c r="C1641" s="2969" t="s">
        <v>7107</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7108</v>
      </c>
      <c r="B1642" s="3004" t="s">
        <v>7109</v>
      </c>
      <c r="C1642" s="2969" t="s">
        <v>7110</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7111</v>
      </c>
      <c r="B1643" s="3004" t="s">
        <v>7078</v>
      </c>
      <c r="C1643" s="2969" t="s">
        <v>7112</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7113</v>
      </c>
      <c r="B1644" s="3004" t="s">
        <v>7114</v>
      </c>
      <c r="C1644" s="2969" t="s">
        <v>7115</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6512</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6512</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6512</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6512</v>
      </c>
      <c r="H1656" s="2968"/>
      <c r="I1656" s="2968"/>
      <c r="J1656" s="2968" t="str">
        <f t="shared" si="51"/>
        <v>LBFCO200-22</v>
      </c>
      <c r="K1656" s="2969" t="str">
        <f t="shared" si="50"/>
        <v>LBFCO200-22LBFCO-24KV-200A</v>
      </c>
    </row>
    <row r="1657" spans="1:11">
      <c r="A1657" s="2969" t="s">
        <v>599</v>
      </c>
      <c r="B1657" s="3015" t="s">
        <v>1501</v>
      </c>
      <c r="C1657" s="2969" t="s">
        <v>7334</v>
      </c>
      <c r="D1657" s="2968" t="s">
        <v>2433</v>
      </c>
      <c r="E1657" s="2968"/>
      <c r="F1657" s="2968">
        <v>9</v>
      </c>
      <c r="G1657" s="2968" t="s">
        <v>6512</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6512</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6512</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6512</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6512</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6512</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6512</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6512</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6512</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6512</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6512</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6512</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6512</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6512</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6512</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6512</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6512</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6512</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6512</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6512</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6512</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6512</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6512</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6512</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6512</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6512</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6512</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6512</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6512</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6512</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6512</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6512</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6512</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6512</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6512</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6512</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6512</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6512</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6512</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6512</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6512</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6512</v>
      </c>
      <c r="H1711" s="2968"/>
      <c r="I1711" s="2968"/>
      <c r="J1711" s="2968" t="str">
        <f t="shared" si="53"/>
        <v>TR7501</v>
      </c>
      <c r="K1711" s="2969" t="str">
        <f t="shared" si="52"/>
        <v>TR7501Máy biến áp 22/0,4kV- 750kVA</v>
      </c>
    </row>
    <row r="1712" spans="1:11" hidden="1">
      <c r="A1712" s="2969" t="s">
        <v>7116</v>
      </c>
      <c r="B1712" s="3004" t="s">
        <v>5510</v>
      </c>
      <c r="C1712" s="2969" t="s">
        <v>7117</v>
      </c>
      <c r="D1712" s="2968" t="s">
        <v>3285</v>
      </c>
      <c r="E1712" s="2968"/>
      <c r="F1712" s="2968">
        <v>1</v>
      </c>
      <c r="G1712" s="2968" t="s">
        <v>6512</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6512</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6512</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6512</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6512</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6512</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6512</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6512</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6512</v>
      </c>
      <c r="H1720" s="2968"/>
      <c r="I1720" s="2968"/>
      <c r="J1720" s="2968" t="str">
        <f t="shared" si="53"/>
        <v>ATM50</v>
      </c>
      <c r="K1720" s="2969" t="str">
        <f t="shared" si="52"/>
        <v xml:space="preserve">ATM50MCCB - 3P-400V-63A-25KA  Icu=Ics </v>
      </c>
    </row>
    <row r="1721" spans="1:11" hidden="1">
      <c r="A1721" s="2969" t="s">
        <v>7118</v>
      </c>
      <c r="B1721" s="3004" t="s">
        <v>7119</v>
      </c>
      <c r="C1721" s="2969" t="s">
        <v>7120</v>
      </c>
      <c r="D1721" s="2968" t="s">
        <v>2547</v>
      </c>
      <c r="E1721" s="2968"/>
      <c r="F1721" s="2968">
        <v>4</v>
      </c>
      <c r="G1721" s="2968" t="s">
        <v>6512</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6512</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6512</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6512</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6512</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6512</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6512</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6512</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6512</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6512</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6512</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6512</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6512</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6512</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6512</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6512</v>
      </c>
      <c r="H1736" s="2968"/>
      <c r="I1736" s="2968"/>
      <c r="J1736" s="2968" t="str">
        <f t="shared" si="55"/>
        <v>ATM80</v>
      </c>
      <c r="K1736" s="2969" t="str">
        <f t="shared" si="54"/>
        <v>ATM80MCCB 3 cực 400V-80A - 10KA</v>
      </c>
    </row>
    <row r="1737" spans="1:11" hidden="1">
      <c r="A1737" s="2969" t="s">
        <v>7121</v>
      </c>
      <c r="B1737" s="3004" t="s">
        <v>5604</v>
      </c>
      <c r="C1737" s="2969" t="s">
        <v>7122</v>
      </c>
      <c r="D1737" s="2968" t="s">
        <v>2547</v>
      </c>
      <c r="E1737" s="2968"/>
      <c r="F1737" s="2968">
        <v>4</v>
      </c>
      <c r="G1737" s="2968" t="s">
        <v>6512</v>
      </c>
      <c r="H1737" s="2968"/>
      <c r="I1737" s="2968"/>
      <c r="J1737" s="2968" t="str">
        <f t="shared" si="55"/>
        <v>ATM1000L</v>
      </c>
      <c r="K1737" s="2969" t="str">
        <f t="shared" si="54"/>
        <v>ATM1000LMCCB 3 cực 600V - 1000A - 65KA</v>
      </c>
    </row>
    <row r="1738" spans="1:11" hidden="1">
      <c r="A1738" s="2969" t="s">
        <v>7123</v>
      </c>
      <c r="B1738" s="3004" t="s">
        <v>5604</v>
      </c>
      <c r="C1738" s="2969" t="s">
        <v>7124</v>
      </c>
      <c r="D1738" s="2968" t="s">
        <v>2547</v>
      </c>
      <c r="E1738" s="2968"/>
      <c r="F1738" s="2968">
        <v>4</v>
      </c>
      <c r="G1738" s="2968" t="s">
        <v>6512</v>
      </c>
      <c r="H1738" s="2968"/>
      <c r="I1738" s="2968"/>
      <c r="J1738" s="2968" t="str">
        <f t="shared" si="55"/>
        <v>ATM1200</v>
      </c>
      <c r="K1738" s="2969" t="str">
        <f t="shared" si="54"/>
        <v>ATM1200MCCB 3 cực 600V - 1200A - 65KA</v>
      </c>
    </row>
    <row r="1739" spans="1:11" hidden="1">
      <c r="A1739" s="2969" t="s">
        <v>7125</v>
      </c>
      <c r="B1739" s="3004" t="s">
        <v>7126</v>
      </c>
      <c r="C1739" s="2969" t="s">
        <v>7127</v>
      </c>
      <c r="D1739" s="2968" t="s">
        <v>2547</v>
      </c>
      <c r="E1739" s="2968"/>
      <c r="F1739" s="2968">
        <v>4</v>
      </c>
      <c r="G1739" s="2968" t="s">
        <v>6512</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6512</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6512</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7128</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7129</v>
      </c>
      <c r="B1748" s="3004"/>
      <c r="C1748" s="2969" t="s">
        <v>7130</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6581</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6581</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6581</v>
      </c>
      <c r="H1752" s="2968"/>
      <c r="I1752" s="2968"/>
      <c r="J1752" s="2968" t="str">
        <f t="shared" si="55"/>
        <v>M12BT ĐÔI</v>
      </c>
      <c r="K1752" s="2969" t="str">
        <f t="shared" si="54"/>
        <v>M12BT ĐÔIMóng bê tông trụ đôi 12m</v>
      </c>
    </row>
    <row r="1753" spans="1:11" hidden="1">
      <c r="A1753" s="2969" t="s">
        <v>7131</v>
      </c>
      <c r="B1753" s="3004" t="s">
        <v>7132</v>
      </c>
      <c r="C1753" s="2969" t="s">
        <v>2358</v>
      </c>
      <c r="D1753" s="2968" t="s">
        <v>2321</v>
      </c>
      <c r="E1753" s="2968"/>
      <c r="F1753" s="2968">
        <v>2000</v>
      </c>
      <c r="G1753" s="2968" t="s">
        <v>6581</v>
      </c>
      <c r="H1753" s="2968"/>
      <c r="I1753" s="2968"/>
      <c r="J1753" s="2968" t="str">
        <f t="shared" si="55"/>
        <v>M12BTD</v>
      </c>
      <c r="K1753" s="2969" t="str">
        <f t="shared" si="54"/>
        <v>M12BTDMóng bê tông trụ đôi 12m</v>
      </c>
    </row>
    <row r="1754" spans="1:11" hidden="1">
      <c r="A1754" s="2969" t="s">
        <v>7133</v>
      </c>
      <c r="B1754" s="3004"/>
      <c r="C1754" s="2969" t="s">
        <v>7134</v>
      </c>
      <c r="D1754" s="2968" t="s">
        <v>2321</v>
      </c>
      <c r="E1754" s="2968"/>
      <c r="F1754" s="2968">
        <v>2000</v>
      </c>
      <c r="G1754" s="2968" t="s">
        <v>6581</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6581</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6581</v>
      </c>
      <c r="H1756" s="2968"/>
      <c r="I1756" s="2968"/>
      <c r="J1756" s="2968" t="str">
        <f t="shared" si="55"/>
        <v>M14BT Đôi</v>
      </c>
      <c r="K1756" s="2969" t="str">
        <f t="shared" si="54"/>
        <v>M14BT ĐôiMóng bê tông trụ đôi 14m</v>
      </c>
    </row>
    <row r="1757" spans="1:11" hidden="1">
      <c r="A1757" s="2969" t="s">
        <v>7135</v>
      </c>
      <c r="B1757" s="3004"/>
      <c r="C1757" s="2969" t="s">
        <v>6405</v>
      </c>
      <c r="D1757" s="2968" t="s">
        <v>2321</v>
      </c>
      <c r="E1757" s="2968"/>
      <c r="F1757" s="2968">
        <v>2000</v>
      </c>
      <c r="G1757" s="2968" t="s">
        <v>6581</v>
      </c>
      <c r="H1757" s="2968"/>
      <c r="I1757" s="2968"/>
      <c r="J1757" s="2968" t="str">
        <f t="shared" si="55"/>
        <v>M14BTD</v>
      </c>
      <c r="K1757" s="2969" t="str">
        <f t="shared" si="54"/>
        <v>M14BTDMóng bê tông trụ đôi 14m</v>
      </c>
    </row>
    <row r="1758" spans="1:11" hidden="1">
      <c r="A1758" s="2969" t="s">
        <v>7136</v>
      </c>
      <c r="B1758" s="3004"/>
      <c r="C1758" s="2969" t="s">
        <v>7137</v>
      </c>
      <c r="D1758" s="2968" t="s">
        <v>2321</v>
      </c>
      <c r="E1758" s="2968"/>
      <c r="F1758" s="2968">
        <v>2000</v>
      </c>
      <c r="G1758" s="2968" t="s">
        <v>6581</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6581</v>
      </c>
      <c r="H1759" s="2968"/>
      <c r="I1759" s="2968"/>
      <c r="J1759" s="2968" t="str">
        <f t="shared" si="55"/>
        <v>M7BT Đôi</v>
      </c>
      <c r="K1759" s="2969" t="str">
        <f t="shared" si="54"/>
        <v>M7BT ĐôiMóng bê tông trụ đôi 7,5m</v>
      </c>
    </row>
    <row r="1760" spans="1:11" hidden="1">
      <c r="A1760" s="2969" t="s">
        <v>7138</v>
      </c>
      <c r="B1760" s="3004"/>
      <c r="C1760" s="2969" t="s">
        <v>7139</v>
      </c>
      <c r="D1760" s="2968" t="s">
        <v>2321</v>
      </c>
      <c r="E1760" s="2968"/>
      <c r="F1760" s="2968">
        <v>2000</v>
      </c>
      <c r="G1760" s="2968" t="s">
        <v>6581</v>
      </c>
      <c r="H1760" s="2968"/>
      <c r="I1760" s="2968"/>
      <c r="J1760" s="2968" t="str">
        <f t="shared" si="55"/>
        <v>M8BTD</v>
      </c>
      <c r="K1760" s="2969" t="str">
        <f t="shared" si="54"/>
        <v>M8BTDMóng bê tông trụ đôi 8,4m</v>
      </c>
    </row>
    <row r="1761" spans="1:11" hidden="1">
      <c r="A1761" s="2969" t="s">
        <v>7140</v>
      </c>
      <c r="B1761" s="3004"/>
      <c r="C1761" s="2969" t="s">
        <v>7141</v>
      </c>
      <c r="D1761" s="2968" t="s">
        <v>2321</v>
      </c>
      <c r="E1761" s="2968"/>
      <c r="F1761" s="2968">
        <v>2000</v>
      </c>
      <c r="G1761" s="2968" t="s">
        <v>6581</v>
      </c>
      <c r="H1761" s="2968"/>
      <c r="I1761" s="2968"/>
      <c r="J1761" s="2968" t="str">
        <f t="shared" si="55"/>
        <v>M8BTD-D</v>
      </c>
      <c r="K1761" s="2969" t="str">
        <f t="shared" si="54"/>
        <v>M8BTD-DMóng bê tông trụ đôi 8,5m (Vướng đá)</v>
      </c>
    </row>
    <row r="1762" spans="1:11" hidden="1">
      <c r="A1762" s="2969" t="s">
        <v>7142</v>
      </c>
      <c r="B1762" s="3004"/>
      <c r="C1762" s="2969" t="s">
        <v>2338</v>
      </c>
      <c r="D1762" s="2968" t="s">
        <v>2321</v>
      </c>
      <c r="E1762" s="2968"/>
      <c r="F1762" s="2968">
        <v>2000</v>
      </c>
      <c r="G1762" s="2968" t="s">
        <v>6581</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6581</v>
      </c>
      <c r="H1763" s="2968"/>
      <c r="I1763" s="2968"/>
      <c r="J1763" s="2968" t="str">
        <f t="shared" si="55"/>
        <v>M10BT ĐƠN</v>
      </c>
      <c r="K1763" s="2969" t="str">
        <f t="shared" si="54"/>
        <v>M10BT ĐƠNMóng bê tông trụ đơn 10.5m</v>
      </c>
    </row>
    <row r="1764" spans="1:11" hidden="1">
      <c r="A1764" s="2969" t="s">
        <v>7143</v>
      </c>
      <c r="B1764" s="3004"/>
      <c r="C1764" s="2969" t="s">
        <v>2357</v>
      </c>
      <c r="D1764" s="2968" t="s">
        <v>2321</v>
      </c>
      <c r="E1764" s="2968"/>
      <c r="F1764" s="2968">
        <v>2000</v>
      </c>
      <c r="G1764" s="2968" t="s">
        <v>6581</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6581</v>
      </c>
      <c r="H1765" s="2968"/>
      <c r="I1765" s="2968"/>
      <c r="J1765" s="2968" t="str">
        <f t="shared" si="55"/>
        <v>M12BT ĐƠN</v>
      </c>
      <c r="K1765" s="2969" t="str">
        <f t="shared" si="54"/>
        <v>M12BT ĐƠNMóng bê tông trụ đơn 12m</v>
      </c>
    </row>
    <row r="1766" spans="1:11" hidden="1">
      <c r="A1766" s="2969" t="s">
        <v>7144</v>
      </c>
      <c r="B1766" s="3004"/>
      <c r="C1766" s="2969" t="s">
        <v>7145</v>
      </c>
      <c r="D1766" s="2968" t="s">
        <v>2321</v>
      </c>
      <c r="E1766" s="2968"/>
      <c r="F1766" s="2968">
        <v>2000</v>
      </c>
      <c r="G1766" s="2968" t="s">
        <v>6581</v>
      </c>
      <c r="H1766" s="2968"/>
      <c r="I1766" s="2968"/>
      <c r="J1766" s="2968" t="str">
        <f t="shared" si="55"/>
        <v>M12BT-GC</v>
      </c>
      <c r="K1766" s="2969" t="str">
        <f t="shared" si="54"/>
        <v>M12BT-GCMóng bê tông trụ đơn 12m (Gia cố bê tông)</v>
      </c>
    </row>
    <row r="1767" spans="1:11" hidden="1">
      <c r="A1767" s="2969" t="s">
        <v>7146</v>
      </c>
      <c r="B1767" s="3004"/>
      <c r="C1767" s="2969" t="s">
        <v>7147</v>
      </c>
      <c r="D1767" s="2968" t="s">
        <v>2321</v>
      </c>
      <c r="E1767" s="2968"/>
      <c r="F1767" s="2968">
        <v>2000</v>
      </c>
      <c r="G1767" s="2968" t="s">
        <v>6581</v>
      </c>
      <c r="H1767" s="2968"/>
      <c r="I1767" s="2968"/>
      <c r="J1767" s="2968" t="str">
        <f t="shared" si="55"/>
        <v>M12BT-D</v>
      </c>
      <c r="K1767" s="2969" t="str">
        <f t="shared" si="54"/>
        <v>M12BT-DMóng bê tông trụ đơn 12m (Vướng đá)</v>
      </c>
    </row>
    <row r="1768" spans="1:11" hidden="1">
      <c r="A1768" s="2969" t="s">
        <v>7148</v>
      </c>
      <c r="B1768" s="3004"/>
      <c r="C1768" s="2969" t="s">
        <v>2365</v>
      </c>
      <c r="D1768" s="2968" t="s">
        <v>2321</v>
      </c>
      <c r="E1768" s="2968"/>
      <c r="F1768" s="2968">
        <v>2000</v>
      </c>
      <c r="G1768" s="2968" t="s">
        <v>6581</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6581</v>
      </c>
      <c r="H1769" s="2968"/>
      <c r="I1769" s="2968"/>
      <c r="J1769" s="2968" t="str">
        <f t="shared" si="55"/>
        <v>M14BT ĐƠN</v>
      </c>
      <c r="K1769" s="2969" t="str">
        <f t="shared" si="54"/>
        <v>M14BT ĐƠNMóng bê tông trụ đơn 14m</v>
      </c>
    </row>
    <row r="1770" spans="1:11" hidden="1">
      <c r="A1770" s="2969" t="s">
        <v>7149</v>
      </c>
      <c r="B1770" s="3004"/>
      <c r="C1770" s="2969" t="s">
        <v>7150</v>
      </c>
      <c r="D1770" s="2968" t="s">
        <v>2321</v>
      </c>
      <c r="E1770" s="2968"/>
      <c r="F1770" s="2968">
        <v>2000</v>
      </c>
      <c r="G1770" s="2968" t="s">
        <v>6581</v>
      </c>
      <c r="H1770" s="2968"/>
      <c r="I1770" s="2968"/>
      <c r="J1770" s="2968" t="str">
        <f t="shared" si="55"/>
        <v>M14BT-D</v>
      </c>
      <c r="K1770" s="2969" t="str">
        <f t="shared" si="54"/>
        <v>M14BT-DMóng bê tông trụ đơn 14m (Vướng đá)</v>
      </c>
    </row>
    <row r="1771" spans="1:11" hidden="1">
      <c r="A1771" s="2969" t="s">
        <v>7151</v>
      </c>
      <c r="B1771" s="3004"/>
      <c r="C1771" s="2969" t="s">
        <v>2329</v>
      </c>
      <c r="D1771" s="2968" t="s">
        <v>2321</v>
      </c>
      <c r="E1771" s="2968"/>
      <c r="F1771" s="2968">
        <v>2000</v>
      </c>
      <c r="G1771" s="2968" t="s">
        <v>6581</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6581</v>
      </c>
      <c r="H1772" s="2968"/>
      <c r="I1772" s="2968"/>
      <c r="J1772" s="2968" t="str">
        <f t="shared" si="55"/>
        <v>M8BT Đơn</v>
      </c>
      <c r="K1772" s="2969" t="str">
        <f t="shared" si="54"/>
        <v>M8BT ĐơnMóng bê tông trụ đơn 8,4m</v>
      </c>
    </row>
    <row r="1773" spans="1:11" hidden="1">
      <c r="A1773" s="2969" t="s">
        <v>7152</v>
      </c>
      <c r="B1773" s="3004"/>
      <c r="C1773" s="2969" t="s">
        <v>7153</v>
      </c>
      <c r="D1773" s="2968" t="s">
        <v>2321</v>
      </c>
      <c r="E1773" s="2968"/>
      <c r="F1773" s="2968">
        <v>2000</v>
      </c>
      <c r="G1773" s="2968" t="s">
        <v>6581</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6581</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6581</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6581</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6581</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6581</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6581</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6581</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6581</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6581</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6581</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6581</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6581</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6581</v>
      </c>
      <c r="H1786" s="2968"/>
      <c r="I1786" s="2968"/>
      <c r="J1786" s="2968" t="str">
        <f t="shared" si="55"/>
        <v>M10bb</v>
      </c>
      <c r="K1786" s="2969" t="str">
        <f t="shared" si="54"/>
        <v>M10bbMóng M10bb</v>
      </c>
    </row>
    <row r="1787" spans="1:11" hidden="1">
      <c r="A1787" s="2969" t="s">
        <v>7154</v>
      </c>
      <c r="B1787" s="3004"/>
      <c r="C1787" s="2969" t="s">
        <v>7155</v>
      </c>
      <c r="D1787" s="2968" t="s">
        <v>2321</v>
      </c>
      <c r="E1787" s="2968"/>
      <c r="F1787" s="2968">
        <v>2000</v>
      </c>
      <c r="G1787" s="2968" t="s">
        <v>6581</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6581</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6581</v>
      </c>
      <c r="H1789" s="2968"/>
      <c r="I1789" s="2968"/>
      <c r="J1789" s="2968" t="str">
        <f t="shared" si="55"/>
        <v>M12 PĐ</v>
      </c>
      <c r="K1789" s="2969" t="str">
        <f t="shared" si="54"/>
        <v>M12 PĐMóng M12 phá đá</v>
      </c>
    </row>
    <row r="1790" spans="1:11" hidden="1">
      <c r="A1790" s="2969" t="s">
        <v>7156</v>
      </c>
      <c r="B1790" s="3004"/>
      <c r="C1790" s="2969" t="s">
        <v>7157</v>
      </c>
      <c r="D1790" s="2968" t="s">
        <v>2321</v>
      </c>
      <c r="E1790" s="2968"/>
      <c r="F1790" s="2968">
        <v>2000</v>
      </c>
      <c r="G1790" s="2968" t="s">
        <v>6581</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6581</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6581</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6581</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6581</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6581</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6581</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6581</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6581</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6581</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6581</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6581</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6581</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6581</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6581</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6581</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6581</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6581</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6581</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6581</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6581</v>
      </c>
      <c r="H1810" s="2968"/>
      <c r="I1810" s="2968"/>
      <c r="J1810" s="2968" t="str">
        <f t="shared" si="57"/>
        <v>M14bb</v>
      </c>
      <c r="K1810" s="2969" t="str">
        <f t="shared" si="56"/>
        <v>M14bbMóng M14bb</v>
      </c>
    </row>
    <row r="1811" spans="1:11" hidden="1">
      <c r="A1811" s="2969" t="s">
        <v>7158</v>
      </c>
      <c r="B1811" s="3004"/>
      <c r="C1811" s="2969" t="s">
        <v>7159</v>
      </c>
      <c r="D1811" s="2968" t="s">
        <v>2321</v>
      </c>
      <c r="E1811" s="2968"/>
      <c r="F1811" s="2968">
        <v>2000</v>
      </c>
      <c r="G1811" s="2968" t="s">
        <v>6581</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6581</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6581</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6581</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6581</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6581</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6581</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6581</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6581</v>
      </c>
      <c r="H1819" s="2968"/>
      <c r="I1819" s="2968"/>
      <c r="J1819" s="2968" t="str">
        <f t="shared" si="57"/>
        <v>M8</v>
      </c>
      <c r="K1819" s="2969" t="str">
        <f t="shared" si="56"/>
        <v>M8Móng M8</v>
      </c>
    </row>
    <row r="1820" spans="1:11" hidden="1">
      <c r="A1820" s="2969" t="s">
        <v>7160</v>
      </c>
      <c r="B1820" s="3004"/>
      <c r="C1820" s="2969" t="s">
        <v>7161</v>
      </c>
      <c r="D1820" s="2968" t="s">
        <v>2321</v>
      </c>
      <c r="E1820" s="2968"/>
      <c r="F1820" s="2968">
        <v>2000</v>
      </c>
      <c r="G1820" s="2968" t="s">
        <v>6581</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6581</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6581</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6581</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6581</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6581</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6581</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6581</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6581</v>
      </c>
      <c r="H1828" s="2968"/>
      <c r="I1828" s="2968"/>
      <c r="J1828" s="2968" t="str">
        <f t="shared" si="57"/>
        <v>MTUPP</v>
      </c>
      <c r="K1828" s="2969" t="str">
        <f t="shared" si="56"/>
        <v>MTUPPMóng tủ phân phối hạ thế</v>
      </c>
    </row>
    <row r="1829" spans="1:11" hidden="1">
      <c r="A1829" s="2969" t="s">
        <v>7162</v>
      </c>
      <c r="B1829" s="3004"/>
      <c r="C1829" s="2969" t="s">
        <v>7163</v>
      </c>
      <c r="D1829" s="2968" t="s">
        <v>6492</v>
      </c>
      <c r="E1829" s="2968"/>
      <c r="F1829" s="2968">
        <v>2000</v>
      </c>
      <c r="G1829" s="2968" t="s">
        <v>6581</v>
      </c>
      <c r="H1829" s="2968"/>
      <c r="I1829" s="2968"/>
      <c r="J1829" s="2968" t="str">
        <f t="shared" si="57"/>
        <v>MCHT</v>
      </c>
      <c r="K1829" s="2969" t="str">
        <f t="shared" si="56"/>
        <v>MCHTMương cáp ngầm hạ thế</v>
      </c>
    </row>
    <row r="1830" spans="1:11" hidden="1">
      <c r="A1830" s="2969" t="s">
        <v>7164</v>
      </c>
      <c r="B1830" s="3004"/>
      <c r="C1830" s="2969" t="s">
        <v>7165</v>
      </c>
      <c r="D1830" s="2968" t="s">
        <v>6492</v>
      </c>
      <c r="E1830" s="2968"/>
      <c r="F1830" s="2968">
        <v>2000</v>
      </c>
      <c r="G1830" s="2968" t="s">
        <v>6581</v>
      </c>
      <c r="H1830" s="2968"/>
      <c r="I1830" s="2968"/>
      <c r="J1830" s="2968" t="str">
        <f t="shared" si="57"/>
        <v>MCTT2</v>
      </c>
      <c r="K1830" s="2969" t="str">
        <f t="shared" si="56"/>
        <v>MCTT2Mương cáp ngầm trung thế (2m)</v>
      </c>
    </row>
    <row r="1831" spans="1:11" hidden="1">
      <c r="A1831" s="2969" t="s">
        <v>7166</v>
      </c>
      <c r="B1831" s="3004"/>
      <c r="C1831" s="2969" t="s">
        <v>7167</v>
      </c>
      <c r="D1831" s="2968" t="s">
        <v>6492</v>
      </c>
      <c r="E1831" s="2968"/>
      <c r="F1831" s="2968">
        <v>2000</v>
      </c>
      <c r="G1831" s="2968" t="s">
        <v>6581</v>
      </c>
      <c r="H1831" s="2968"/>
      <c r="I1831" s="2968"/>
      <c r="J1831" s="2968" t="str">
        <f t="shared" si="57"/>
        <v>MCTT3</v>
      </c>
      <c r="K1831" s="2969" t="str">
        <f t="shared" si="56"/>
        <v>MCTT3Mương cáp ngầm trung thế (3m)</v>
      </c>
    </row>
    <row r="1832" spans="1:11" hidden="1">
      <c r="A1832" s="2969" t="s">
        <v>7168</v>
      </c>
      <c r="B1832" s="3004"/>
      <c r="C1832" s="2969" t="s">
        <v>7169</v>
      </c>
      <c r="D1832" s="2968" t="s">
        <v>6492</v>
      </c>
      <c r="E1832" s="2968"/>
      <c r="F1832" s="2968">
        <v>2000</v>
      </c>
      <c r="G1832" s="2968" t="s">
        <v>6581</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7170</v>
      </c>
      <c r="B1848" s="3004"/>
      <c r="C1848" s="2969" t="s">
        <v>7335</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6469</v>
      </c>
      <c r="B1854" s="3004"/>
      <c r="C1854" s="2969" t="s">
        <v>6471</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7171</v>
      </c>
      <c r="B1856" s="3004"/>
      <c r="C1856" s="2969" t="s">
        <v>7172</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7173</v>
      </c>
      <c r="B1884" s="3004"/>
      <c r="C1884" s="2969" t="s">
        <v>7174</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7175</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7176</v>
      </c>
      <c r="B1892" s="3004"/>
      <c r="C1892" s="2969" t="s">
        <v>7177</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7178</v>
      </c>
      <c r="B1894" s="3004" t="s">
        <v>5639</v>
      </c>
      <c r="C1894" s="2969" t="s">
        <v>7179</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7180</v>
      </c>
      <c r="B1902" s="2986"/>
      <c r="C1902" s="2969" t="s">
        <v>7306</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7306</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7181</v>
      </c>
      <c r="B1904" s="2986"/>
      <c r="C1904" s="2969" t="s">
        <v>7306</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7182</v>
      </c>
      <c r="B1905" s="2986"/>
      <c r="C1905" s="2969" t="s">
        <v>7306</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7183</v>
      </c>
      <c r="B1906" s="2986"/>
      <c r="C1906" s="2969" t="s">
        <v>7306</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7184</v>
      </c>
      <c r="B1907" s="2986"/>
      <c r="C1907" s="2969" t="s">
        <v>7306</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7185</v>
      </c>
      <c r="B1908" s="3004"/>
      <c r="C1908" s="2969" t="s">
        <v>7306</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7186</v>
      </c>
      <c r="B1918" s="3004"/>
      <c r="C1918" s="2969" t="s">
        <v>7187</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7188</v>
      </c>
      <c r="B1919" s="3004"/>
      <c r="C1919" s="2969" t="s">
        <v>7189</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7190</v>
      </c>
      <c r="B1920" s="3004"/>
      <c r="C1920" s="2969" t="s">
        <v>7191</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7192</v>
      </c>
      <c r="B1932" s="3004"/>
      <c r="C1932" s="2969" t="s">
        <v>7193</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7194</v>
      </c>
      <c r="B1933" s="3004"/>
      <c r="C1933" s="2969" t="s">
        <v>7195</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7196</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7197</v>
      </c>
      <c r="B1935" s="3004"/>
      <c r="C1935" s="2969" t="s">
        <v>7198</v>
      </c>
      <c r="D1935" s="2968" t="s">
        <v>6492</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7199</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7200</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7201</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7202</v>
      </c>
      <c r="B1939" s="3004"/>
      <c r="C1939" s="2969" t="s">
        <v>7203</v>
      </c>
      <c r="D1939" s="2968" t="s">
        <v>6492</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7204</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7205</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7206</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7207</v>
      </c>
      <c r="B1945" s="3004" t="s">
        <v>7132</v>
      </c>
      <c r="C1945" s="2969" t="s">
        <v>7208</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7209</v>
      </c>
      <c r="B1948" s="3004" t="s">
        <v>5231</v>
      </c>
      <c r="C1948" s="2969" t="s">
        <v>7210</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7211</v>
      </c>
      <c r="B1952" s="3004" t="s">
        <v>1501</v>
      </c>
      <c r="C1952" s="2969" t="s">
        <v>7212</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7213</v>
      </c>
      <c r="B1953" s="3004" t="s">
        <v>6914</v>
      </c>
      <c r="C1953" s="2969" t="s">
        <v>7214</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7215</v>
      </c>
      <c r="B1954" s="3004"/>
      <c r="C1954" s="2969" t="s">
        <v>7216</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7217</v>
      </c>
      <c r="B1955" s="3004"/>
      <c r="C1955" s="2969" t="s">
        <v>7218</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7219</v>
      </c>
      <c r="B1963" s="3004" t="s">
        <v>5549</v>
      </c>
      <c r="C1963" s="2969" t="s">
        <v>7220</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7221</v>
      </c>
      <c r="B1965" s="3004"/>
      <c r="C1965" s="2969" t="s">
        <v>7222</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7223</v>
      </c>
      <c r="B1966" s="3004" t="s">
        <v>5510</v>
      </c>
      <c r="C1966" s="2969" t="s">
        <v>7224</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6512</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6512</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7307</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7225</v>
      </c>
      <c r="B1998" s="3004"/>
      <c r="C1998" s="2969" t="s">
        <v>7307</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7307</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7226</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7227</v>
      </c>
      <c r="B2001" s="3004"/>
      <c r="C2001" s="2969" t="s">
        <v>7228</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7229</v>
      </c>
      <c r="B2007" s="3004"/>
      <c r="C2007" s="2969" t="s">
        <v>7308</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7308</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7308</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7308</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6436</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6437</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7230</v>
      </c>
      <c r="B2038" s="3004"/>
      <c r="C2038" s="2969" t="s">
        <v>7231</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7232</v>
      </c>
      <c r="B2039" s="3004"/>
      <c r="C2039" s="2969" t="s">
        <v>7233</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7234</v>
      </c>
      <c r="B2056" s="3004"/>
      <c r="C2056" s="2969" t="s">
        <v>7235</v>
      </c>
      <c r="D2056" s="2968" t="s">
        <v>2433</v>
      </c>
      <c r="E2056" s="2968"/>
      <c r="F2056" s="2968">
        <v>50</v>
      </c>
      <c r="G2056" s="2968" t="s">
        <v>510</v>
      </c>
      <c r="H2056" s="2968"/>
      <c r="I2056" s="2968"/>
      <c r="J2056" s="2968" t="str">
        <f t="shared" si="65"/>
        <v>TAN14</v>
      </c>
      <c r="K2056" s="2969" t="str">
        <f t="shared" si="64"/>
        <v>TAN14Tán M14</v>
      </c>
    </row>
    <row r="2057" spans="1:11" hidden="1">
      <c r="A2057" s="2969" t="s">
        <v>7236</v>
      </c>
      <c r="B2057" s="3004"/>
      <c r="C2057" s="2969" t="s">
        <v>7237</v>
      </c>
      <c r="D2057" s="2968" t="s">
        <v>2547</v>
      </c>
      <c r="E2057" s="2968"/>
      <c r="F2057" s="2968">
        <v>50</v>
      </c>
      <c r="G2057" s="2968" t="s">
        <v>510</v>
      </c>
      <c r="H2057" s="2968"/>
      <c r="I2057" s="2968"/>
      <c r="J2057" s="2968" t="str">
        <f t="shared" si="65"/>
        <v>TAN16</v>
      </c>
      <c r="K2057" s="2969" t="str">
        <f t="shared" si="64"/>
        <v>TAN16Tán M16</v>
      </c>
    </row>
    <row r="2058" spans="1:11" hidden="1">
      <c r="A2058" s="2969" t="s">
        <v>7238</v>
      </c>
      <c r="B2058" s="3004"/>
      <c r="C2058" s="2969" t="s">
        <v>7239</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7240</v>
      </c>
      <c r="B2062" s="3004"/>
      <c r="C2062" s="2969" t="s">
        <v>7241</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7242</v>
      </c>
      <c r="B2064" s="3004"/>
      <c r="C2064" s="2969" t="s">
        <v>7243</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7244</v>
      </c>
      <c r="B2072" s="3004"/>
      <c r="C2072" s="2969" t="s">
        <v>7245</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7246</v>
      </c>
      <c r="B2073" s="3004"/>
      <c r="C2073" s="2969" t="s">
        <v>7247</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7248</v>
      </c>
      <c r="B2074" s="3004"/>
      <c r="C2074" s="2969" t="s">
        <v>7249</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7250</v>
      </c>
      <c r="B2075" s="3004"/>
      <c r="C2075" s="2969" t="s">
        <v>7251</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6464</v>
      </c>
      <c r="B2078" s="3004"/>
      <c r="C2078" s="2969" t="s">
        <v>6466</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6449</v>
      </c>
      <c r="B2079" s="3004"/>
      <c r="C2079" s="2969" t="s">
        <v>6461</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6445</v>
      </c>
      <c r="B2083" s="3004" t="s">
        <v>5807</v>
      </c>
      <c r="C2083" s="2969" t="s">
        <v>6446</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6451</v>
      </c>
      <c r="B2084" s="3004"/>
      <c r="C2084" s="2969" t="s">
        <v>6453</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6473</v>
      </c>
      <c r="B2085" s="3004"/>
      <c r="C2085" s="2969" t="s">
        <v>6475</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6447</v>
      </c>
      <c r="B2088" s="3004"/>
      <c r="C2088" s="2969" t="s">
        <v>6460</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7252</v>
      </c>
      <c r="B2156" s="3004" t="s">
        <v>7253</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7254</v>
      </c>
      <c r="B2159" s="3004"/>
      <c r="C2159" s="2969" t="s">
        <v>7255</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7256</v>
      </c>
      <c r="B2160" s="3004"/>
      <c r="C2160" s="2969" t="s">
        <v>7257</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7258</v>
      </c>
      <c r="B2161" s="3004"/>
      <c r="C2161" s="2969" t="s">
        <v>7259</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7260</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7261</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7262</v>
      </c>
      <c r="B2169" s="3004"/>
      <c r="C2169" s="2969" t="s">
        <v>7263</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6470</v>
      </c>
      <c r="B2178" s="3004"/>
      <c r="C2178" s="2969" t="s">
        <v>6472</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7264</v>
      </c>
      <c r="H2179" s="2968"/>
      <c r="I2179" s="2968"/>
      <c r="J2179" s="2968" t="str">
        <f t="shared" si="67"/>
        <v>BTLT 10.5</v>
      </c>
      <c r="K2179" s="2969" t="str">
        <f t="shared" ref="K2179:K2242" si="68">A2179&amp;C2179</f>
        <v>BTLT 10.5Trụ bê tông ly tâm 10.5m</v>
      </c>
    </row>
    <row r="2180" spans="1:11" hidden="1">
      <c r="A2180" s="2969" t="s">
        <v>7265</v>
      </c>
      <c r="B2180" s="3004" t="s">
        <v>6868</v>
      </c>
      <c r="C2180" s="2969" t="s">
        <v>2400</v>
      </c>
      <c r="D2180" s="2968" t="s">
        <v>2271</v>
      </c>
      <c r="E2180" s="2968"/>
      <c r="F2180" s="2968">
        <v>2000</v>
      </c>
      <c r="G2180" s="2968" t="s">
        <v>7264</v>
      </c>
      <c r="H2180" s="2968"/>
      <c r="I2180" s="2968"/>
      <c r="J2180" s="2968" t="str">
        <f t="shared" ref="J2180:J2243" si="69">A2180</f>
        <v>BTLT10</v>
      </c>
      <c r="K2180" s="2969" t="str">
        <f t="shared" si="68"/>
        <v>BTLT10Trụ bê tông ly tâm 10.5m</v>
      </c>
    </row>
    <row r="2181" spans="1:11" hidden="1">
      <c r="A2181" s="2969" t="s">
        <v>7266</v>
      </c>
      <c r="B2181" s="3004" t="s">
        <v>7033</v>
      </c>
      <c r="C2181" s="2969" t="s">
        <v>7267</v>
      </c>
      <c r="D2181" s="2968" t="s">
        <v>2271</v>
      </c>
      <c r="E2181" s="2968"/>
      <c r="F2181" s="2968">
        <v>2000</v>
      </c>
      <c r="G2181" s="2968" t="s">
        <v>7264</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7264</v>
      </c>
      <c r="H2182" s="2968"/>
      <c r="I2182" s="2968"/>
      <c r="J2182" s="2968" t="str">
        <f t="shared" si="69"/>
        <v>BTLT 12 F540</v>
      </c>
      <c r="K2182" s="2969" t="str">
        <f t="shared" si="68"/>
        <v>BTLT 12 F540Trụ bê tông ly tâm 12m</v>
      </c>
    </row>
    <row r="2183" spans="1:11" hidden="1">
      <c r="A2183" s="2969" t="s">
        <v>7268</v>
      </c>
      <c r="B2183" s="3004"/>
      <c r="C2183" s="2969" t="s">
        <v>3695</v>
      </c>
      <c r="D2183" s="2968" t="s">
        <v>2379</v>
      </c>
      <c r="E2183" s="2968"/>
      <c r="F2183" s="2968">
        <v>2000</v>
      </c>
      <c r="G2183" s="2968" t="s">
        <v>7264</v>
      </c>
      <c r="H2183" s="2968"/>
      <c r="I2183" s="2968"/>
      <c r="J2183" s="2968" t="str">
        <f t="shared" si="69"/>
        <v>BTLT-12</v>
      </c>
      <c r="K2183" s="2969" t="str">
        <f t="shared" si="68"/>
        <v>BTLT-12Trụ bê tông ly tâm 12m</v>
      </c>
    </row>
    <row r="2184" spans="1:11" hidden="1">
      <c r="A2184" s="2969" t="s">
        <v>7269</v>
      </c>
      <c r="B2184" s="3004" t="s">
        <v>7024</v>
      </c>
      <c r="C2184" s="2969" t="s">
        <v>7270</v>
      </c>
      <c r="D2184" s="2968" t="s">
        <v>2271</v>
      </c>
      <c r="E2184" s="2968"/>
      <c r="F2184" s="2968">
        <v>2000</v>
      </c>
      <c r="G2184" s="2968" t="s">
        <v>7264</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7264</v>
      </c>
      <c r="H2185" s="2968"/>
      <c r="I2185" s="2968"/>
      <c r="J2185" s="2968" t="str">
        <f t="shared" si="69"/>
        <v>BTLT 12 TĐ</v>
      </c>
      <c r="K2185" s="2969" t="str">
        <f t="shared" si="68"/>
        <v>BTLT 12 TĐTrụ bê tông ly tâm 12m (tiếp địa có sẵn) trồng thủ công+cơ giới</v>
      </c>
    </row>
    <row r="2186" spans="1:11" hidden="1">
      <c r="A2186" s="2969" t="s">
        <v>6442</v>
      </c>
      <c r="B2186" s="3004"/>
      <c r="C2186" s="2969" t="s">
        <v>7271</v>
      </c>
      <c r="D2186" s="2968" t="s">
        <v>2379</v>
      </c>
      <c r="E2186" s="2968"/>
      <c r="F2186" s="2968">
        <v>2000</v>
      </c>
      <c r="G2186" s="2968" t="s">
        <v>7264</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7264</v>
      </c>
      <c r="H2187" s="2968"/>
      <c r="I2187" s="2968"/>
      <c r="J2187" s="2968" t="str">
        <f t="shared" si="69"/>
        <v>BTLT 12 TC</v>
      </c>
      <c r="K2187" s="2969" t="str">
        <f t="shared" si="68"/>
        <v>BTLT 12 TCTrụ bê tông ly tâm 12m trồng thủ công</v>
      </c>
    </row>
    <row r="2188" spans="1:11" hidden="1">
      <c r="A2188" s="2969" t="s">
        <v>7272</v>
      </c>
      <c r="B2188" s="3004" t="s">
        <v>5377</v>
      </c>
      <c r="C2188" s="2969" t="s">
        <v>2403</v>
      </c>
      <c r="D2188" s="2968" t="s">
        <v>2271</v>
      </c>
      <c r="E2188" s="2968"/>
      <c r="F2188" s="2968">
        <v>2000</v>
      </c>
      <c r="G2188" s="2968" t="s">
        <v>7264</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7264</v>
      </c>
      <c r="H2189" s="2968"/>
      <c r="I2189" s="2968"/>
      <c r="J2189" s="2968" t="str">
        <f t="shared" si="69"/>
        <v>BTLT 12</v>
      </c>
      <c r="K2189" s="2969" t="str">
        <f t="shared" si="68"/>
        <v>BTLT 12Trụ bê tông ly tâm 12m trồng thủ công+cơ giới</v>
      </c>
    </row>
    <row r="2190" spans="1:11" hidden="1">
      <c r="A2190" s="2969" t="s">
        <v>7273</v>
      </c>
      <c r="B2190" s="3004" t="s">
        <v>7021</v>
      </c>
      <c r="C2190" s="2969" t="s">
        <v>2404</v>
      </c>
      <c r="D2190" s="2968" t="s">
        <v>2271</v>
      </c>
      <c r="E2190" s="2968"/>
      <c r="F2190" s="2968">
        <v>2000</v>
      </c>
      <c r="G2190" s="2968" t="s">
        <v>7264</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7264</v>
      </c>
      <c r="H2191" s="2968"/>
      <c r="I2191" s="2968"/>
      <c r="J2191" s="2968" t="str">
        <f t="shared" si="69"/>
        <v>BTLT 14</v>
      </c>
      <c r="K2191" s="2969" t="str">
        <f t="shared" si="68"/>
        <v>BTLT 14Trụ bê tông ly tâm 14m</v>
      </c>
    </row>
    <row r="2192" spans="1:11" hidden="1">
      <c r="A2192" s="2969" t="s">
        <v>7274</v>
      </c>
      <c r="B2192" s="3004" t="s">
        <v>7027</v>
      </c>
      <c r="C2192" s="2969" t="s">
        <v>2407</v>
      </c>
      <c r="D2192" s="2968" t="s">
        <v>2271</v>
      </c>
      <c r="E2192" s="2968"/>
      <c r="F2192" s="2968">
        <v>2000</v>
      </c>
      <c r="G2192" s="2968" t="s">
        <v>7264</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7264</v>
      </c>
      <c r="H2193" s="2968"/>
      <c r="I2193" s="2968"/>
      <c r="J2193" s="2968" t="str">
        <f t="shared" si="69"/>
        <v>BTLT 20</v>
      </c>
      <c r="K2193" s="2969" t="str">
        <f t="shared" si="68"/>
        <v>BTLT 20Trụ bê tông ly tâm 20m</v>
      </c>
    </row>
    <row r="2194" spans="1:11" hidden="1">
      <c r="A2194" s="2969" t="s">
        <v>7275</v>
      </c>
      <c r="B2194" s="3004" t="s">
        <v>7030</v>
      </c>
      <c r="C2194" s="2969" t="s">
        <v>2408</v>
      </c>
      <c r="D2194" s="2968" t="s">
        <v>2271</v>
      </c>
      <c r="E2194" s="2968"/>
      <c r="F2194" s="2968">
        <v>2000</v>
      </c>
      <c r="G2194" s="2968" t="s">
        <v>7264</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7264</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7264</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7264</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7264</v>
      </c>
      <c r="H2198" s="2968"/>
      <c r="I2198" s="2968"/>
      <c r="J2198" s="2968" t="str">
        <f t="shared" si="69"/>
        <v xml:space="preserve">BTLT 8.4 </v>
      </c>
      <c r="K2198" s="2969" t="str">
        <f t="shared" si="68"/>
        <v>BTLT 8.4 Trụ bê tông ly tâm 8.4m không dây tiếp địa</v>
      </c>
    </row>
    <row r="2199" spans="1:11" hidden="1">
      <c r="A2199" s="2969" t="s">
        <v>7276</v>
      </c>
      <c r="B2199" s="3004"/>
      <c r="C2199" s="2969" t="s">
        <v>7277</v>
      </c>
      <c r="D2199" s="2968" t="s">
        <v>2271</v>
      </c>
      <c r="E2199" s="2968"/>
      <c r="F2199" s="2968">
        <v>2000</v>
      </c>
      <c r="G2199" s="2968" t="s">
        <v>7264</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7264</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7264</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7264</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7264</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7264</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7264</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7264</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7264</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7264</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7264</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7264</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7264</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7264</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7264</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7264</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7264</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7264</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7264</v>
      </c>
      <c r="H2217" s="2968"/>
      <c r="I2217" s="2968"/>
      <c r="J2217" s="2968" t="str">
        <f t="shared" si="69"/>
        <v>T85</v>
      </c>
      <c r="K2217" s="2969" t="str">
        <f t="shared" si="68"/>
        <v>T85Trụ BTLT 8,5m F200 dự ứng lực</v>
      </c>
    </row>
    <row r="2218" spans="1:11" hidden="1">
      <c r="A2218" s="2969" t="s">
        <v>7278</v>
      </c>
      <c r="B2218" s="3004"/>
      <c r="C2218" s="2969" t="s">
        <v>7279</v>
      </c>
      <c r="D2218" s="2968" t="s">
        <v>2823</v>
      </c>
      <c r="E2218" s="2968"/>
      <c r="F2218" s="2968">
        <v>50</v>
      </c>
      <c r="G2218" s="2968" t="s">
        <v>7264</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7264</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7264</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7264</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6512</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6512</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7280</v>
      </c>
      <c r="B2252" s="3004" t="s">
        <v>5549</v>
      </c>
      <c r="C2252" s="2969" t="s">
        <v>7281</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7282</v>
      </c>
      <c r="B2253" s="3004" t="s">
        <v>5549</v>
      </c>
      <c r="C2253" s="2969" t="s">
        <v>7283</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7284</v>
      </c>
      <c r="B2254" s="3004" t="s">
        <v>5549</v>
      </c>
      <c r="C2254" s="2969" t="s">
        <v>7285</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7286</v>
      </c>
      <c r="B2392" s="3004"/>
      <c r="C2392" s="2969" t="s">
        <v>7287</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7288</v>
      </c>
      <c r="B2393" s="3004"/>
      <c r="C2393" s="2969" t="s">
        <v>7289</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7290</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7264</v>
      </c>
      <c r="H2395" s="2968"/>
      <c r="I2395" s="2968"/>
      <c r="J2395" s="2968" t="str">
        <f t="shared" si="75"/>
        <v xml:space="preserve">BTLT 12 </v>
      </c>
      <c r="K2395" s="2969" t="str">
        <f t="shared" si="74"/>
        <v>BTLT 12 Trụ bê tông ly tâm 12m</v>
      </c>
    </row>
    <row r="2396" spans="1:11" hidden="1">
      <c r="A2396" s="2969" t="s">
        <v>7291</v>
      </c>
      <c r="B2396" s="3004"/>
      <c r="C2396" s="2969" t="s">
        <v>7295</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275"/>
    </filterColumn>
  </autoFilter>
  <phoneticPr fontId="0" type="noConversion"/>
  <conditionalFormatting sqref="A2398:A1048576 A1:A2">
    <cfRule type="duplicateValues" dxfId="274" priority="48"/>
  </conditionalFormatting>
  <conditionalFormatting sqref="H5:I5 A2397">
    <cfRule type="duplicateValues" dxfId="273" priority="6"/>
  </conditionalFormatting>
  <conditionalFormatting sqref="B5:E5">
    <cfRule type="duplicateValues" dxfId="272" priority="4"/>
  </conditionalFormatting>
  <conditionalFormatting sqref="A3:A2396">
    <cfRule type="duplicateValues" dxfId="271"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M1" zoomScale="85" zoomScaleNormal="85" workbookViewId="0">
      <selection activeCell="AX5" sqref="AX5"/>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961" t="s">
        <v>4865</v>
      </c>
      <c r="W2" s="1721" t="s">
        <v>7321</v>
      </c>
      <c r="X2" s="1721" t="s">
        <v>6318</v>
      </c>
      <c r="Y2" s="1721" t="s">
        <v>4108</v>
      </c>
      <c r="Z2" s="1717" t="s">
        <v>4695</v>
      </c>
      <c r="AA2" s="1721" t="str">
        <f>UPPER(Z2)</f>
        <v>SUỐI CAO</v>
      </c>
      <c r="AB2" s="1720" t="s">
        <v>7322</v>
      </c>
      <c r="AC2" s="1720" t="str">
        <f>UPPER(AB2)</f>
        <v>ĐƯỜNG DÂY TRUNG THẾ &amp; TBA 3 PHA 1000 KVA - 22/0,4KV CÔNG TY CỔ PHẦN SUNRISE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7323</v>
      </c>
      <c r="AK2" s="1893" t="s">
        <v>7325</v>
      </c>
      <c r="AL2" s="1211" t="s">
        <v>6322</v>
      </c>
      <c r="AM2" s="1984" t="s">
        <v>7324</v>
      </c>
      <c r="AN2" s="2887">
        <f ca="1">Solieu!D3</f>
        <v>2</v>
      </c>
      <c r="AO2" s="2887">
        <f ca="1">Solieu!D4</f>
        <v>3</v>
      </c>
      <c r="AP2" s="2887">
        <f ca="1">Solieu!D5</f>
        <v>4</v>
      </c>
      <c r="AQ2" s="2887">
        <f ca="1">Solieu!D6</f>
        <v>4</v>
      </c>
      <c r="AR2" s="2887">
        <f ca="1">Solieu!D7</f>
        <v>5</v>
      </c>
      <c r="AS2" s="2887">
        <f ca="1">Solieu!D8</f>
        <v>6</v>
      </c>
      <c r="AT2" s="2887">
        <f ca="1">Solieu!D9</f>
        <v>7</v>
      </c>
      <c r="AU2" s="2887">
        <f ca="1">Solieu!D10</f>
        <v>8</v>
      </c>
      <c r="AV2" s="2887">
        <f ca="1">Solieu!D11</f>
        <v>9</v>
      </c>
      <c r="AW2" s="1984" t="str">
        <f t="array" ref="AW2">_xlfn.TEXTJOIN(CHAR(10),TRUE,AW5:AW16)</f>
        <v xml:space="preserve"> - Từ trụ 024A đến trụ 024A/007 đường dây dọc theo bên phải đường hiện hữu, đường dây dừng lại và đặt TBA tại trụ 024A/007</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024A/007</v>
      </c>
      <c r="AV5" s="1728" t="s">
        <v>4853</v>
      </c>
      <c r="AW5" s="2002" t="str">
        <f>IF(AX5&lt;&gt;0,AX5,IF(AU5&lt;&gt;0," - Từ trụ "&amp;AT5&amp;" đến trụ "&amp;AU5&amp;" đường dây băng qua bên "&amp;AV5&amp;" đường và đi dọc theo đường hiện hữu.",""))</f>
        <v xml:space="preserve"> - Từ trụ 024A đến trụ 024A/007 đường dây dọc theo bên phải đường hiện hữu, đường dây dừng lại và đặt TBA tại trụ 024A/007</v>
      </c>
      <c r="AX5" s="2627" t="s">
        <v>7336</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024A/007</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7" t="s">
        <v>1704</v>
      </c>
      <c r="C4" s="3037" t="s">
        <v>2275</v>
      </c>
      <c r="D4" s="72" t="s">
        <v>2276</v>
      </c>
      <c r="E4" s="72" t="s">
        <v>2277</v>
      </c>
      <c r="F4" s="86">
        <f>pp_NC!GV5</f>
        <v>0</v>
      </c>
      <c r="G4" s="86" t="str">
        <f>'pp3p2m '!ED6</f>
        <v>B</v>
      </c>
      <c r="H4" s="86" t="s">
        <v>1034</v>
      </c>
      <c r="I4" s="86" t="s">
        <v>1034</v>
      </c>
      <c r="J4" s="87"/>
      <c r="K4" s="83"/>
      <c r="L4" s="83"/>
      <c r="M4" s="83"/>
    </row>
    <row r="5" spans="1:13" ht="13.8">
      <c r="A5" s="73" t="s">
        <v>2278</v>
      </c>
      <c r="B5" s="3038"/>
      <c r="C5" s="3038"/>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1" t="s">
        <v>3749</v>
      </c>
      <c r="B4" s="3039" t="s">
        <v>3750</v>
      </c>
      <c r="C4" s="3039" t="s">
        <v>4334</v>
      </c>
      <c r="D4" s="3039" t="s">
        <v>3751</v>
      </c>
      <c r="E4" s="3039" t="s">
        <v>3752</v>
      </c>
      <c r="F4" s="3039" t="s">
        <v>3753</v>
      </c>
      <c r="G4" s="3039" t="s">
        <v>3754</v>
      </c>
      <c r="H4" s="3039" t="s">
        <v>3755</v>
      </c>
      <c r="I4" s="3039" t="s">
        <v>3756</v>
      </c>
      <c r="J4" s="3041" t="s">
        <v>3757</v>
      </c>
      <c r="K4" s="3041" t="s">
        <v>3758</v>
      </c>
      <c r="L4" s="3041" t="s">
        <v>3759</v>
      </c>
      <c r="M4" s="3058"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6" t="s">
        <v>3763</v>
      </c>
      <c r="BR4" s="3067"/>
      <c r="BS4" s="3067"/>
      <c r="BT4" s="3067"/>
      <c r="BU4" s="3067"/>
      <c r="BV4" s="3067"/>
      <c r="BW4" s="3067"/>
      <c r="BX4" s="3067"/>
      <c r="BY4" s="3067"/>
      <c r="BZ4" s="3067"/>
      <c r="CA4" s="3067"/>
      <c r="CB4" s="3068"/>
      <c r="CC4" s="3043" t="s">
        <v>2381</v>
      </c>
      <c r="CD4" s="3043" t="s">
        <v>2384</v>
      </c>
      <c r="CE4" s="3043" t="s">
        <v>2387</v>
      </c>
      <c r="CF4" s="3043" t="s">
        <v>2386</v>
      </c>
      <c r="CG4" s="3043" t="s">
        <v>2388</v>
      </c>
      <c r="CH4" s="3043"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7" t="s">
        <v>3765</v>
      </c>
      <c r="DG4" s="3047" t="s">
        <v>3766</v>
      </c>
      <c r="DH4" s="3045" t="s">
        <v>3767</v>
      </c>
      <c r="DI4" s="3045" t="s">
        <v>3768</v>
      </c>
      <c r="DJ4" s="3045" t="s">
        <v>3769</v>
      </c>
      <c r="DK4" s="3045" t="s">
        <v>3770</v>
      </c>
      <c r="DL4" s="3045" t="s">
        <v>3771</v>
      </c>
      <c r="DM4" s="3045" t="s">
        <v>3772</v>
      </c>
      <c r="DN4" s="3045" t="s">
        <v>3773</v>
      </c>
      <c r="DO4" s="3045" t="s">
        <v>3774</v>
      </c>
      <c r="DP4" s="3045" t="s">
        <v>3775</v>
      </c>
      <c r="DQ4" s="3056" t="s">
        <v>1728</v>
      </c>
      <c r="DR4" s="3045" t="s">
        <v>3776</v>
      </c>
      <c r="DS4" s="3056" t="s">
        <v>4047</v>
      </c>
      <c r="DT4" s="3056" t="s">
        <v>3777</v>
      </c>
      <c r="DU4" s="3056" t="s">
        <v>3778</v>
      </c>
      <c r="DV4" s="3056" t="s">
        <v>3779</v>
      </c>
      <c r="DW4" s="3056" t="s">
        <v>3780</v>
      </c>
      <c r="DX4" s="3056" t="s">
        <v>3781</v>
      </c>
      <c r="DY4" s="3056" t="s">
        <v>3782</v>
      </c>
      <c r="DZ4" s="3056" t="s">
        <v>3783</v>
      </c>
      <c r="EA4" s="3056" t="s">
        <v>3784</v>
      </c>
      <c r="EB4" s="3056" t="s">
        <v>3785</v>
      </c>
      <c r="EC4" s="3056" t="s">
        <v>3786</v>
      </c>
      <c r="ED4" s="3085" t="s">
        <v>785</v>
      </c>
      <c r="EE4" s="3059" t="s">
        <v>1401</v>
      </c>
      <c r="EF4" s="3059" t="s">
        <v>1371</v>
      </c>
      <c r="EG4" s="3053" t="s">
        <v>672</v>
      </c>
      <c r="EH4" s="3053" t="s">
        <v>1893</v>
      </c>
      <c r="EI4" s="3053" t="s">
        <v>1125</v>
      </c>
      <c r="EJ4" s="3053" t="s">
        <v>1916</v>
      </c>
      <c r="EK4" s="3053" t="s">
        <v>393</v>
      </c>
      <c r="EL4" s="3053" t="s">
        <v>1907</v>
      </c>
      <c r="EM4" s="3053" t="s">
        <v>627</v>
      </c>
      <c r="EN4" s="3053" t="s">
        <v>626</v>
      </c>
      <c r="EO4" s="3053" t="s">
        <v>628</v>
      </c>
      <c r="EP4" s="3061" t="s">
        <v>3787</v>
      </c>
      <c r="EQ4" s="3061" t="s">
        <v>3788</v>
      </c>
      <c r="ER4" s="3061" t="s">
        <v>3789</v>
      </c>
      <c r="ES4" s="3061" t="s">
        <v>3790</v>
      </c>
      <c r="ET4" s="3043" t="s">
        <v>3791</v>
      </c>
      <c r="EU4" s="3043" t="s">
        <v>3792</v>
      </c>
      <c r="EV4" s="3043" t="s">
        <v>3793</v>
      </c>
      <c r="EW4" s="3043" t="s">
        <v>3794</v>
      </c>
      <c r="EX4" s="3043" t="s">
        <v>3795</v>
      </c>
      <c r="EY4" s="3043" t="s">
        <v>3796</v>
      </c>
      <c r="EZ4" s="3043" t="s">
        <v>3797</v>
      </c>
      <c r="FA4" s="3043" t="s">
        <v>3798</v>
      </c>
      <c r="FB4" s="3061" t="s">
        <v>3799</v>
      </c>
      <c r="FC4" s="3061" t="s">
        <v>3800</v>
      </c>
      <c r="FD4" s="3061" t="s">
        <v>3801</v>
      </c>
      <c r="FE4" s="3061" t="s">
        <v>3802</v>
      </c>
      <c r="FF4" s="3061" t="s">
        <v>3803</v>
      </c>
      <c r="FG4" s="3061" t="s">
        <v>3804</v>
      </c>
      <c r="FH4" s="3061" t="s">
        <v>3805</v>
      </c>
      <c r="FI4" s="3061" t="s">
        <v>3806</v>
      </c>
      <c r="FJ4" s="3061" t="s">
        <v>3807</v>
      </c>
      <c r="FK4" s="3061" t="s">
        <v>3808</v>
      </c>
      <c r="FL4" s="3061" t="s">
        <v>4264</v>
      </c>
      <c r="FM4" s="3061" t="s">
        <v>3809</v>
      </c>
      <c r="FN4" s="3061" t="s">
        <v>3810</v>
      </c>
      <c r="FO4" s="3061" t="s">
        <v>3811</v>
      </c>
      <c r="FP4" s="3061" t="s">
        <v>3812</v>
      </c>
      <c r="FQ4" s="3061" t="s">
        <v>3813</v>
      </c>
      <c r="FR4" s="3043" t="s">
        <v>3814</v>
      </c>
      <c r="FS4" s="3043" t="s">
        <v>3815</v>
      </c>
      <c r="FT4" s="3043" t="s">
        <v>3816</v>
      </c>
      <c r="FU4" s="3063" t="s">
        <v>3817</v>
      </c>
      <c r="FV4" s="3063" t="s">
        <v>3818</v>
      </c>
      <c r="FW4" s="3063" t="s">
        <v>3819</v>
      </c>
      <c r="FX4" s="3063" t="s">
        <v>3820</v>
      </c>
      <c r="FY4" s="3063" t="s">
        <v>3821</v>
      </c>
      <c r="FZ4" s="3063" t="s">
        <v>3822</v>
      </c>
      <c r="GA4" s="3063" t="s">
        <v>3823</v>
      </c>
      <c r="GB4" s="3063" t="s">
        <v>3824</v>
      </c>
      <c r="GC4" s="3063" t="s">
        <v>3825</v>
      </c>
      <c r="GD4" s="3063" t="s">
        <v>3826</v>
      </c>
      <c r="GE4" s="3063" t="s">
        <v>3827</v>
      </c>
      <c r="GF4" s="3063" t="s">
        <v>3828</v>
      </c>
      <c r="GG4" s="3063" t="s">
        <v>3829</v>
      </c>
      <c r="GH4" s="3073" t="s">
        <v>3830</v>
      </c>
      <c r="GI4" s="3073" t="s">
        <v>3831</v>
      </c>
      <c r="GJ4" s="3075" t="s">
        <v>3832</v>
      </c>
      <c r="GK4" s="3075" t="s">
        <v>3833</v>
      </c>
      <c r="GL4" s="3073" t="s">
        <v>3834</v>
      </c>
      <c r="GM4" s="3075" t="s">
        <v>3835</v>
      </c>
      <c r="GN4" s="3075" t="s">
        <v>3836</v>
      </c>
      <c r="GO4" s="3073" t="s">
        <v>3837</v>
      </c>
      <c r="GP4" s="3073" t="s">
        <v>3838</v>
      </c>
      <c r="GQ4" s="3073" t="s">
        <v>3839</v>
      </c>
      <c r="GR4" s="3063" t="s">
        <v>3840</v>
      </c>
      <c r="GS4" s="3063" t="s">
        <v>3655</v>
      </c>
      <c r="GT4" s="3083" t="s">
        <v>3841</v>
      </c>
      <c r="GU4" s="3081"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52"/>
      <c r="B5" s="3040"/>
      <c r="C5" s="3040"/>
      <c r="D5" s="3040"/>
      <c r="E5" s="3040"/>
      <c r="F5" s="3040"/>
      <c r="G5" s="3040"/>
      <c r="H5" s="3040"/>
      <c r="I5" s="3040"/>
      <c r="J5" s="3055"/>
      <c r="K5" s="3042"/>
      <c r="L5" s="3042"/>
      <c r="M5" s="3048"/>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4"/>
      <c r="CD5" s="3044"/>
      <c r="CE5" s="3044"/>
      <c r="CF5" s="3044"/>
      <c r="CG5" s="3044"/>
      <c r="CH5" s="3044"/>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8"/>
      <c r="DG5" s="3048"/>
      <c r="DH5" s="3046"/>
      <c r="DI5" s="3046"/>
      <c r="DJ5" s="3046"/>
      <c r="DK5" s="3046"/>
      <c r="DL5" s="3046"/>
      <c r="DM5" s="3046"/>
      <c r="DN5" s="3046"/>
      <c r="DO5" s="3046"/>
      <c r="DP5" s="3046"/>
      <c r="DQ5" s="3057"/>
      <c r="DR5" s="3046"/>
      <c r="DS5" s="3057"/>
      <c r="DT5" s="3057"/>
      <c r="DU5" s="3057"/>
      <c r="DV5" s="3057"/>
      <c r="DW5" s="3057"/>
      <c r="DX5" s="3057"/>
      <c r="DY5" s="3057"/>
      <c r="DZ5" s="3057"/>
      <c r="EA5" s="3057"/>
      <c r="EB5" s="3057"/>
      <c r="EC5" s="3057"/>
      <c r="ED5" s="3086"/>
      <c r="EE5" s="3060"/>
      <c r="EF5" s="3060"/>
      <c r="EG5" s="3054"/>
      <c r="EH5" s="3054"/>
      <c r="EI5" s="3054"/>
      <c r="EJ5" s="3054"/>
      <c r="EK5" s="3054"/>
      <c r="EL5" s="3054"/>
      <c r="EM5" s="3054"/>
      <c r="EN5" s="3054"/>
      <c r="EO5" s="3054"/>
      <c r="EP5" s="3062"/>
      <c r="EQ5" s="3062"/>
      <c r="ER5" s="3062"/>
      <c r="ES5" s="3062"/>
      <c r="ET5" s="3044"/>
      <c r="EU5" s="3044"/>
      <c r="EV5" s="3044"/>
      <c r="EW5" s="3044"/>
      <c r="EX5" s="3044"/>
      <c r="EY5" s="3044"/>
      <c r="EZ5" s="3044"/>
      <c r="FA5" s="3044"/>
      <c r="FB5" s="3062"/>
      <c r="FC5" s="3062"/>
      <c r="FD5" s="3062"/>
      <c r="FE5" s="3062"/>
      <c r="FF5" s="3062"/>
      <c r="FG5" s="3062"/>
      <c r="FH5" s="3062"/>
      <c r="FI5" s="3062"/>
      <c r="FJ5" s="3062"/>
      <c r="FK5" s="3062"/>
      <c r="FL5" s="3062"/>
      <c r="FM5" s="3062"/>
      <c r="FN5" s="3062"/>
      <c r="FO5" s="3062"/>
      <c r="FP5" s="3062"/>
      <c r="FQ5" s="3062"/>
      <c r="FR5" s="3044"/>
      <c r="FS5" s="3044"/>
      <c r="FT5" s="3044"/>
      <c r="FU5" s="3064"/>
      <c r="FV5" s="3064"/>
      <c r="FW5" s="3064"/>
      <c r="FX5" s="3064"/>
      <c r="FY5" s="3064"/>
      <c r="FZ5" s="3064"/>
      <c r="GA5" s="3064"/>
      <c r="GB5" s="3064"/>
      <c r="GC5" s="3064"/>
      <c r="GD5" s="3064"/>
      <c r="GE5" s="3064"/>
      <c r="GF5" s="3064"/>
      <c r="GG5" s="3064"/>
      <c r="GH5" s="3074"/>
      <c r="GI5" s="3074"/>
      <c r="GJ5" s="3076"/>
      <c r="GK5" s="3076"/>
      <c r="GL5" s="3074"/>
      <c r="GM5" s="3076"/>
      <c r="GN5" s="3076"/>
      <c r="GO5" s="3074"/>
      <c r="GP5" s="3074"/>
      <c r="GQ5" s="3074"/>
      <c r="GR5" s="3064"/>
      <c r="GS5" s="3064"/>
      <c r="GT5" s="3084"/>
      <c r="GU5" s="3082"/>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9"/>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9"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0"/>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80"/>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1"/>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7"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2"/>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8"/>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49" t="s">
        <v>2584</v>
      </c>
      <c r="B184" s="3050"/>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087" t="s">
        <v>3749</v>
      </c>
      <c r="B5" s="3089" t="s">
        <v>3750</v>
      </c>
      <c r="C5" s="3091" t="s">
        <v>3859</v>
      </c>
      <c r="D5" s="3091" t="s">
        <v>3860</v>
      </c>
      <c r="E5" s="3091" t="s">
        <v>3757</v>
      </c>
      <c r="F5" s="3105" t="s">
        <v>3758</v>
      </c>
      <c r="G5" s="3105" t="s">
        <v>3759</v>
      </c>
      <c r="H5" s="3105" t="s">
        <v>3760</v>
      </c>
      <c r="I5" s="3093" t="s">
        <v>2271</v>
      </c>
      <c r="J5" s="3094"/>
      <c r="K5" s="3095"/>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8" t="s">
        <v>2385</v>
      </c>
      <c r="BP5" s="3098" t="s">
        <v>2388</v>
      </c>
      <c r="BQ5" s="3098" t="s">
        <v>2388</v>
      </c>
      <c r="BR5" s="3098"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6" t="s">
        <v>3866</v>
      </c>
      <c r="CO5" s="3096" t="s">
        <v>3867</v>
      </c>
      <c r="CP5" s="3096" t="s">
        <v>3868</v>
      </c>
      <c r="CQ5" s="3113" t="str">
        <f>"Chuoãi "&amp;EF6&amp;" laép vaøo xaø  CÑX "&amp;EF6 &amp; "-X"</f>
        <v>Chuoãi Polymer laép vaøo xaø  CÑX Polymer-X</v>
      </c>
      <c r="CR5" s="3109" t="s">
        <v>3769</v>
      </c>
      <c r="CS5" s="3102" t="s">
        <v>3869</v>
      </c>
      <c r="CT5" s="3102" t="s">
        <v>3870</v>
      </c>
      <c r="CU5" s="3096" t="s">
        <v>3770</v>
      </c>
      <c r="CV5" s="3096" t="s">
        <v>3771</v>
      </c>
      <c r="CW5" s="3096" t="s">
        <v>3772</v>
      </c>
      <c r="CX5" s="3096" t="s">
        <v>3773</v>
      </c>
      <c r="CY5" s="3107" t="s">
        <v>3871</v>
      </c>
      <c r="CZ5" s="3107" t="s">
        <v>3872</v>
      </c>
      <c r="DA5" s="3107" t="s">
        <v>3873</v>
      </c>
      <c r="DB5" s="3102" t="s">
        <v>3874</v>
      </c>
      <c r="DC5" s="3107" t="s">
        <v>3875</v>
      </c>
      <c r="DD5" s="3102" t="s">
        <v>3779</v>
      </c>
      <c r="DE5" s="3107" t="s">
        <v>3876</v>
      </c>
      <c r="DF5" s="3098" t="s">
        <v>3780</v>
      </c>
      <c r="DG5" s="3098" t="s">
        <v>3781</v>
      </c>
      <c r="DH5" s="3098" t="s">
        <v>3782</v>
      </c>
      <c r="DI5" s="3098" t="s">
        <v>3783</v>
      </c>
      <c r="DJ5" s="3098" t="s">
        <v>3784</v>
      </c>
      <c r="DK5" s="3098" t="s">
        <v>3786</v>
      </c>
      <c r="DL5" s="3098" t="s">
        <v>3786</v>
      </c>
      <c r="DM5" s="3098" t="s">
        <v>785</v>
      </c>
      <c r="DN5" s="3098" t="s">
        <v>672</v>
      </c>
      <c r="DO5" s="3098" t="s">
        <v>1893</v>
      </c>
      <c r="DP5" s="3098" t="s">
        <v>1125</v>
      </c>
      <c r="DQ5" s="3098" t="s">
        <v>1916</v>
      </c>
      <c r="DR5" s="3098" t="s">
        <v>393</v>
      </c>
      <c r="DS5" s="3098" t="s">
        <v>1907</v>
      </c>
      <c r="DT5" s="3098" t="s">
        <v>1189</v>
      </c>
      <c r="DU5" s="3098" t="s">
        <v>1190</v>
      </c>
      <c r="DV5" s="408"/>
      <c r="DW5" s="408"/>
      <c r="DX5" s="408"/>
      <c r="DY5" s="408"/>
      <c r="DZ5" s="408"/>
      <c r="EA5" s="388"/>
      <c r="EB5" s="3102" t="s">
        <v>3877</v>
      </c>
      <c r="EC5" s="3111" t="s">
        <v>2591</v>
      </c>
    </row>
    <row r="6" spans="1:153" s="414" customFormat="1" ht="99.75" customHeight="1" thickTop="1">
      <c r="A6" s="3088"/>
      <c r="B6" s="3090"/>
      <c r="C6" s="3092"/>
      <c r="D6" s="3092"/>
      <c r="E6" s="3092"/>
      <c r="F6" s="3106"/>
      <c r="G6" s="3106"/>
      <c r="H6" s="3106"/>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9"/>
      <c r="BP6" s="3099"/>
      <c r="BQ6" s="3099"/>
      <c r="BR6" s="3099"/>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7"/>
      <c r="CO6" s="3097"/>
      <c r="CP6" s="3097"/>
      <c r="CQ6" s="3097"/>
      <c r="CR6" s="3110"/>
      <c r="CS6" s="3103"/>
      <c r="CT6" s="3103"/>
      <c r="CU6" s="3097"/>
      <c r="CV6" s="3097"/>
      <c r="CW6" s="3097"/>
      <c r="CX6" s="3097"/>
      <c r="CY6" s="3108"/>
      <c r="CZ6" s="3108"/>
      <c r="DA6" s="3108"/>
      <c r="DB6" s="3103"/>
      <c r="DC6" s="3108"/>
      <c r="DD6" s="3103"/>
      <c r="DE6" s="3108"/>
      <c r="DF6" s="3104"/>
      <c r="DG6" s="3104"/>
      <c r="DH6" s="3104"/>
      <c r="DI6" s="3104"/>
      <c r="DJ6" s="3104"/>
      <c r="DK6" s="3104"/>
      <c r="DL6" s="3104"/>
      <c r="DM6" s="3104"/>
      <c r="DN6" s="3104"/>
      <c r="DO6" s="3104"/>
      <c r="DP6" s="3104"/>
      <c r="DQ6" s="3104"/>
      <c r="DR6" s="3104"/>
      <c r="DS6" s="3104"/>
      <c r="DT6" s="3104"/>
      <c r="DU6" s="3104"/>
      <c r="DV6" s="391" t="s">
        <v>3880</v>
      </c>
      <c r="DW6" s="391" t="s">
        <v>3881</v>
      </c>
      <c r="DX6" s="391" t="s">
        <v>3882</v>
      </c>
      <c r="DY6" s="391" t="s">
        <v>3883</v>
      </c>
      <c r="DZ6" s="391" t="s">
        <v>3884</v>
      </c>
      <c r="EA6" s="388" t="s">
        <v>3841</v>
      </c>
      <c r="EB6" s="3103"/>
      <c r="EC6" s="3112"/>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1" t="s">
        <v>1632</v>
      </c>
      <c r="B99" s="3101"/>
      <c r="C99" s="3101"/>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6444</v>
      </c>
      <c r="E1" s="1946" t="s">
        <v>6468</v>
      </c>
      <c r="F1" s="2949" t="s">
        <v>510</v>
      </c>
      <c r="G1" s="1946" t="s">
        <v>510</v>
      </c>
    </row>
    <row r="2" spans="1:7" ht="25.05" hidden="1" customHeight="1">
      <c r="B2" s="1946">
        <v>1</v>
      </c>
      <c r="C2" s="2948" t="s">
        <v>6436</v>
      </c>
      <c r="D2" s="1946" t="str">
        <f>IF(LEN(E2)&gt;0,E2,VLOOKUP(C2,DG!A:C,3,0))</f>
        <v>Số trụ trung thế hiện hữu</v>
      </c>
      <c r="F2" s="2949" t="str">
        <f>IF(LEN(C2)&gt;0,VLOOKUP(C2,DG!A:C,3,0),"")</f>
        <v>Số trụ trung thế hiện hữu</v>
      </c>
    </row>
    <row r="3" spans="1:7" ht="25.05" hidden="1" customHeight="1">
      <c r="B3" s="1946">
        <v>2</v>
      </c>
      <c r="C3" s="2948" t="s">
        <v>6437</v>
      </c>
      <c r="D3" s="1946" t="str">
        <f>IF(LEN(E3)&gt;0,E3,VLOOKUP(C3,DG!A:C,3,0))</f>
        <v>Số trụ trung thế NC, XDM</v>
      </c>
      <c r="F3" s="2949" t="str">
        <f>IF(LEN(C3)&gt;0,VLOOKUP(C3,DG!A:C,3,0),"")</f>
        <v>Số trụ trung thế NC, XDM</v>
      </c>
    </row>
    <row r="4" spans="1:7" ht="25.05" hidden="1" customHeight="1">
      <c r="B4" s="1946">
        <v>3</v>
      </c>
      <c r="C4" s="2948" t="s">
        <v>6438</v>
      </c>
      <c r="D4" s="1946" t="str">
        <f>IF(LEN(E4)&gt;0,E4,VLOOKUP(C4,DG!A:C,3,0))</f>
        <v>Khoảng cách hiện hữu</v>
      </c>
      <c r="F4" s="2949" t="str">
        <f>IF(LEN(C4)&gt;0,VLOOKUP(C4,DG!A:C,3,0),"")</f>
        <v>Khoảng cách hiện hữu</v>
      </c>
    </row>
    <row r="5" spans="1:7" ht="25.05" hidden="1" customHeight="1">
      <c r="B5" s="1946">
        <v>4</v>
      </c>
      <c r="C5" s="2948" t="s">
        <v>6439</v>
      </c>
      <c r="D5" s="1946" t="str">
        <f>IF(LEN(E5)&gt;0,E5,VLOOKUP(C5,DG!A:C,3,0))</f>
        <v>Khoảng cách NC, XDM</v>
      </c>
      <c r="F5" s="2949" t="str">
        <f>IF(LEN(C5)&gt;0,VLOOKUP(C5,DG!A:C,3,0),"")</f>
        <v>Khoảng cách NC, XDM</v>
      </c>
    </row>
    <row r="6" spans="1:7" ht="25.05" hidden="1" customHeight="1">
      <c r="B6" s="1946">
        <v>5</v>
      </c>
      <c r="C6" s="2948" t="s">
        <v>6440</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6441</v>
      </c>
      <c r="D8" s="1946" t="str">
        <f>IF(LEN(E8)&gt;0,E8,VLOOKUP(C8,DG!A:C,3,0))</f>
        <v>Hình thức trụ thiết kế</v>
      </c>
      <c r="F8" s="2949" t="str">
        <f>IF(LEN(C8)&gt;0,VLOOKUP(C8,DG!A:C,3,0),"")</f>
        <v>Hình thức trụ thiết kế</v>
      </c>
    </row>
    <row r="9" spans="1:7" ht="25.05" hidden="1" customHeight="1">
      <c r="B9" s="1946">
        <v>8</v>
      </c>
      <c r="C9" s="2948" t="s">
        <v>6442</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6443</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5715</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6449</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6464</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6451</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6447</v>
      </c>
      <c r="D35" s="1946" t="str">
        <f>IF(LEN(E35)&gt;0,E35,VLOOKUP(C35,DG!A:C,3,0))</f>
        <v>Tháo Đà 1,66m</v>
      </c>
      <c r="F35" s="2949" t="str">
        <f>IF(LEN(C35)&gt;0,VLOOKUP(C35,DG!A:C,3,0),"")</f>
        <v>Tháo Đà 1,66m</v>
      </c>
    </row>
    <row r="36" spans="2:6" ht="25.05" hidden="1" customHeight="1">
      <c r="B36" s="1946">
        <v>35</v>
      </c>
      <c r="C36" s="2948" t="s">
        <v>6469</v>
      </c>
      <c r="D36" s="1946" t="str">
        <f>IF(LEN(E36)&gt;0,E36,VLOOKUP(C36,DG!A:C,3,0))</f>
        <v>Nhổ Trụ bê tông ly tâm 12m</v>
      </c>
      <c r="F36" s="2949" t="str">
        <f>IF(LEN(C36)&gt;0,VLOOKUP(C36,DG!A:C,3,0),"")</f>
        <v>Nhổ Trụ bê tông ly tâm 12m</v>
      </c>
    </row>
    <row r="37" spans="2:6" ht="25.05" hidden="1" customHeight="1">
      <c r="B37" s="1946">
        <v>36</v>
      </c>
      <c r="C37" s="2948" t="s">
        <v>6450</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6465</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6452</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6474</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6448</v>
      </c>
      <c r="D41" s="1946" t="str">
        <f>IF(LEN(E41)&gt;0,E41,VLOOKUP(C41,DG!A:C,3,0))</f>
        <v>Lắp Đà 1,66m</v>
      </c>
      <c r="F41" s="2949" t="str">
        <f>IF(LEN(C41)&gt;0,VLOOKUP(C41,DG!A:C,3,0),"")</f>
        <v>Lắp Đà 1,66m</v>
      </c>
    </row>
    <row r="42" spans="2:6" ht="25.05" hidden="1" customHeight="1">
      <c r="B42" s="1946">
        <v>41</v>
      </c>
      <c r="C42" s="2948" t="s">
        <v>6477</v>
      </c>
      <c r="D42" s="1946" t="str">
        <f>IF(LEN(E42)&gt;0,E42,VLOOKUP(C42,DG!A:C,3,0))</f>
        <v>Ghi chú</v>
      </c>
      <c r="F42" s="2949" t="str">
        <f>IF(LEN(C42)&gt;0,VLOOKUP(C42,DG!A:C,3,0),"")</f>
        <v>Ghi chú</v>
      </c>
    </row>
    <row r="43" spans="2:6" ht="25.05" hidden="1" customHeight="1">
      <c r="C43" s="2948" t="s">
        <v>6470</v>
      </c>
      <c r="D43" s="1946" t="str">
        <f>IF(LEN(E43)&gt;0,E43,VLOOKUP(C43,DG!A:C,3,0))</f>
        <v>Trồng Trụ bê tông ly tâm 12m</v>
      </c>
      <c r="F43" s="2949" t="str">
        <f>IF(LEN(C43)&gt;0,VLOOKUP(C43,DG!A:C,3,0),"")</f>
        <v>Trồng Trụ bê tông ly tâm 12m</v>
      </c>
    </row>
    <row r="44" spans="2:6" ht="25.05" hidden="1" customHeight="1">
      <c r="C44" s="2948" t="s">
        <v>6413</v>
      </c>
      <c r="D44" s="1946" t="str">
        <f>IF(LEN(E44)&gt;0,E44,VLOOKUP(C44,DG!A:C,3,0))</f>
        <v>Cáp 24KV ACXH 70mm2</v>
      </c>
      <c r="F44" s="2949" t="str">
        <f>IF(LEN(C44)&gt;0,VLOOKUP(C44,DG!A:C,3,0),"")</f>
        <v>Cáp 24KV ACXH 70mm2</v>
      </c>
    </row>
    <row r="45" spans="2:6" ht="25.05" hidden="1" customHeight="1">
      <c r="C45" s="2948" t="s">
        <v>6379</v>
      </c>
      <c r="D45" s="1946" t="str">
        <f>IF(LEN(E45)&gt;0,E45,VLOOKUP(C45,DG!A:C,3,0))</f>
        <v>Cáp đồng bọc 24KV-CXV-25</v>
      </c>
      <c r="F45" s="2949" t="str">
        <f>IF(LEN(C45)&gt;0,VLOOKUP(C45,DG!A:C,3,0),"")</f>
        <v>Cáp đồng bọc 24KV-CXV-25</v>
      </c>
    </row>
    <row r="46" spans="2:6" ht="25.05" hidden="1" customHeight="1">
      <c r="C46" s="2948" t="s">
        <v>6380</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6383</v>
      </c>
      <c r="D50" s="1946" t="str">
        <f>IF(LEN(E50)&gt;0,E50,VLOOKUP(C50,DG!A:C,3,0))</f>
        <v>Móng bê tông trụ đôi 14m</v>
      </c>
      <c r="F50" s="2949" t="str">
        <f>IF(LEN(C50)&gt;0,VLOOKUP(C50,DG!A:C,3,0),"")</f>
        <v>Móng bê tông trụ đôi 14m</v>
      </c>
    </row>
    <row r="51" spans="3:6" ht="25.05" hidden="1" customHeight="1">
      <c r="C51" s="2948" t="s">
        <v>6406</v>
      </c>
      <c r="D51" s="1946" t="str">
        <f>IF(LEN(E51)&gt;0,E51,VLOOKUP(C51,DG!A:C,3,0))</f>
        <v>Tiếp địa trụ Recloser, LBS</v>
      </c>
      <c r="F51" s="2949" t="str">
        <f>IF(LEN(C51)&gt;0,VLOOKUP(C51,DG!A:C,3,0),"")</f>
        <v>Tiếp địa trụ Recloser, LBS</v>
      </c>
    </row>
    <row r="52" spans="3:6" ht="25.05" hidden="1" customHeight="1">
      <c r="C52" s="2948" t="s">
        <v>6473</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6393</v>
      </c>
      <c r="D56" s="1946" t="str">
        <f>IF(LEN(E56)&gt;0,E56,VLOOKUP(C56,DG!A:C,3,0))</f>
        <v>Dây buộc đầu sứ cỡ dây 95mm2</v>
      </c>
      <c r="F56" s="2949" t="str">
        <f>IF(LEN(C56)&gt;0,VLOOKUP(C56,DG!A:C,3,0),"")</f>
        <v>Dây buộc đầu sứ cỡ dây 95mm2</v>
      </c>
    </row>
    <row r="57" spans="3:6" ht="25.05" hidden="1" customHeight="1">
      <c r="C57" s="2948" t="s">
        <v>6384</v>
      </c>
      <c r="D57" s="1946" t="str">
        <f>IF(LEN(E57)&gt;0,E57,VLOOKUP(C57,DG!A:C,3,0))</f>
        <v>Dây buộc cổ sứ cỡ dây 50mm2</v>
      </c>
      <c r="F57" s="2949" t="str">
        <f>IF(LEN(C57)&gt;0,VLOOKUP(C57,DG!A:C,3,0),"")</f>
        <v>Dây buộc cổ sứ cỡ dây 50mm2</v>
      </c>
    </row>
    <row r="58" spans="3:6" ht="25.05" hidden="1" customHeight="1">
      <c r="C58" s="2948" t="s">
        <v>6386</v>
      </c>
      <c r="D58" s="1946" t="str">
        <f>IF(LEN(E58)&gt;0,E58,VLOOKUP(C58,DG!A:C,3,0))</f>
        <v>Dây buộc cổ sứ cỡ dây 95mm2</v>
      </c>
      <c r="F58" s="2949" t="str">
        <f>IF(LEN(C58)&gt;0,VLOOKUP(C58,DG!A:C,3,0),"")</f>
        <v>Dây buộc cổ sứ cỡ dây 95mm2</v>
      </c>
    </row>
    <row r="59" spans="3:6" ht="25.05" hidden="1" customHeight="1">
      <c r="C59" s="2948" t="s">
        <v>6389</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6399</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6392</v>
      </c>
      <c r="D164" s="1946" t="str">
        <f>IF(LEN(E164)&gt;0,E164,VLOOKUP(C164,DG!A:C,3,0))</f>
        <v>Dây buộc đầu sứ cỡ dây 70mm2</v>
      </c>
      <c r="F164" s="2949" t="str">
        <f>IF(LEN(C164)&gt;0,VLOOKUP(C164,DG!A:C,3,0),"")</f>
        <v>Dây buộc đầu sứ cỡ dây 70mm2</v>
      </c>
    </row>
    <row r="165" spans="3:6" ht="25.05" hidden="1" customHeight="1">
      <c r="C165" s="2948" t="s">
        <v>6394</v>
      </c>
      <c r="D165" s="1946" t="str">
        <f>IF(LEN(E165)&gt;0,E165,VLOOKUP(C165,DG!A:C,3,0))</f>
        <v>Dây buộc đầu sứ cỡ dây 120mm2</v>
      </c>
      <c r="F165" s="2949" t="str">
        <f>IF(LEN(C165)&gt;0,VLOOKUP(C165,DG!A:C,3,0),"")</f>
        <v>Dây buộc đầu sứ cỡ dây 120mm2</v>
      </c>
    </row>
    <row r="166" spans="3:6" ht="25.05" hidden="1" customHeight="1">
      <c r="C166" s="2948" t="s">
        <v>6395</v>
      </c>
      <c r="D166" s="1946" t="str">
        <f>IF(LEN(E166)&gt;0,E166,VLOOKUP(C166,DG!A:C,3,0))</f>
        <v>Dây buộc đầu sứ cỡ dây 150mm2</v>
      </c>
      <c r="F166" s="2949" t="str">
        <f>IF(LEN(C166)&gt;0,VLOOKUP(C166,DG!A:C,3,0),"")</f>
        <v>Dây buộc đầu sứ cỡ dây 150mm2</v>
      </c>
    </row>
    <row r="167" spans="3:6" ht="25.05" hidden="1" customHeight="1">
      <c r="C167" s="2948" t="s">
        <v>6397</v>
      </c>
      <c r="D167" s="1946" t="str">
        <f>IF(LEN(E167)&gt;0,E167,VLOOKUP(C167,DG!A:C,3,0))</f>
        <v>Dây buộc đầu sứ cỡ dây 240mm2</v>
      </c>
      <c r="F167" s="2949" t="str">
        <f>IF(LEN(C167)&gt;0,VLOOKUP(C167,DG!A:C,3,0),"")</f>
        <v>Dây buộc đầu sứ cỡ dây 240mm2</v>
      </c>
    </row>
    <row r="168" spans="3:6" ht="25.05" hidden="1" customHeight="1">
      <c r="C168" s="2948" t="s">
        <v>6385</v>
      </c>
      <c r="D168" s="1946" t="str">
        <f>IF(LEN(E168)&gt;0,E168,VLOOKUP(C168,DG!A:C,3,0))</f>
        <v>Dây buộc cổ sứ cỡ dây 70mm2</v>
      </c>
      <c r="F168" s="2949" t="str">
        <f>IF(LEN(C168)&gt;0,VLOOKUP(C168,DG!A:C,3,0),"")</f>
        <v>Dây buộc cổ sứ cỡ dây 70mm2</v>
      </c>
    </row>
    <row r="169" spans="3:6" ht="25.05" hidden="1" customHeight="1">
      <c r="C169" s="2948" t="s">
        <v>6387</v>
      </c>
      <c r="D169" s="1946" t="str">
        <f>IF(LEN(E169)&gt;0,E169,VLOOKUP(C169,DG!A:C,3,0))</f>
        <v>Dây buộc cổ sứ cỡ dây 120mm2</v>
      </c>
      <c r="F169" s="2949" t="str">
        <f>IF(LEN(C169)&gt;0,VLOOKUP(C169,DG!A:C,3,0),"")</f>
        <v>Dây buộc cổ sứ cỡ dây 120mm2</v>
      </c>
    </row>
    <row r="170" spans="3:6" ht="25.05" hidden="1" customHeight="1">
      <c r="C170" s="2948" t="s">
        <v>6388</v>
      </c>
      <c r="D170" s="1946" t="str">
        <f>IF(LEN(E170)&gt;0,E170,VLOOKUP(C170,DG!A:C,3,0))</f>
        <v>Dây buộc cổ sứ cỡ dây 150mm2</v>
      </c>
      <c r="F170" s="2949" t="str">
        <f>IF(LEN(C170)&gt;0,VLOOKUP(C170,DG!A:C,3,0),"")</f>
        <v>Dây buộc cổ sứ cỡ dây 150mm2</v>
      </c>
    </row>
    <row r="171" spans="3:6" ht="25.05" hidden="1" customHeight="1">
      <c r="C171" s="2948" t="s">
        <v>6390</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5"/>
    </filterColumn>
    <sortState xmlns:xlrd2="http://schemas.microsoft.com/office/spreadsheetml/2017/richdata2" ref="B226:G226">
      <sortCondition ref="B1:B226"/>
    </sortState>
  </autoFilter>
  <phoneticPr fontId="38" type="noConversion"/>
  <conditionalFormatting sqref="C1:C41 C43:C60 C62:C1048576">
    <cfRule type="duplicateValues" dxfId="264" priority="5"/>
  </conditionalFormatting>
  <conditionalFormatting sqref="C42">
    <cfRule type="duplicateValues" dxfId="263" priority="3"/>
  </conditionalFormatting>
  <conditionalFormatting sqref="C61">
    <cfRule type="duplicateValues" dxfId="262"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48" t="str">
        <f>chitiet!E7</f>
        <v>Công trình: Đường dây trung thế &amp; TBA 3 pha 1000 kVA - 22/0,4kV Công ty Cổ phần Sunrise Solar</v>
      </c>
      <c r="B6" s="3148"/>
      <c r="C6" s="3148"/>
      <c r="D6" s="3148"/>
      <c r="E6" s="3148"/>
      <c r="F6" s="3148"/>
      <c r="G6" s="3148"/>
      <c r="H6" s="3148"/>
      <c r="I6" s="3148"/>
      <c r="J6" s="3148"/>
      <c r="K6" s="3148"/>
      <c r="L6" s="3148"/>
      <c r="M6" s="3148"/>
      <c r="N6" s="3148"/>
      <c r="O6" s="3148"/>
      <c r="P6" s="3148"/>
      <c r="Q6" s="3148"/>
      <c r="R6" s="3148"/>
      <c r="S6" s="3148"/>
      <c r="T6" s="3148"/>
      <c r="U6" s="3148"/>
      <c r="V6" s="3148"/>
      <c r="W6" s="3148"/>
      <c r="X6" s="3148"/>
      <c r="Y6" s="3148"/>
      <c r="Z6" s="3148"/>
      <c r="AA6" s="3148"/>
      <c r="AB6" s="3148"/>
      <c r="AC6" s="3148"/>
      <c r="AD6" s="3148"/>
      <c r="AE6" s="3148"/>
      <c r="AF6" s="3148"/>
      <c r="AG6" s="3148"/>
      <c r="AH6" s="3148"/>
      <c r="AI6" s="3148"/>
      <c r="AJ6" s="3148"/>
      <c r="AK6" s="3148"/>
      <c r="AL6" s="3148"/>
      <c r="AM6" s="3148"/>
      <c r="AN6" s="3148"/>
      <c r="AO6" s="3148"/>
      <c r="AP6" s="3148"/>
      <c r="AQ6" s="3148"/>
      <c r="AR6" s="3148"/>
      <c r="AS6" s="3148"/>
      <c r="AT6" s="3148"/>
      <c r="AU6" s="3148"/>
      <c r="AV6" s="3148"/>
      <c r="AW6" s="3148"/>
      <c r="AX6" s="3148"/>
      <c r="AY6" s="3148"/>
      <c r="AZ6" s="3148"/>
      <c r="BA6" s="3148"/>
      <c r="BB6" s="3148"/>
      <c r="BC6" s="3148"/>
      <c r="BD6" s="3148"/>
      <c r="BE6" s="3148"/>
      <c r="BF6" s="3148"/>
      <c r="BG6" s="3148"/>
      <c r="BH6" s="3148"/>
      <c r="BI6" s="3148"/>
      <c r="BJ6" s="3148"/>
      <c r="BK6" s="3148"/>
      <c r="BL6" s="3148"/>
      <c r="BM6" s="3148"/>
      <c r="BN6" s="3148"/>
      <c r="BO6" s="3148"/>
      <c r="BP6" s="3148"/>
      <c r="BQ6" s="3148"/>
      <c r="BR6" s="3148"/>
      <c r="BS6" s="3148"/>
      <c r="BT6" s="3148"/>
      <c r="BU6" s="3148"/>
      <c r="BV6" s="3148"/>
      <c r="BW6" s="3148"/>
      <c r="BX6" s="3148"/>
      <c r="BY6" s="3148"/>
      <c r="BZ6" s="3148"/>
      <c r="CA6" s="3148"/>
      <c r="CB6" s="3148"/>
      <c r="CC6" s="3148"/>
      <c r="CD6" s="3148"/>
      <c r="CE6" s="3148"/>
      <c r="CF6" s="3148"/>
      <c r="CG6" s="3148"/>
      <c r="CH6" s="3148"/>
      <c r="CI6" s="3148"/>
      <c r="CJ6" s="3148"/>
      <c r="CK6" s="3148"/>
      <c r="CL6" s="3148"/>
      <c r="CM6" s="3148"/>
      <c r="CN6" s="3148"/>
      <c r="CO6" s="3148"/>
      <c r="CP6" s="3148"/>
      <c r="CQ6" s="3148"/>
      <c r="CR6" s="3148"/>
      <c r="CS6" s="3148"/>
      <c r="CT6" s="3148"/>
      <c r="CU6" s="3148"/>
      <c r="CV6" s="3148"/>
      <c r="CW6" s="3148"/>
      <c r="CX6" s="3148"/>
    </row>
    <row r="7" spans="1:262" s="1486" customFormat="1" ht="31.2" customHeight="1" thickBot="1">
      <c r="A7" s="3148" t="str">
        <f>chitiet!E8</f>
        <v>Địa điểm: Xã Suối Cao - Huyện Xuân Lộc - Tỉnh Đồng Nai</v>
      </c>
      <c r="B7" s="3148"/>
      <c r="C7" s="3100"/>
      <c r="D7" s="3148"/>
      <c r="E7" s="3100"/>
      <c r="F7" s="3100"/>
      <c r="G7" s="3100"/>
      <c r="H7" s="3148"/>
      <c r="I7" s="3100"/>
      <c r="J7" s="3148"/>
      <c r="K7" s="3100"/>
      <c r="L7" s="3148"/>
      <c r="M7" s="3148"/>
      <c r="N7" s="3100"/>
      <c r="O7" s="3100"/>
      <c r="P7" s="3100"/>
      <c r="Q7" s="3100"/>
      <c r="R7" s="3100"/>
      <c r="S7" s="3148"/>
      <c r="T7" s="3100"/>
      <c r="U7" s="3100"/>
      <c r="V7" s="3100"/>
      <c r="W7" s="3148"/>
      <c r="X7" s="3100"/>
      <c r="Y7" s="3100"/>
      <c r="Z7" s="3100"/>
      <c r="AA7" s="3100"/>
      <c r="AB7" s="3100"/>
      <c r="AC7" s="3100"/>
      <c r="AD7" s="3100"/>
      <c r="AE7" s="3100"/>
      <c r="AF7" s="3100"/>
      <c r="AG7" s="3100"/>
      <c r="AH7" s="3100"/>
      <c r="AI7" s="3100"/>
      <c r="AJ7" s="3100"/>
      <c r="AK7" s="3100"/>
      <c r="AL7" s="3100"/>
      <c r="AM7" s="3100"/>
      <c r="AN7" s="3148"/>
      <c r="AO7" s="3148"/>
      <c r="AP7" s="3100"/>
      <c r="AQ7" s="3100"/>
      <c r="AR7" s="3100"/>
      <c r="AS7" s="3100"/>
      <c r="AT7" s="3100"/>
      <c r="AU7" s="3100"/>
      <c r="AV7" s="3100"/>
      <c r="AW7" s="3148"/>
      <c r="AX7" s="3148"/>
      <c r="AY7" s="3100"/>
      <c r="AZ7" s="3100"/>
      <c r="BA7" s="3100"/>
      <c r="BB7" s="3100"/>
      <c r="BC7" s="3100"/>
      <c r="BD7" s="3148"/>
      <c r="BE7" s="3100"/>
      <c r="BF7" s="3100"/>
      <c r="BG7" s="3100"/>
      <c r="BH7" s="3100"/>
      <c r="BI7" s="3100"/>
      <c r="BJ7" s="3100"/>
      <c r="BK7" s="3100"/>
      <c r="BL7" s="3100"/>
      <c r="BM7" s="3148"/>
      <c r="BN7" s="3100"/>
      <c r="BO7" s="3148"/>
      <c r="BP7" s="3148"/>
      <c r="BQ7" s="3100"/>
      <c r="BR7" s="3100"/>
      <c r="BS7" s="3100"/>
      <c r="BT7" s="3148"/>
      <c r="BU7" s="3148"/>
      <c r="BV7" s="3148"/>
      <c r="BW7" s="3148"/>
      <c r="BX7" s="3148"/>
      <c r="BY7" s="3100"/>
      <c r="BZ7" s="3148"/>
      <c r="CA7" s="3148"/>
      <c r="CB7" s="3148"/>
      <c r="CC7" s="3148"/>
      <c r="CD7" s="3100"/>
      <c r="CE7" s="3100"/>
      <c r="CF7" s="3100"/>
      <c r="CG7" s="3100"/>
      <c r="CH7" s="3100"/>
      <c r="CI7" s="3100"/>
      <c r="CJ7" s="3100"/>
      <c r="CK7" s="3100"/>
      <c r="CL7" s="3100"/>
      <c r="CM7" s="3100"/>
      <c r="CN7" s="3100"/>
      <c r="CO7" s="3100"/>
      <c r="CP7" s="3100"/>
      <c r="CQ7" s="3100"/>
      <c r="CR7" s="3148"/>
      <c r="CS7" s="3148"/>
      <c r="CT7" s="3148"/>
      <c r="CU7" s="3148"/>
      <c r="CV7" s="3148"/>
      <c r="CW7" s="3148"/>
      <c r="CX7" s="3148"/>
    </row>
    <row r="8" spans="1:262" s="523" customFormat="1" ht="29.4" customHeight="1" thickTop="1">
      <c r="A8" s="3114" t="s">
        <v>3749</v>
      </c>
      <c r="B8" s="3114" t="s">
        <v>3750</v>
      </c>
      <c r="C8" s="3119" t="s">
        <v>3888</v>
      </c>
      <c r="D8" s="3114" t="s">
        <v>3889</v>
      </c>
      <c r="E8" s="3121" t="s">
        <v>3757</v>
      </c>
      <c r="F8" s="3117" t="s">
        <v>3758</v>
      </c>
      <c r="G8" s="3123" t="s">
        <v>3890</v>
      </c>
      <c r="H8" s="3114" t="s">
        <v>3760</v>
      </c>
      <c r="I8" s="3127" t="s">
        <v>2271</v>
      </c>
      <c r="J8" s="3128"/>
      <c r="K8" s="3127"/>
      <c r="L8" s="3128"/>
      <c r="M8" s="3129"/>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15" t="s">
        <v>2384</v>
      </c>
      <c r="BD8" s="3114" t="s">
        <v>2386</v>
      </c>
      <c r="BE8" s="3142" t="s">
        <v>2388</v>
      </c>
      <c r="BF8" s="505"/>
      <c r="BG8" s="522"/>
      <c r="BH8" s="522"/>
      <c r="BI8" s="522"/>
      <c r="BJ8" s="505" t="s">
        <v>3764</v>
      </c>
      <c r="BK8" s="522"/>
      <c r="BL8" s="556"/>
      <c r="BM8" s="3137" t="s">
        <v>4468</v>
      </c>
      <c r="BN8" s="1896"/>
      <c r="BO8" s="3125" t="s">
        <v>3765</v>
      </c>
      <c r="BP8" s="3125" t="s">
        <v>3766</v>
      </c>
      <c r="BQ8" s="3132" t="s">
        <v>3892</v>
      </c>
      <c r="BR8" s="3146" t="s">
        <v>3893</v>
      </c>
      <c r="BS8" s="3130" t="s">
        <v>3868</v>
      </c>
      <c r="BT8" s="3134" t="s">
        <v>3894</v>
      </c>
      <c r="BU8" s="3114" t="s">
        <v>3895</v>
      </c>
      <c r="BV8" s="3122" t="s">
        <v>3896</v>
      </c>
      <c r="BW8" s="3134" t="s">
        <v>3897</v>
      </c>
      <c r="BX8" s="3114" t="s">
        <v>3770</v>
      </c>
      <c r="BY8" s="3140" t="s">
        <v>3772</v>
      </c>
      <c r="BZ8" s="3114" t="s">
        <v>3898</v>
      </c>
      <c r="CA8" s="3114" t="s">
        <v>4698</v>
      </c>
      <c r="CB8" s="3114" t="s">
        <v>3775</v>
      </c>
      <c r="CC8" s="3114" t="s">
        <v>2865</v>
      </c>
      <c r="CD8" s="3142" t="s">
        <v>2866</v>
      </c>
      <c r="CE8" s="3117" t="s">
        <v>2867</v>
      </c>
      <c r="CF8" s="3117" t="s">
        <v>2868</v>
      </c>
      <c r="CG8" s="3117" t="s">
        <v>2869</v>
      </c>
      <c r="CH8" s="3117" t="s">
        <v>2870</v>
      </c>
      <c r="CI8" s="3117" t="s">
        <v>2871</v>
      </c>
      <c r="CJ8" s="3117" t="s">
        <v>3781</v>
      </c>
      <c r="CK8" s="3117" t="s">
        <v>3782</v>
      </c>
      <c r="CL8" s="3117" t="s">
        <v>3783</v>
      </c>
      <c r="CM8" s="3117" t="s">
        <v>3784</v>
      </c>
      <c r="CN8" s="3117" t="s">
        <v>3785</v>
      </c>
      <c r="CO8" s="3117" t="s">
        <v>3786</v>
      </c>
      <c r="CP8" s="3117" t="s">
        <v>4650</v>
      </c>
      <c r="CQ8" s="3115" t="s">
        <v>3899</v>
      </c>
      <c r="CR8" s="3114" t="s">
        <v>419</v>
      </c>
      <c r="CS8" s="3122" t="s">
        <v>4655</v>
      </c>
      <c r="CT8" s="3114" t="s">
        <v>367</v>
      </c>
      <c r="CU8" s="3114" t="s">
        <v>368</v>
      </c>
      <c r="CV8" s="3134" t="s">
        <v>4653</v>
      </c>
      <c r="CW8" s="3134" t="s">
        <v>3900</v>
      </c>
      <c r="CX8" s="3149" t="s">
        <v>2591</v>
      </c>
    </row>
    <row r="9" spans="1:262" s="523" customFormat="1" ht="117" customHeight="1">
      <c r="A9" s="3114"/>
      <c r="B9" s="3114"/>
      <c r="C9" s="3120"/>
      <c r="D9" s="3114"/>
      <c r="E9" s="3122"/>
      <c r="F9" s="3118"/>
      <c r="G9" s="3124"/>
      <c r="H9" s="3114"/>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16"/>
      <c r="BD9" s="3114"/>
      <c r="BE9" s="3143"/>
      <c r="BF9" s="1480" t="s">
        <v>2285</v>
      </c>
      <c r="BG9" s="1480" t="s">
        <v>905</v>
      </c>
      <c r="BH9" s="1480" t="s">
        <v>2290</v>
      </c>
      <c r="BI9" s="1480" t="s">
        <v>906</v>
      </c>
      <c r="BJ9" s="1480" t="s">
        <v>2287</v>
      </c>
      <c r="BK9" s="1480" t="s">
        <v>2114</v>
      </c>
      <c r="BL9" s="1761" t="s">
        <v>2291</v>
      </c>
      <c r="BM9" s="3138"/>
      <c r="BN9" s="1888" t="s">
        <v>343</v>
      </c>
      <c r="BO9" s="3126"/>
      <c r="BP9" s="3126"/>
      <c r="BQ9" s="3133"/>
      <c r="BR9" s="3147"/>
      <c r="BS9" s="3131"/>
      <c r="BT9" s="3135"/>
      <c r="BU9" s="3126"/>
      <c r="BV9" s="3145"/>
      <c r="BW9" s="3135"/>
      <c r="BX9" s="3126"/>
      <c r="BY9" s="3141"/>
      <c r="BZ9" s="3126"/>
      <c r="CA9" s="3126"/>
      <c r="CB9" s="3126"/>
      <c r="CC9" s="3126"/>
      <c r="CD9" s="3144"/>
      <c r="CE9" s="3136"/>
      <c r="CF9" s="3136"/>
      <c r="CG9" s="3136"/>
      <c r="CH9" s="3136"/>
      <c r="CI9" s="3136"/>
      <c r="CJ9" s="3136"/>
      <c r="CK9" s="3136"/>
      <c r="CL9" s="3136"/>
      <c r="CM9" s="3136"/>
      <c r="CN9" s="3136"/>
      <c r="CO9" s="3136"/>
      <c r="CP9" s="3136"/>
      <c r="CQ9" s="3131"/>
      <c r="CR9" s="3126"/>
      <c r="CS9" s="3145"/>
      <c r="CT9" s="3126"/>
      <c r="CU9" s="3126"/>
      <c r="CV9" s="3135"/>
      <c r="CW9" s="3135"/>
      <c r="CX9" s="3150"/>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39">
        <f>D94</f>
        <v>0</v>
      </c>
      <c r="M98" s="3139"/>
      <c r="N98" s="3139"/>
      <c r="O98" s="3139"/>
      <c r="P98" s="3139"/>
      <c r="Q98" s="3139"/>
      <c r="R98" s="3139"/>
      <c r="S98" s="3139"/>
      <c r="T98" s="3139"/>
      <c r="U98" s="3139"/>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39">
        <f>D94</f>
        <v>0</v>
      </c>
      <c r="M101" s="3139"/>
      <c r="N101" s="3139"/>
      <c r="O101" s="3139"/>
      <c r="P101" s="3139"/>
      <c r="Q101" s="3139"/>
      <c r="R101" s="3139"/>
      <c r="S101" s="3139"/>
      <c r="T101" s="3139"/>
      <c r="U101" s="3139"/>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72" t="s">
        <v>3903</v>
      </c>
      <c r="B4" s="3166" t="s">
        <v>3904</v>
      </c>
      <c r="C4" s="3166" t="s">
        <v>3750</v>
      </c>
      <c r="D4" s="3117" t="s">
        <v>2016</v>
      </c>
      <c r="E4" s="3117" t="s">
        <v>505</v>
      </c>
      <c r="F4" s="3117" t="s">
        <v>503</v>
      </c>
      <c r="G4" s="3117" t="s">
        <v>827</v>
      </c>
      <c r="H4" s="3117" t="s">
        <v>504</v>
      </c>
      <c r="I4" s="3117" t="s">
        <v>1145</v>
      </c>
      <c r="J4" s="3117" t="s">
        <v>3758</v>
      </c>
      <c r="K4" s="3117" t="s">
        <v>3890</v>
      </c>
      <c r="L4" s="3153" t="s">
        <v>3905</v>
      </c>
      <c r="M4" s="3155" t="s">
        <v>2271</v>
      </c>
      <c r="N4" s="3127"/>
      <c r="O4" s="3127"/>
      <c r="P4" s="3127"/>
      <c r="Q4" s="3127"/>
      <c r="R4" s="3156" t="s">
        <v>3861</v>
      </c>
      <c r="S4" s="3157"/>
      <c r="T4" s="3157"/>
      <c r="U4" s="3157"/>
      <c r="V4" s="3157"/>
      <c r="W4" s="3157"/>
      <c r="X4" s="3157"/>
      <c r="Y4" s="3157"/>
      <c r="Z4" s="543" t="s">
        <v>2587</v>
      </c>
      <c r="AA4" s="554"/>
      <c r="AB4" s="554"/>
      <c r="AC4" s="555"/>
      <c r="AD4" s="3117" t="s">
        <v>3906</v>
      </c>
      <c r="AE4" s="3117" t="s">
        <v>2378</v>
      </c>
      <c r="AF4" s="3117" t="s">
        <v>2381</v>
      </c>
      <c r="AG4" s="3117" t="s">
        <v>2384</v>
      </c>
      <c r="AH4" s="3117" t="s">
        <v>2385</v>
      </c>
      <c r="AI4" s="3158" t="s">
        <v>3907</v>
      </c>
      <c r="AJ4" s="556" t="s">
        <v>2170</v>
      </c>
      <c r="AK4" s="557"/>
      <c r="AL4" s="3151" t="s">
        <v>3908</v>
      </c>
      <c r="AM4" s="3151" t="s">
        <v>3909</v>
      </c>
      <c r="AN4" s="3151" t="s">
        <v>3910</v>
      </c>
      <c r="AO4" s="3151" t="s">
        <v>3911</v>
      </c>
      <c r="AP4" s="3151" t="s">
        <v>3912</v>
      </c>
      <c r="AQ4" s="3151" t="s">
        <v>3913</v>
      </c>
      <c r="AR4" s="3160" t="s">
        <v>3914</v>
      </c>
      <c r="AS4" s="3161"/>
      <c r="AT4" s="3161"/>
      <c r="AU4" s="3161"/>
      <c r="AV4" s="3161"/>
      <c r="AW4" s="3162"/>
      <c r="AX4" s="3163" t="s">
        <v>3915</v>
      </c>
      <c r="AY4" s="3163"/>
      <c r="AZ4" s="3163"/>
      <c r="BA4" s="3163"/>
      <c r="BB4" s="544" t="s">
        <v>3916</v>
      </c>
      <c r="BC4" s="558"/>
      <c r="BD4" s="544"/>
      <c r="BE4" s="545" t="s">
        <v>2586</v>
      </c>
      <c r="BF4" s="558"/>
      <c r="BG4" s="544"/>
      <c r="BH4" s="3151" t="s">
        <v>3917</v>
      </c>
      <c r="BI4" s="3151" t="s">
        <v>3918</v>
      </c>
      <c r="BJ4" s="3151" t="s">
        <v>3919</v>
      </c>
      <c r="BK4" s="3151" t="s">
        <v>2835</v>
      </c>
      <c r="BL4" s="3166" t="s">
        <v>3920</v>
      </c>
      <c r="BM4" s="3166" t="s">
        <v>3921</v>
      </c>
      <c r="BN4" s="3164" t="s">
        <v>2591</v>
      </c>
    </row>
    <row r="5" spans="1:209" s="523" customFormat="1" ht="142.5" customHeight="1">
      <c r="A5" s="3173"/>
      <c r="B5" s="3114"/>
      <c r="C5" s="3114"/>
      <c r="D5" s="3118"/>
      <c r="E5" s="3118"/>
      <c r="F5" s="3118"/>
      <c r="G5" s="3118"/>
      <c r="H5" s="3118"/>
      <c r="I5" s="3118"/>
      <c r="J5" s="3118"/>
      <c r="K5" s="3118"/>
      <c r="L5" s="3154"/>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8"/>
      <c r="AE5" s="3118"/>
      <c r="AF5" s="3118"/>
      <c r="AG5" s="3118"/>
      <c r="AH5" s="3118"/>
      <c r="AI5" s="3159"/>
      <c r="AJ5" s="547" t="s">
        <v>3926</v>
      </c>
      <c r="AK5" s="547" t="s">
        <v>3927</v>
      </c>
      <c r="AL5" s="3138"/>
      <c r="AM5" s="3138"/>
      <c r="AN5" s="3138"/>
      <c r="AO5" s="3138"/>
      <c r="AP5" s="3138"/>
      <c r="AQ5" s="3138"/>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8"/>
      <c r="BI5" s="3138"/>
      <c r="BJ5" s="3138"/>
      <c r="BK5" s="3138"/>
      <c r="BL5" s="3167"/>
      <c r="BM5" s="3167"/>
      <c r="BN5" s="3165"/>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68" t="s">
        <v>3944</v>
      </c>
      <c r="B35" s="3169"/>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68" t="s">
        <v>3944</v>
      </c>
      <c r="B67" s="3169"/>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70" t="s">
        <v>3886</v>
      </c>
      <c r="B69" s="3171"/>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52" t="s">
        <v>3945</v>
      </c>
      <c r="B71" s="3152"/>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52" t="s">
        <v>3946</v>
      </c>
      <c r="B72" s="3152"/>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52" t="s">
        <v>3947</v>
      </c>
      <c r="B73" s="3152"/>
      <c r="C73" s="622">
        <f>E69</f>
        <v>0</v>
      </c>
      <c r="D73" s="623"/>
      <c r="E73" s="623"/>
      <c r="F73" s="623"/>
      <c r="G73" s="623"/>
      <c r="H73" s="623"/>
      <c r="R73" s="624"/>
      <c r="U73" s="618"/>
      <c r="W73" s="618"/>
      <c r="AE73" s="511"/>
      <c r="AF73" s="511"/>
      <c r="AG73" s="511"/>
      <c r="AH73" s="511"/>
    </row>
    <row r="74" spans="1:209" ht="18.899999999999999" customHeight="1">
      <c r="A74" s="3152" t="s">
        <v>3948</v>
      </c>
      <c r="B74" s="3152"/>
      <c r="C74" s="622">
        <f>F69</f>
        <v>0</v>
      </c>
      <c r="D74" s="623"/>
      <c r="E74" s="623"/>
      <c r="F74" s="623"/>
      <c r="G74" s="623"/>
      <c r="H74" s="623"/>
      <c r="R74" s="624"/>
      <c r="U74" s="618"/>
      <c r="W74" s="618"/>
      <c r="AE74" s="511"/>
      <c r="AF74" s="511"/>
      <c r="AG74" s="511"/>
      <c r="AH74" s="511"/>
    </row>
    <row r="75" spans="1:209" ht="18.899999999999999" customHeight="1">
      <c r="A75" s="3152" t="s">
        <v>3949</v>
      </c>
      <c r="B75" s="3152"/>
      <c r="C75" s="622">
        <f>G69</f>
        <v>0</v>
      </c>
      <c r="D75" s="623"/>
      <c r="E75" s="623"/>
      <c r="F75" s="623"/>
      <c r="G75" s="623"/>
      <c r="H75" s="623"/>
      <c r="R75" s="624"/>
      <c r="U75" s="618"/>
      <c r="W75" s="618"/>
      <c r="AE75" s="511"/>
      <c r="AF75" s="511"/>
      <c r="AG75" s="511"/>
      <c r="AH75" s="511"/>
    </row>
    <row r="76" spans="1:209" ht="18.899999999999999" customHeight="1">
      <c r="A76" s="3152" t="s">
        <v>3950</v>
      </c>
      <c r="B76" s="3152"/>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52" t="s">
        <v>3951</v>
      </c>
      <c r="B77" s="3152"/>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72" t="s">
        <v>3903</v>
      </c>
      <c r="B4" s="3166" t="s">
        <v>3954</v>
      </c>
      <c r="C4" s="3166" t="s">
        <v>3750</v>
      </c>
      <c r="D4" s="3117" t="s">
        <v>3955</v>
      </c>
      <c r="E4" s="3117" t="s">
        <v>3956</v>
      </c>
      <c r="F4" s="3117" t="s">
        <v>2016</v>
      </c>
      <c r="G4" s="3117" t="s">
        <v>2197</v>
      </c>
      <c r="H4" s="3117" t="s">
        <v>116</v>
      </c>
      <c r="I4" s="3117" t="s">
        <v>1147</v>
      </c>
      <c r="J4" s="3117" t="s">
        <v>1146</v>
      </c>
      <c r="K4" s="3117" t="s">
        <v>1145</v>
      </c>
      <c r="L4" s="3117" t="s">
        <v>2256</v>
      </c>
      <c r="M4" s="3117" t="s">
        <v>2255</v>
      </c>
      <c r="N4" s="3117" t="s">
        <v>2254</v>
      </c>
      <c r="O4" s="3117" t="s">
        <v>3758</v>
      </c>
      <c r="P4" s="3117" t="s">
        <v>3890</v>
      </c>
      <c r="Q4" s="3153" t="s">
        <v>3760</v>
      </c>
      <c r="R4" s="3155" t="s">
        <v>3957</v>
      </c>
      <c r="S4" s="3127"/>
      <c r="T4" s="3127"/>
      <c r="U4" s="3179"/>
      <c r="V4" s="3156" t="s">
        <v>3861</v>
      </c>
      <c r="W4" s="3157"/>
      <c r="X4" s="3157"/>
      <c r="Y4" s="3157"/>
      <c r="Z4" s="3157"/>
      <c r="AA4" s="3157"/>
      <c r="AB4" s="3157"/>
      <c r="AC4" s="3157"/>
      <c r="AD4" s="3157"/>
      <c r="AE4" s="3157"/>
      <c r="AF4" s="3157"/>
      <c r="AG4" s="3157"/>
      <c r="AH4" s="3157"/>
      <c r="AI4" s="3157"/>
      <c r="AJ4" s="3157"/>
      <c r="AK4" s="3157"/>
      <c r="AL4" s="3157"/>
      <c r="AM4" s="3157"/>
      <c r="AN4" s="3157"/>
      <c r="AO4" s="3157"/>
      <c r="AP4" s="3157"/>
      <c r="AQ4" s="3157"/>
      <c r="AR4" s="3157"/>
      <c r="AS4" s="3157"/>
      <c r="AT4" s="3157"/>
      <c r="AU4" s="3180"/>
      <c r="AV4" s="642"/>
      <c r="AW4" s="505" t="s">
        <v>3958</v>
      </c>
      <c r="AX4" s="642"/>
      <c r="AY4" s="642"/>
      <c r="AZ4" s="642"/>
      <c r="BA4" s="522"/>
      <c r="BB4" s="642"/>
      <c r="BC4" s="522"/>
      <c r="BD4" s="642"/>
      <c r="BE4" s="642"/>
      <c r="BF4" s="630" t="s">
        <v>3864</v>
      </c>
      <c r="BG4" s="642"/>
      <c r="BH4" s="642"/>
      <c r="BI4" s="642"/>
      <c r="BJ4" s="642"/>
      <c r="BK4" s="642"/>
      <c r="BL4" s="642"/>
      <c r="BM4" s="642"/>
      <c r="BN4" s="642"/>
      <c r="BO4" s="642"/>
      <c r="BP4" s="3117" t="s">
        <v>2378</v>
      </c>
      <c r="BQ4" s="3117" t="s">
        <v>2383</v>
      </c>
      <c r="BR4" s="3117" t="s">
        <v>2382</v>
      </c>
      <c r="BS4" s="3117" t="s">
        <v>2381</v>
      </c>
      <c r="BT4" s="3117" t="s">
        <v>3959</v>
      </c>
      <c r="BU4" s="3117" t="s">
        <v>3960</v>
      </c>
      <c r="BV4" s="3158" t="s">
        <v>3907</v>
      </c>
      <c r="BW4" s="556" t="s">
        <v>3961</v>
      </c>
      <c r="BX4" s="643"/>
      <c r="BY4" s="643"/>
      <c r="BZ4" s="557"/>
      <c r="CA4" s="3174" t="s">
        <v>3962</v>
      </c>
      <c r="CB4" s="3174" t="s">
        <v>3909</v>
      </c>
      <c r="CC4" s="3177" t="s">
        <v>3914</v>
      </c>
      <c r="CD4" s="3178"/>
      <c r="CE4" s="3178"/>
      <c r="CF4" s="3178"/>
      <c r="CG4" s="3178"/>
      <c r="CH4" s="3178"/>
      <c r="CI4" s="3178"/>
      <c r="CJ4" s="3178"/>
      <c r="CK4" s="3178"/>
      <c r="CL4" s="644" t="s">
        <v>473</v>
      </c>
      <c r="CM4" s="645"/>
      <c r="CN4" s="3151" t="s">
        <v>3963</v>
      </c>
      <c r="CO4" s="3151" t="s">
        <v>3917</v>
      </c>
      <c r="CP4" s="3151" t="s">
        <v>3918</v>
      </c>
      <c r="CQ4" s="3151" t="s">
        <v>3919</v>
      </c>
      <c r="CR4" s="3151" t="s">
        <v>2835</v>
      </c>
      <c r="CS4" s="3166" t="s">
        <v>3920</v>
      </c>
      <c r="CT4" s="3166" t="s">
        <v>3964</v>
      </c>
      <c r="CU4" s="3166" t="s">
        <v>3383</v>
      </c>
      <c r="CV4" s="3166" t="s">
        <v>3965</v>
      </c>
      <c r="CW4" s="3166" t="s">
        <v>3966</v>
      </c>
      <c r="CX4" s="3176" t="s">
        <v>3967</v>
      </c>
      <c r="CY4" s="3164" t="s">
        <v>2591</v>
      </c>
    </row>
    <row r="5" spans="1:234" s="523" customFormat="1" ht="142.5" customHeight="1">
      <c r="A5" s="3173"/>
      <c r="B5" s="3114"/>
      <c r="C5" s="3114"/>
      <c r="D5" s="3118"/>
      <c r="E5" s="3118"/>
      <c r="F5" s="3118"/>
      <c r="G5" s="3118"/>
      <c r="H5" s="3118"/>
      <c r="I5" s="3118"/>
      <c r="J5" s="3118"/>
      <c r="K5" s="3118"/>
      <c r="L5" s="3118"/>
      <c r="M5" s="3118"/>
      <c r="N5" s="3118"/>
      <c r="O5" s="3118"/>
      <c r="P5" s="3118"/>
      <c r="Q5" s="3154"/>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8"/>
      <c r="BQ5" s="3118"/>
      <c r="BR5" s="3118"/>
      <c r="BS5" s="3118"/>
      <c r="BT5" s="3118"/>
      <c r="BU5" s="3118"/>
      <c r="BV5" s="3159"/>
      <c r="BW5" s="547" t="s">
        <v>3969</v>
      </c>
      <c r="BX5" s="547" t="s">
        <v>3970</v>
      </c>
      <c r="BY5" s="547" t="s">
        <v>2029</v>
      </c>
      <c r="BZ5" s="547" t="s">
        <v>1443</v>
      </c>
      <c r="CA5" s="3175"/>
      <c r="CB5" s="3175"/>
      <c r="CC5" s="548" t="s">
        <v>3928</v>
      </c>
      <c r="CD5" s="548" t="s">
        <v>3971</v>
      </c>
      <c r="CE5" s="548" t="s">
        <v>3929</v>
      </c>
      <c r="CF5" s="548" t="s">
        <v>3972</v>
      </c>
      <c r="CG5" s="548" t="s">
        <v>3973</v>
      </c>
      <c r="CH5" s="548" t="s">
        <v>3930</v>
      </c>
      <c r="CI5" s="548" t="s">
        <v>3931</v>
      </c>
      <c r="CJ5" s="548" t="s">
        <v>3974</v>
      </c>
      <c r="CK5" s="548" t="s">
        <v>3975</v>
      </c>
      <c r="CL5" s="548" t="s">
        <v>3976</v>
      </c>
      <c r="CM5" s="548" t="s">
        <v>3977</v>
      </c>
      <c r="CN5" s="3138"/>
      <c r="CO5" s="3138"/>
      <c r="CP5" s="3138"/>
      <c r="CQ5" s="3138"/>
      <c r="CR5" s="3138"/>
      <c r="CS5" s="3167"/>
      <c r="CT5" s="3167"/>
      <c r="CU5" s="3167"/>
      <c r="CV5" s="3167"/>
      <c r="CW5" s="3167"/>
      <c r="CX5" s="3150"/>
      <c r="CY5" s="3165"/>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52" t="s">
        <v>3945</v>
      </c>
      <c r="B316" s="3152"/>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52" t="s">
        <v>4023</v>
      </c>
      <c r="B317" s="3152"/>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52" t="s">
        <v>3947</v>
      </c>
      <c r="B318" s="3152"/>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52" t="s">
        <v>4024</v>
      </c>
      <c r="B319" s="3152"/>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52" t="s">
        <v>4025</v>
      </c>
      <c r="B320" s="3152"/>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52" t="s">
        <v>3951</v>
      </c>
      <c r="B321" s="3152"/>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4" t="s">
        <v>3903</v>
      </c>
      <c r="B4" s="3186" t="s">
        <v>3954</v>
      </c>
      <c r="C4" s="3186" t="s">
        <v>3750</v>
      </c>
      <c r="D4" s="3182" t="s">
        <v>1030</v>
      </c>
      <c r="E4" s="3182" t="s">
        <v>186</v>
      </c>
      <c r="F4" s="3182" t="s">
        <v>2016</v>
      </c>
      <c r="G4" s="3182" t="s">
        <v>2197</v>
      </c>
      <c r="H4" s="3182" t="s">
        <v>116</v>
      </c>
      <c r="I4" s="3182" t="s">
        <v>1147</v>
      </c>
      <c r="J4" s="3182" t="s">
        <v>1146</v>
      </c>
      <c r="K4" s="3182" t="s">
        <v>1145</v>
      </c>
      <c r="L4" s="3182" t="s">
        <v>2256</v>
      </c>
      <c r="M4" s="3182" t="s">
        <v>2255</v>
      </c>
      <c r="N4" s="3182" t="s">
        <v>2254</v>
      </c>
      <c r="O4" s="3182" t="s">
        <v>3758</v>
      </c>
      <c r="P4" s="3182" t="s">
        <v>3890</v>
      </c>
      <c r="Q4" s="3182" t="s">
        <v>3760</v>
      </c>
      <c r="R4" s="3196" t="s">
        <v>3957</v>
      </c>
      <c r="S4" s="3197"/>
      <c r="T4" s="3197"/>
      <c r="U4" s="3197"/>
      <c r="V4" s="3198"/>
      <c r="W4" s="3196" t="s">
        <v>3861</v>
      </c>
      <c r="X4" s="3197"/>
      <c r="Y4" s="3197"/>
      <c r="Z4" s="3197"/>
      <c r="AA4" s="3197"/>
      <c r="AB4" s="3197"/>
      <c r="AC4" s="3197"/>
      <c r="AD4" s="3197"/>
      <c r="AE4" s="3197"/>
      <c r="AF4" s="3197"/>
      <c r="AG4" s="3197"/>
      <c r="AH4" s="3197"/>
      <c r="AI4" s="3197"/>
      <c r="AJ4" s="3197"/>
      <c r="AK4" s="3197"/>
      <c r="AL4" s="3197"/>
      <c r="AM4" s="3197"/>
      <c r="AN4" s="3197"/>
      <c r="AO4" s="3197"/>
      <c r="AP4" s="3197"/>
      <c r="AQ4" s="3197"/>
      <c r="AR4" s="3197"/>
      <c r="AS4" s="3197"/>
      <c r="AT4" s="3197"/>
      <c r="AU4" s="3197"/>
      <c r="AV4" s="3198"/>
      <c r="AW4" s="903"/>
      <c r="AX4" s="906" t="s">
        <v>3762</v>
      </c>
      <c r="AY4" s="903"/>
      <c r="AZ4" s="903"/>
      <c r="BA4" s="903"/>
      <c r="BB4" s="903"/>
      <c r="BC4" s="903"/>
      <c r="BD4" s="903"/>
      <c r="BE4" s="903"/>
      <c r="BF4" s="903"/>
      <c r="BG4" s="903" t="s">
        <v>3864</v>
      </c>
      <c r="BH4" s="630"/>
      <c r="BI4" s="630"/>
      <c r="BJ4" s="630"/>
      <c r="BK4" s="630"/>
      <c r="BL4" s="630"/>
      <c r="BM4" s="630"/>
      <c r="BN4" s="630"/>
      <c r="BO4" s="630"/>
      <c r="BP4" s="630"/>
      <c r="BQ4" s="3182" t="s">
        <v>2378</v>
      </c>
      <c r="BR4" s="3182" t="s">
        <v>2383</v>
      </c>
      <c r="BS4" s="3182" t="s">
        <v>4483</v>
      </c>
      <c r="BT4" s="3182" t="s">
        <v>2378</v>
      </c>
      <c r="BU4" s="3182" t="s">
        <v>2384</v>
      </c>
      <c r="BV4" s="3182" t="s">
        <v>2385</v>
      </c>
      <c r="BW4" s="3186" t="s">
        <v>3907</v>
      </c>
      <c r="BX4" s="543" t="s">
        <v>2170</v>
      </c>
      <c r="BY4" s="554"/>
      <c r="BZ4" s="554"/>
      <c r="CA4" s="555"/>
      <c r="CB4" s="3188" t="s">
        <v>3962</v>
      </c>
      <c r="CC4" s="3188" t="s">
        <v>3909</v>
      </c>
      <c r="CD4" s="3188" t="s">
        <v>3910</v>
      </c>
      <c r="CE4" s="3188" t="s">
        <v>3911</v>
      </c>
      <c r="CF4" s="3188" t="s">
        <v>3912</v>
      </c>
      <c r="CG4" s="3188" t="s">
        <v>4029</v>
      </c>
      <c r="CH4" s="3191" t="s">
        <v>3914</v>
      </c>
      <c r="CI4" s="3192"/>
      <c r="CJ4" s="3192"/>
      <c r="CK4" s="3192"/>
      <c r="CL4" s="3192"/>
      <c r="CM4" s="3192"/>
      <c r="CN4" s="3192"/>
      <c r="CO4" s="3192"/>
      <c r="CP4" s="3192"/>
      <c r="CQ4" s="3192"/>
      <c r="CR4" s="3192"/>
      <c r="CS4" s="3192"/>
      <c r="CT4" s="3192"/>
      <c r="CU4" s="3193"/>
      <c r="CV4" s="3191" t="s">
        <v>3915</v>
      </c>
      <c r="CW4" s="3192"/>
      <c r="CX4" s="3192"/>
      <c r="CY4" s="3192"/>
      <c r="CZ4" s="3193"/>
      <c r="DA4" s="3191" t="s">
        <v>3916</v>
      </c>
      <c r="DB4" s="3192"/>
      <c r="DC4" s="3192"/>
      <c r="DD4" s="3193"/>
      <c r="DE4" s="3191" t="s">
        <v>2586</v>
      </c>
      <c r="DF4" s="3192"/>
      <c r="DG4" s="3192"/>
      <c r="DH4" s="3193"/>
      <c r="DI4" s="3191" t="s">
        <v>473</v>
      </c>
      <c r="DJ4" s="3193"/>
      <c r="DK4" s="3188" t="s">
        <v>3963</v>
      </c>
      <c r="DL4" s="3188" t="s">
        <v>3917</v>
      </c>
      <c r="DM4" s="3188" t="s">
        <v>3918</v>
      </c>
      <c r="DN4" s="3188" t="s">
        <v>3919</v>
      </c>
      <c r="DO4" s="3188" t="s">
        <v>2835</v>
      </c>
      <c r="DP4" s="3186" t="s">
        <v>4030</v>
      </c>
      <c r="DQ4" s="3186" t="s">
        <v>4479</v>
      </c>
      <c r="DR4" s="3186" t="s">
        <v>4480</v>
      </c>
      <c r="DS4" s="3186" t="s">
        <v>4481</v>
      </c>
      <c r="DT4" s="3186" t="s">
        <v>3966</v>
      </c>
      <c r="DU4" s="3186" t="s">
        <v>4064</v>
      </c>
      <c r="DV4" s="3194" t="s">
        <v>2591</v>
      </c>
    </row>
    <row r="5" spans="1:256" s="523" customFormat="1" ht="100.2">
      <c r="A5" s="3185"/>
      <c r="B5" s="3187"/>
      <c r="C5" s="3187"/>
      <c r="D5" s="3183"/>
      <c r="E5" s="3183"/>
      <c r="F5" s="3183"/>
      <c r="G5" s="3183"/>
      <c r="H5" s="3183"/>
      <c r="I5" s="3183"/>
      <c r="J5" s="3183"/>
      <c r="K5" s="3183"/>
      <c r="L5" s="3183"/>
      <c r="M5" s="3183"/>
      <c r="N5" s="3183"/>
      <c r="O5" s="3183"/>
      <c r="P5" s="3183"/>
      <c r="Q5" s="3183"/>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3"/>
      <c r="BR5" s="3183"/>
      <c r="BS5" s="3183"/>
      <c r="BT5" s="3183"/>
      <c r="BU5" s="3183"/>
      <c r="BV5" s="3183"/>
      <c r="BW5" s="3190"/>
      <c r="BX5" s="786" t="s">
        <v>3969</v>
      </c>
      <c r="BY5" s="786" t="s">
        <v>3970</v>
      </c>
      <c r="BZ5" s="786" t="s">
        <v>3926</v>
      </c>
      <c r="CA5" s="786" t="s">
        <v>4477</v>
      </c>
      <c r="CB5" s="3189"/>
      <c r="CC5" s="3189"/>
      <c r="CD5" s="3189"/>
      <c r="CE5" s="3189"/>
      <c r="CF5" s="3189"/>
      <c r="CG5" s="3189"/>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9"/>
      <c r="DL5" s="3189"/>
      <c r="DM5" s="3189"/>
      <c r="DN5" s="3189"/>
      <c r="DO5" s="3189"/>
      <c r="DP5" s="3190"/>
      <c r="DQ5" s="3190"/>
      <c r="DR5" s="3190"/>
      <c r="DS5" s="3190"/>
      <c r="DT5" s="3190"/>
      <c r="DU5" s="3190"/>
      <c r="DV5" s="3195"/>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81" t="s">
        <v>4066</v>
      </c>
      <c r="B343" s="3181"/>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81" t="s">
        <v>4067</v>
      </c>
      <c r="B344" s="3181"/>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81" t="s">
        <v>4068</v>
      </c>
      <c r="B345" s="3181"/>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81" t="s">
        <v>4069</v>
      </c>
      <c r="B346" s="3181"/>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81" t="s">
        <v>4070</v>
      </c>
      <c r="B347" s="3181"/>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81" t="s">
        <v>4071</v>
      </c>
      <c r="B348" s="3181"/>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6"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6436</v>
      </c>
      <c r="I1" s="947" t="s">
        <v>6437</v>
      </c>
      <c r="J1" s="947" t="s">
        <v>6439</v>
      </c>
      <c r="K1" s="947" t="s">
        <v>6440</v>
      </c>
      <c r="L1" s="947" t="s">
        <v>6489</v>
      </c>
      <c r="M1" s="947" t="s">
        <v>4826</v>
      </c>
      <c r="N1" s="947" t="s">
        <v>190</v>
      </c>
      <c r="O1" s="947" t="s">
        <v>6441</v>
      </c>
      <c r="P1" s="947" t="s">
        <v>6442</v>
      </c>
      <c r="Q1" s="947" t="s">
        <v>300</v>
      </c>
      <c r="R1" s="947" t="s">
        <v>6478</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7327</v>
      </c>
      <c r="AI1" s="947" t="s">
        <v>6443</v>
      </c>
      <c r="AJ1" s="947" t="s">
        <v>1475</v>
      </c>
      <c r="AK1" s="947" t="s">
        <v>1473</v>
      </c>
      <c r="AL1" s="947" t="s">
        <v>1575</v>
      </c>
      <c r="AM1" s="947" t="s">
        <v>1294</v>
      </c>
      <c r="AN1" s="947" t="s">
        <v>1298</v>
      </c>
      <c r="AO1" s="947" t="s">
        <v>104</v>
      </c>
      <c r="AP1" s="947" t="s">
        <v>4603</v>
      </c>
      <c r="AQ1" s="947" t="s">
        <v>5715</v>
      </c>
      <c r="AR1" s="947" t="s">
        <v>1649</v>
      </c>
      <c r="AS1" s="947" t="s">
        <v>1648</v>
      </c>
      <c r="AT1" s="947" t="s">
        <v>7316</v>
      </c>
      <c r="AU1" s="947" t="s">
        <v>1369</v>
      </c>
      <c r="AV1" s="947" t="s">
        <v>6477</v>
      </c>
      <c r="AW1" s="1606" t="s">
        <v>7318</v>
      </c>
      <c r="AX1" s="1606" t="s">
        <v>6479</v>
      </c>
      <c r="AY1" s="1606" t="s">
        <v>1215</v>
      </c>
      <c r="AZ1" s="1606" t="s">
        <v>1265</v>
      </c>
      <c r="BA1" s="1606" t="s">
        <v>6482</v>
      </c>
      <c r="BB1" s="1606" t="s">
        <v>6485</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Đường dây trung thế &amp; TBA 3 pha 1000 kVA - 22/0,4kV Công ty Cổ phần Sunrise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7326</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7293</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7294</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0" priority="104" operator="greaterThan">
      <formula>0</formula>
    </cfRule>
    <cfRule type="cellIs" dxfId="249" priority="105" operator="greaterThan">
      <formula>0</formula>
    </cfRule>
    <cfRule type="cellIs" dxfId="248" priority="106" operator="greaterThan">
      <formula>"0$L$5"</formula>
    </cfRule>
  </conditionalFormatting>
  <conditionalFormatting sqref="S2:S3 BA2 A2:A3 U2:U3 X2:AF3 AI2:AK3 AQ2:AQ3 AU2:AZ3 H2:Q3">
    <cfRule type="cellIs" dxfId="247" priority="94" operator="greaterThan">
      <formula>0</formula>
    </cfRule>
  </conditionalFormatting>
  <conditionalFormatting sqref="AV1">
    <cfRule type="duplicateValues" dxfId="246" priority="77"/>
  </conditionalFormatting>
  <conditionalFormatting sqref="R16">
    <cfRule type="cellIs" dxfId="245" priority="74" operator="greaterThan">
      <formula>0</formula>
    </cfRule>
    <cfRule type="cellIs" dxfId="244" priority="75" operator="greaterThan">
      <formula>0</formula>
    </cfRule>
    <cfRule type="cellIs" dxfId="243" priority="76" operator="greaterThan">
      <formula>"0$L$5"</formula>
    </cfRule>
  </conditionalFormatting>
  <conditionalFormatting sqref="R2:R3">
    <cfRule type="cellIs" dxfId="242" priority="73" operator="greaterThan">
      <formula>0</formula>
    </cfRule>
  </conditionalFormatting>
  <conditionalFormatting sqref="R1">
    <cfRule type="duplicateValues" dxfId="241" priority="72"/>
  </conditionalFormatting>
  <conditionalFormatting sqref="AL16">
    <cfRule type="cellIs" dxfId="240" priority="69" operator="greaterThan">
      <formula>0</formula>
    </cfRule>
    <cfRule type="cellIs" dxfId="239" priority="70" operator="greaterThan">
      <formula>0</formula>
    </cfRule>
    <cfRule type="cellIs" dxfId="238" priority="71" operator="greaterThan">
      <formula>"0$L$5"</formula>
    </cfRule>
  </conditionalFormatting>
  <conditionalFormatting sqref="AL2:AL3">
    <cfRule type="cellIs" dxfId="237" priority="68" operator="greaterThan">
      <formula>0</formula>
    </cfRule>
  </conditionalFormatting>
  <conditionalFormatting sqref="AL1">
    <cfRule type="duplicateValues" dxfId="236" priority="67"/>
  </conditionalFormatting>
  <conditionalFormatting sqref="AO16">
    <cfRule type="cellIs" dxfId="235" priority="64" operator="greaterThan">
      <formula>0</formula>
    </cfRule>
    <cfRule type="cellIs" dxfId="234" priority="65" operator="greaterThan">
      <formula>0</formula>
    </cfRule>
    <cfRule type="cellIs" dxfId="233" priority="66" operator="greaterThan">
      <formula>"0$L$5"</formula>
    </cfRule>
  </conditionalFormatting>
  <conditionalFormatting sqref="AO2:AO3">
    <cfRule type="cellIs" dxfId="232" priority="63" operator="greaterThan">
      <formula>0</formula>
    </cfRule>
  </conditionalFormatting>
  <conditionalFormatting sqref="AO1">
    <cfRule type="duplicateValues" dxfId="231" priority="62"/>
  </conditionalFormatting>
  <conditionalFormatting sqref="BA3">
    <cfRule type="cellIs" dxfId="230" priority="61" operator="greaterThan">
      <formula>0</formula>
    </cfRule>
  </conditionalFormatting>
  <conditionalFormatting sqref="B16:G16">
    <cfRule type="cellIs" dxfId="229" priority="58" operator="greaterThan">
      <formula>0</formula>
    </cfRule>
    <cfRule type="cellIs" dxfId="228" priority="59" operator="greaterThan">
      <formula>0</formula>
    </cfRule>
    <cfRule type="cellIs" dxfId="227" priority="60" operator="greaterThan">
      <formula>"0$L$5"</formula>
    </cfRule>
  </conditionalFormatting>
  <conditionalFormatting sqref="B2:G3">
    <cfRule type="cellIs" dxfId="226" priority="57" operator="greaterThan">
      <formula>0</formula>
    </cfRule>
  </conditionalFormatting>
  <conditionalFormatting sqref="B1:G1">
    <cfRule type="duplicateValues" dxfId="225" priority="56"/>
  </conditionalFormatting>
  <conditionalFormatting sqref="T16">
    <cfRule type="cellIs" dxfId="224" priority="53" operator="greaterThan">
      <formula>0</formula>
    </cfRule>
    <cfRule type="cellIs" dxfId="223" priority="54" operator="greaterThan">
      <formula>0</formula>
    </cfRule>
    <cfRule type="cellIs" dxfId="222" priority="55" operator="greaterThan">
      <formula>"0$L$5"</formula>
    </cfRule>
  </conditionalFormatting>
  <conditionalFormatting sqref="T2:T3">
    <cfRule type="cellIs" dxfId="221" priority="52" operator="greaterThan">
      <formula>0</formula>
    </cfRule>
  </conditionalFormatting>
  <conditionalFormatting sqref="T1">
    <cfRule type="duplicateValues" dxfId="220" priority="51"/>
  </conditionalFormatting>
  <conditionalFormatting sqref="V16">
    <cfRule type="cellIs" dxfId="219" priority="48" operator="greaterThan">
      <formula>0</formula>
    </cfRule>
    <cfRule type="cellIs" dxfId="218" priority="49" operator="greaterThan">
      <formula>0</formula>
    </cfRule>
    <cfRule type="cellIs" dxfId="217" priority="50" operator="greaterThan">
      <formula>"0$L$5"</formula>
    </cfRule>
  </conditionalFormatting>
  <conditionalFormatting sqref="V2:V3">
    <cfRule type="cellIs" dxfId="216" priority="47" operator="greaterThan">
      <formula>0</formula>
    </cfRule>
  </conditionalFormatting>
  <conditionalFormatting sqref="V1">
    <cfRule type="duplicateValues" dxfId="215" priority="46"/>
  </conditionalFormatting>
  <conditionalFormatting sqref="AG16">
    <cfRule type="cellIs" dxfId="214" priority="43" operator="greaterThan">
      <formula>0</formula>
    </cfRule>
    <cfRule type="cellIs" dxfId="213" priority="44" operator="greaterThan">
      <formula>0</formula>
    </cfRule>
    <cfRule type="cellIs" dxfId="212" priority="45" operator="greaterThan">
      <formula>"0$L$5"</formula>
    </cfRule>
  </conditionalFormatting>
  <conditionalFormatting sqref="AG2:AG3">
    <cfRule type="cellIs" dxfId="211" priority="42" operator="greaterThan">
      <formula>0</formula>
    </cfRule>
  </conditionalFormatting>
  <conditionalFormatting sqref="AG1">
    <cfRule type="duplicateValues" dxfId="210" priority="41"/>
  </conditionalFormatting>
  <conditionalFormatting sqref="AM16">
    <cfRule type="cellIs" dxfId="209" priority="38" operator="greaterThan">
      <formula>0</formula>
    </cfRule>
    <cfRule type="cellIs" dxfId="208" priority="39" operator="greaterThan">
      <formula>0</formula>
    </cfRule>
    <cfRule type="cellIs" dxfId="207" priority="40" operator="greaterThan">
      <formula>"0$L$5"</formula>
    </cfRule>
  </conditionalFormatting>
  <conditionalFormatting sqref="AM2:AM3">
    <cfRule type="cellIs" dxfId="206" priority="37" operator="greaterThan">
      <formula>0</formula>
    </cfRule>
  </conditionalFormatting>
  <conditionalFormatting sqref="AM1">
    <cfRule type="duplicateValues" dxfId="205" priority="36"/>
  </conditionalFormatting>
  <conditionalFormatting sqref="AQ1 S1 H1:Q1 U1 AI1:AK1 X1:AF1 AU1">
    <cfRule type="duplicateValues" dxfId="204" priority="170"/>
  </conditionalFormatting>
  <conditionalFormatting sqref="AP16">
    <cfRule type="cellIs" dxfId="203" priority="32" operator="greaterThan">
      <formula>0</formula>
    </cfRule>
    <cfRule type="cellIs" dxfId="202" priority="33" operator="greaterThan">
      <formula>0</formula>
    </cfRule>
    <cfRule type="cellIs" dxfId="201" priority="34" operator="greaterThan">
      <formula>"0$L$5"</formula>
    </cfRule>
  </conditionalFormatting>
  <conditionalFormatting sqref="AP2:AP3">
    <cfRule type="cellIs" dxfId="200" priority="31" operator="greaterThan">
      <formula>0</formula>
    </cfRule>
  </conditionalFormatting>
  <conditionalFormatting sqref="AP1">
    <cfRule type="duplicateValues" dxfId="199" priority="35"/>
  </conditionalFormatting>
  <conditionalFormatting sqref="AR16">
    <cfRule type="cellIs" dxfId="198" priority="27" operator="greaterThan">
      <formula>0</formula>
    </cfRule>
    <cfRule type="cellIs" dxfId="197" priority="28" operator="greaterThan">
      <formula>0</formula>
    </cfRule>
    <cfRule type="cellIs" dxfId="196" priority="29" operator="greaterThan">
      <formula>"0$L$5"</formula>
    </cfRule>
  </conditionalFormatting>
  <conditionalFormatting sqref="AR2:AR3">
    <cfRule type="cellIs" dxfId="195" priority="26" operator="greaterThan">
      <formula>0</formula>
    </cfRule>
  </conditionalFormatting>
  <conditionalFormatting sqref="AR1">
    <cfRule type="duplicateValues" dxfId="194" priority="30"/>
  </conditionalFormatting>
  <conditionalFormatting sqref="AS16">
    <cfRule type="cellIs" dxfId="193" priority="22" operator="greaterThan">
      <formula>0</formula>
    </cfRule>
    <cfRule type="cellIs" dxfId="192" priority="23" operator="greaterThan">
      <formula>0</formula>
    </cfRule>
    <cfRule type="cellIs" dxfId="191" priority="24" operator="greaterThan">
      <formula>"0$L$5"</formula>
    </cfRule>
  </conditionalFormatting>
  <conditionalFormatting sqref="AS2:AS3">
    <cfRule type="cellIs" dxfId="190" priority="21" operator="greaterThan">
      <formula>0</formula>
    </cfRule>
  </conditionalFormatting>
  <conditionalFormatting sqref="AS1">
    <cfRule type="duplicateValues" dxfId="189" priority="25"/>
  </conditionalFormatting>
  <conditionalFormatting sqref="AT16">
    <cfRule type="cellIs" dxfId="188" priority="17" operator="greaterThan">
      <formula>0</formula>
    </cfRule>
    <cfRule type="cellIs" dxfId="187" priority="18" operator="greaterThan">
      <formula>0</formula>
    </cfRule>
    <cfRule type="cellIs" dxfId="186" priority="19" operator="greaterThan">
      <formula>"0$L$5"</formula>
    </cfRule>
  </conditionalFormatting>
  <conditionalFormatting sqref="AT2:AT3">
    <cfRule type="cellIs" dxfId="185" priority="16" operator="greaterThan">
      <formula>0</formula>
    </cfRule>
  </conditionalFormatting>
  <conditionalFormatting sqref="AT1">
    <cfRule type="duplicateValues" dxfId="184" priority="20"/>
  </conditionalFormatting>
  <conditionalFormatting sqref="AN16">
    <cfRule type="cellIs" dxfId="183" priority="13" operator="greaterThan">
      <formula>0</formula>
    </cfRule>
    <cfRule type="cellIs" dxfId="182" priority="14" operator="greaterThan">
      <formula>0</formula>
    </cfRule>
    <cfRule type="cellIs" dxfId="181" priority="15" operator="greaterThan">
      <formula>"0$L$5"</formula>
    </cfRule>
  </conditionalFormatting>
  <conditionalFormatting sqref="AN2:AN3">
    <cfRule type="cellIs" dxfId="180" priority="12" operator="greaterThan">
      <formula>0</formula>
    </cfRule>
  </conditionalFormatting>
  <conditionalFormatting sqref="AN1">
    <cfRule type="duplicateValues" dxfId="179" priority="11"/>
  </conditionalFormatting>
  <conditionalFormatting sqref="W16">
    <cfRule type="cellIs" dxfId="178" priority="7" operator="greaterThan">
      <formula>0</formula>
    </cfRule>
    <cfRule type="cellIs" dxfId="177" priority="8" operator="greaterThan">
      <formula>0</formula>
    </cfRule>
    <cfRule type="cellIs" dxfId="176" priority="9" operator="greaterThan">
      <formula>"0$L$5"</formula>
    </cfRule>
  </conditionalFormatting>
  <conditionalFormatting sqref="W2:W3">
    <cfRule type="cellIs" dxfId="175" priority="6" operator="greaterThan">
      <formula>0</formula>
    </cfRule>
  </conditionalFormatting>
  <conditionalFormatting sqref="W1">
    <cfRule type="duplicateValues" dxfId="174" priority="10"/>
  </conditionalFormatting>
  <conditionalFormatting sqref="AH16">
    <cfRule type="cellIs" dxfId="173" priority="2" operator="greaterThan">
      <formula>0</formula>
    </cfRule>
    <cfRule type="cellIs" dxfId="172" priority="3" operator="greaterThan">
      <formula>0</formula>
    </cfRule>
    <cfRule type="cellIs" dxfId="171" priority="4" operator="greaterThan">
      <formula>"0$L$5"</formula>
    </cfRule>
  </conditionalFormatting>
  <conditionalFormatting sqref="AH2:AH3">
    <cfRule type="cellIs" dxfId="170" priority="1" operator="greaterThan">
      <formula>0</formula>
    </cfRule>
  </conditionalFormatting>
  <conditionalFormatting sqref="AH1">
    <cfRule type="duplicateValues" dxfId="169"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95" customHeight="1">
      <c r="C27" s="2554" t="s">
        <v>6016</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6097</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4.4"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4.4"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4.4"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4.4"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591" zoomScaleNormal="100" workbookViewId="0">
      <selection activeCell="B2375" sqref="B2375:I2599"/>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9">
        <f>I17+L17</f>
        <v>0</v>
      </c>
      <c r="O6" s="2654"/>
    </row>
    <row r="7" spans="3:16" hidden="1" outlineLevel="1">
      <c r="C7" s="2777"/>
      <c r="D7" s="2662"/>
      <c r="F7" s="2663"/>
      <c r="G7" s="1213" t="s">
        <v>4367</v>
      </c>
      <c r="H7" s="2664" t="s">
        <v>2047</v>
      </c>
      <c r="I7" s="1661"/>
      <c r="J7" s="1213">
        <f>I7*25</f>
        <v>0</v>
      </c>
      <c r="K7" s="2660" t="s">
        <v>4368</v>
      </c>
      <c r="L7" s="1213">
        <v>0</v>
      </c>
      <c r="M7" s="2661">
        <f>L7*3*25</f>
        <v>0</v>
      </c>
      <c r="N7" s="3200"/>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9">
        <f>J18+M18</f>
        <v>560</v>
      </c>
      <c r="O9" s="2654"/>
    </row>
    <row r="10" spans="3:16" hidden="1" outlineLevel="1">
      <c r="C10" s="2777"/>
      <c r="E10" s="2662"/>
      <c r="F10" s="2651"/>
      <c r="G10" s="2668"/>
      <c r="H10" s="2669" t="s">
        <v>2049</v>
      </c>
      <c r="I10" s="1661"/>
      <c r="J10" s="1213">
        <f>I10*75</f>
        <v>0</v>
      </c>
      <c r="K10" s="2670" t="s">
        <v>4373</v>
      </c>
      <c r="L10" s="1213"/>
      <c r="M10" s="2661">
        <f>L10*160</f>
        <v>0</v>
      </c>
      <c r="N10" s="3201"/>
      <c r="O10" s="2654"/>
    </row>
    <row r="11" spans="3:16" hidden="1" outlineLevel="1">
      <c r="C11" s="2777"/>
      <c r="E11" s="2662"/>
      <c r="F11" s="2651"/>
      <c r="G11" s="2668"/>
      <c r="H11" s="2669" t="s">
        <v>2050</v>
      </c>
      <c r="I11" s="1661"/>
      <c r="J11" s="1213">
        <f>I11*100</f>
        <v>0</v>
      </c>
      <c r="K11" s="2670" t="s">
        <v>4374</v>
      </c>
      <c r="L11" s="1213"/>
      <c r="M11" s="2661">
        <f>L11*250</f>
        <v>0</v>
      </c>
      <c r="N11" s="3201"/>
      <c r="O11" s="2654"/>
    </row>
    <row r="12" spans="3:16" hidden="1" outlineLevel="1">
      <c r="C12" s="2777"/>
      <c r="E12" s="2662"/>
      <c r="F12" s="2651"/>
      <c r="G12" s="2668"/>
      <c r="H12" s="2671"/>
      <c r="I12" s="1661"/>
      <c r="J12" s="2672"/>
      <c r="K12" s="2670" t="s">
        <v>4375</v>
      </c>
      <c r="L12" s="1213"/>
      <c r="M12" s="2661">
        <f>L12*320</f>
        <v>0</v>
      </c>
      <c r="N12" s="3201"/>
      <c r="O12" s="2654"/>
    </row>
    <row r="13" spans="3:16" hidden="1" outlineLevel="1">
      <c r="C13" s="2777"/>
      <c r="E13" s="2662"/>
      <c r="F13" s="2651"/>
      <c r="G13" s="2668"/>
      <c r="H13" s="2671"/>
      <c r="I13" s="1661"/>
      <c r="J13" s="2672"/>
      <c r="K13" s="2670" t="s">
        <v>4376</v>
      </c>
      <c r="L13" s="1213">
        <v>0</v>
      </c>
      <c r="M13" s="2661">
        <f>L13*400</f>
        <v>0</v>
      </c>
      <c r="N13" s="3201"/>
      <c r="O13" s="2654"/>
    </row>
    <row r="14" spans="3:16" hidden="1" outlineLevel="1">
      <c r="C14" s="2777"/>
      <c r="E14" s="2662"/>
      <c r="F14" s="2651"/>
      <c r="G14" s="2668"/>
      <c r="H14" s="2671"/>
      <c r="I14" s="1661"/>
      <c r="J14" s="2672"/>
      <c r="K14" s="2670" t="s">
        <v>4377</v>
      </c>
      <c r="L14" s="1213">
        <v>1</v>
      </c>
      <c r="M14" s="2661">
        <f>L14*560</f>
        <v>560</v>
      </c>
      <c r="N14" s="3201"/>
      <c r="O14" s="2654"/>
    </row>
    <row r="15" spans="3:16" hidden="1" outlineLevel="1">
      <c r="C15" s="2777"/>
      <c r="E15" s="2662"/>
      <c r="F15" s="2651"/>
      <c r="G15" s="2668"/>
      <c r="H15" s="2671"/>
      <c r="I15" s="1661"/>
      <c r="J15" s="2672"/>
      <c r="K15" s="2670" t="s">
        <v>4378</v>
      </c>
      <c r="L15" s="1213">
        <v>0</v>
      </c>
      <c r="M15" s="2661">
        <f>L15*630</f>
        <v>0</v>
      </c>
      <c r="N15" s="3201"/>
      <c r="O15" s="2654"/>
    </row>
    <row r="16" spans="3:16" hidden="1" outlineLevel="1">
      <c r="C16" s="2777"/>
      <c r="E16" s="2662"/>
      <c r="F16" s="2651"/>
      <c r="G16" s="2673"/>
      <c r="H16" s="2669"/>
      <c r="I16" s="1661"/>
      <c r="J16" s="2672"/>
      <c r="K16" s="2674">
        <v>1000</v>
      </c>
      <c r="L16" s="1213">
        <v>0</v>
      </c>
      <c r="M16" s="2661">
        <f>L16*1000</f>
        <v>0</v>
      </c>
      <c r="N16" s="3202"/>
      <c r="O16" s="2654"/>
    </row>
    <row r="17" spans="1:23" hidden="1" outlineLevel="1">
      <c r="C17" s="2777"/>
      <c r="E17" s="925">
        <f>chitiet!G5</f>
        <v>3</v>
      </c>
      <c r="F17" s="2651"/>
      <c r="G17" s="2675"/>
      <c r="H17" s="2669"/>
      <c r="I17" s="1661"/>
      <c r="J17" s="2676"/>
      <c r="K17" s="2677">
        <v>2000</v>
      </c>
      <c r="L17" s="1213">
        <v>0</v>
      </c>
      <c r="M17" s="2661">
        <f>L17*2000</f>
        <v>0</v>
      </c>
      <c r="N17" s="3200"/>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Đường dây trung thế &amp; TBA 3 pha 1000 kVA - 22/0,4kV Công ty Cổ phần Sunrise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3" t="s">
        <v>1704</v>
      </c>
      <c r="E22" s="3203" t="s">
        <v>2589</v>
      </c>
      <c r="F22" s="3203" t="s">
        <v>2590</v>
      </c>
      <c r="G22" s="3203" t="s">
        <v>2585</v>
      </c>
      <c r="H22" s="2862" t="s">
        <v>4220</v>
      </c>
      <c r="I22" s="2863"/>
      <c r="J22" s="2864"/>
      <c r="K22" s="2864"/>
      <c r="L22" s="3204" t="s">
        <v>2591</v>
      </c>
      <c r="M22" s="928"/>
    </row>
    <row r="23" spans="1:23" s="1009" customFormat="1" ht="27" customHeight="1">
      <c r="A23" s="1079"/>
      <c r="B23" s="1214"/>
      <c r="C23" s="2778"/>
      <c r="D23" s="3203"/>
      <c r="E23" s="3203"/>
      <c r="F23" s="3203"/>
      <c r="G23" s="3203"/>
      <c r="H23" s="2865" t="s">
        <v>4219</v>
      </c>
      <c r="I23" s="2865" t="s">
        <v>4216</v>
      </c>
      <c r="J23" s="2866" t="s">
        <v>4217</v>
      </c>
      <c r="K23" s="2866" t="s">
        <v>4218</v>
      </c>
      <c r="L23" s="3204"/>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VLOOKUP($B2453,DG!A:D,DG!$C$2,)&amp;": 10m noái leân voû caùc thieát bò"</f>
        <v>Cáp đồng trần M25mm2: 10m noái leân voû caùc thieát bò</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2"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2"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2"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2"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2"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2"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2"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2"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2"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2"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2"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2"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2"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2"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2"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2"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2"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2"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2"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2"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2"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2"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2"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2"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2"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2"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2"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2"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2"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2"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2"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2"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8" priority="17"/>
  </conditionalFormatting>
  <conditionalFormatting sqref="B1320:C1320">
    <cfRule type="duplicateValues" dxfId="167" priority="16"/>
  </conditionalFormatting>
  <conditionalFormatting sqref="B1321:C1321">
    <cfRule type="duplicateValues" dxfId="166" priority="15"/>
  </conditionalFormatting>
  <conditionalFormatting sqref="B1321:C1321">
    <cfRule type="duplicateValues" dxfId="165" priority="14"/>
  </conditionalFormatting>
  <conditionalFormatting sqref="B1367:C1367">
    <cfRule type="duplicateValues" dxfId="164" priority="13"/>
  </conditionalFormatting>
  <conditionalFormatting sqref="B1367:C1367">
    <cfRule type="duplicateValues" dxfId="163" priority="12"/>
  </conditionalFormatting>
  <conditionalFormatting sqref="B1401:C1401">
    <cfRule type="duplicateValues" dxfId="162" priority="11"/>
  </conditionalFormatting>
  <conditionalFormatting sqref="B1401:C1401">
    <cfRule type="duplicateValues" dxfId="161" priority="10"/>
  </conditionalFormatting>
  <conditionalFormatting sqref="B1364:C1364">
    <cfRule type="duplicateValues" dxfId="160" priority="9"/>
  </conditionalFormatting>
  <conditionalFormatting sqref="B1364:C1364">
    <cfRule type="duplicateValues" dxfId="159" priority="8"/>
  </conditionalFormatting>
  <conditionalFormatting sqref="B1365:C1365">
    <cfRule type="duplicateValues" dxfId="158" priority="7"/>
  </conditionalFormatting>
  <conditionalFormatting sqref="B1365:C1365">
    <cfRule type="duplicateValues" dxfId="157" priority="6"/>
  </conditionalFormatting>
  <conditionalFormatting sqref="B1363:C1363">
    <cfRule type="duplicateValues" dxfId="156" priority="5"/>
  </conditionalFormatting>
  <conditionalFormatting sqref="B1363:C1363">
    <cfRule type="duplicateValues" dxfId="155" priority="4"/>
  </conditionalFormatting>
  <conditionalFormatting sqref="B3057">
    <cfRule type="duplicateValues" dxfId="154"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abSelected="1" topLeftCell="B1" zoomScale="90" zoomScaleNormal="90" workbookViewId="0">
      <pane ySplit="10" topLeftCell="A2328" activePane="bottomLeft" state="frozen"/>
      <selection activeCell="D399" sqref="D399"/>
      <selection pane="bottomLeft" activeCell="E9" sqref="E9:S2434"/>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9" t="s">
        <v>4730</v>
      </c>
      <c r="F6" s="3209"/>
      <c r="G6" s="3209"/>
      <c r="H6" s="3209"/>
      <c r="I6" s="3209"/>
      <c r="J6" s="3209"/>
      <c r="K6" s="3209"/>
      <c r="L6" s="3209"/>
      <c r="M6" s="3209"/>
      <c r="N6" s="3209"/>
      <c r="O6" s="3209"/>
      <c r="P6" s="3209"/>
      <c r="Q6" s="3209"/>
      <c r="R6" s="3209"/>
      <c r="S6" s="3209"/>
    </row>
    <row r="7" spans="1:20" ht="21.75" customHeight="1">
      <c r="D7" s="1399"/>
      <c r="E7" s="3210" t="str">
        <f>CT_tram!D20</f>
        <v>Công trình: Đường dây trung thế &amp; TBA 3 pha 1000 kVA - 22/0,4kV Công ty Cổ phần Sunrise Solar</v>
      </c>
      <c r="F7" s="3210"/>
      <c r="G7" s="3210"/>
      <c r="H7" s="3210"/>
      <c r="I7" s="3210"/>
      <c r="J7" s="3210"/>
      <c r="K7" s="3210"/>
      <c r="L7" s="3210"/>
      <c r="M7" s="3210"/>
      <c r="N7" s="3210"/>
      <c r="O7" s="3210"/>
      <c r="P7" s="3210"/>
      <c r="Q7" s="3210"/>
      <c r="R7" s="3210"/>
      <c r="S7" s="3210"/>
    </row>
    <row r="8" spans="1:20" ht="18.75" customHeight="1">
      <c r="D8" s="1398"/>
      <c r="E8" s="3211" t="str">
        <f>CT_tram!D21</f>
        <v>Địa điểm: Xã Suối Cao - Huyện Xuân Lộc - Tỉnh Đồng Nai</v>
      </c>
      <c r="F8" s="3211"/>
      <c r="G8" s="3211"/>
      <c r="H8" s="3211"/>
      <c r="I8" s="3211"/>
      <c r="J8" s="3211"/>
      <c r="K8" s="3211"/>
      <c r="L8" s="3211"/>
      <c r="M8" s="3211"/>
      <c r="N8" s="3211"/>
      <c r="O8" s="3211"/>
      <c r="P8" s="3211"/>
      <c r="Q8" s="3211"/>
      <c r="R8" s="3211"/>
      <c r="S8" s="3211"/>
    </row>
    <row r="9" spans="1:20" ht="21" customHeight="1">
      <c r="B9" s="1442" t="s">
        <v>2278</v>
      </c>
      <c r="C9" s="967" t="s">
        <v>510</v>
      </c>
      <c r="D9" s="1400" t="s">
        <v>4221</v>
      </c>
      <c r="E9" s="3207" t="s">
        <v>1704</v>
      </c>
      <c r="F9" s="3207" t="s">
        <v>2275</v>
      </c>
      <c r="G9" s="3207" t="s">
        <v>2585</v>
      </c>
      <c r="H9" s="1736" t="s">
        <v>4220</v>
      </c>
      <c r="I9" s="1639"/>
      <c r="J9" s="1639"/>
      <c r="K9" s="1639"/>
      <c r="L9" s="1639"/>
      <c r="M9" s="1639"/>
      <c r="N9" s="1639"/>
      <c r="O9" s="1639"/>
      <c r="P9" s="889"/>
      <c r="Q9" s="2625"/>
      <c r="R9" s="890"/>
      <c r="S9" s="3205" t="s">
        <v>2591</v>
      </c>
    </row>
    <row r="10" spans="1:20" ht="23.25" customHeight="1">
      <c r="B10" s="1443"/>
      <c r="C10" s="967" t="s">
        <v>510</v>
      </c>
      <c r="D10" s="1401" t="s">
        <v>4222</v>
      </c>
      <c r="E10" s="3208"/>
      <c r="F10" s="3208"/>
      <c r="G10" s="3208"/>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6"/>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customHeight="1">
      <c r="A1779" s="1441">
        <f>COUNTIF($C$12:C1779,"x")</f>
        <v>73</v>
      </c>
      <c r="B1779" s="1444" t="s">
        <v>6480</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customHeight="1">
      <c r="A1781" s="1441">
        <f>COUNTIF($C$12:C1781,"x")</f>
        <v>75</v>
      </c>
      <c r="B1781" s="1448" t="s">
        <v>6489</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6455</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customHeight="1">
      <c r="A1863" s="1441">
        <f>COUNTIF($C$12:C1863,"x")</f>
        <v>93</v>
      </c>
      <c r="B1863" s="947" t="s">
        <v>7327</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customHeight="1">
      <c r="A1864" s="1441">
        <f>COUNTIF($C$12:C1864,"x")</f>
        <v>94</v>
      </c>
      <c r="B1864" s="947" t="s">
        <v>6443</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customHeight="1">
      <c r="A1874" s="1441">
        <f>COUNTIF($C$12:C1874,"x")</f>
        <v>104</v>
      </c>
      <c r="B1874" s="1453" t="s">
        <v>7328</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customHeight="1">
      <c r="A1875" s="1441">
        <f>COUNTIF($C$12:C1875,"x")</f>
        <v>105</v>
      </c>
      <c r="B1875" s="1453" t="s">
        <v>7329</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customHeight="1">
      <c r="A1876" s="1441">
        <f>COUNTIF($C$12:C1876,"x")</f>
        <v>106</v>
      </c>
      <c r="B1876" s="1453" t="s">
        <v>7330</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customHeight="1">
      <c r="A1877" s="1441">
        <f>COUNTIF($C$12:C1877,"x")</f>
        <v>107</v>
      </c>
      <c r="B1877" s="1453" t="s">
        <v>7331</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customHeight="1">
      <c r="A1887" s="1441">
        <f>COUNTIF($C$12:C1887,"x")</f>
        <v>117</v>
      </c>
      <c r="B1887" s="947" t="s">
        <v>6485</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6481</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6449</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6464</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6451</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6447</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6469</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6450</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6465</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6452</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6474</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6448</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customHeight="1">
      <c r="A2331" s="1441">
        <f>COUNTIF($C$12:C2331,"x")</f>
        <v>120</v>
      </c>
      <c r="B2331" s="1453" t="s">
        <v>7332</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6483</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6529</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3" priority="126" timePeriod="today">
      <formula>FLOOR(T1,1)=TODAY()</formula>
    </cfRule>
  </conditionalFormatting>
  <conditionalFormatting sqref="B2417 B77 B94 B176 B341 B378 B398 B433 B533 B553 B569">
    <cfRule type="duplicateValues" dxfId="152"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1" priority="121" operator="containsText" text="x">
      <formula>NOT(ISERROR(SEARCH("x",C1)))</formula>
    </cfRule>
  </conditionalFormatting>
  <conditionalFormatting sqref="C1841">
    <cfRule type="containsText" dxfId="150" priority="119" operator="containsText" text="x">
      <formula>NOT(ISERROR(SEARCH("x",C1841)))</formula>
    </cfRule>
  </conditionalFormatting>
  <conditionalFormatting sqref="C1933:C1934">
    <cfRule type="containsText" dxfId="149" priority="117" operator="containsText" text="x">
      <formula>NOT(ISERROR(SEARCH("x",C1933)))</formula>
    </cfRule>
  </conditionalFormatting>
  <conditionalFormatting sqref="C1107:C1113">
    <cfRule type="containsText" dxfId="148"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47" priority="114" operator="greaterThan">
      <formula>0</formula>
    </cfRule>
  </conditionalFormatting>
  <conditionalFormatting sqref="C2379">
    <cfRule type="containsText" dxfId="146" priority="112" operator="containsText" text="x">
      <formula>NOT(ISERROR(SEARCH("x",C2379)))</formula>
    </cfRule>
  </conditionalFormatting>
  <conditionalFormatting sqref="C2377">
    <cfRule type="containsText" dxfId="145" priority="109" operator="containsText" text="x">
      <formula>NOT(ISERROR(SEARCH("x",C2377)))</formula>
    </cfRule>
  </conditionalFormatting>
  <conditionalFormatting sqref="C2094">
    <cfRule type="containsText" dxfId="144" priority="104" operator="containsText" text="x">
      <formula>NOT(ISERROR(SEARCH("x",C2094)))</formula>
    </cfRule>
  </conditionalFormatting>
  <conditionalFormatting sqref="C1998:C1999">
    <cfRule type="containsText" dxfId="143" priority="101" operator="containsText" text="x">
      <formula>NOT(ISERROR(SEARCH("x",C1998)))</formula>
    </cfRule>
  </conditionalFormatting>
  <conditionalFormatting sqref="T898:T908">
    <cfRule type="timePeriod" dxfId="142" priority="99" timePeriod="today">
      <formula>FLOOR(T898,1)=TODAY()</formula>
    </cfRule>
  </conditionalFormatting>
  <conditionalFormatting sqref="C898:C908">
    <cfRule type="containsText" dxfId="141" priority="98" operator="containsText" text="x">
      <formula>NOT(ISERROR(SEARCH("x",C898)))</formula>
    </cfRule>
  </conditionalFormatting>
  <conditionalFormatting sqref="T898:T908">
    <cfRule type="cellIs" dxfId="140" priority="97" operator="greaterThan">
      <formula>0</formula>
    </cfRule>
  </conditionalFormatting>
  <conditionalFormatting sqref="T652:T662">
    <cfRule type="timePeriod" dxfId="139" priority="96" timePeriod="today">
      <formula>FLOOR(T652,1)=TODAY()</formula>
    </cfRule>
  </conditionalFormatting>
  <conditionalFormatting sqref="C652:C662">
    <cfRule type="containsText" dxfId="138" priority="95" operator="containsText" text="x">
      <formula>NOT(ISERROR(SEARCH("x",C652)))</formula>
    </cfRule>
  </conditionalFormatting>
  <conditionalFormatting sqref="T652:T662">
    <cfRule type="cellIs" dxfId="137" priority="94" operator="greaterThan">
      <formula>0</formula>
    </cfRule>
  </conditionalFormatting>
  <conditionalFormatting sqref="C1943">
    <cfRule type="containsText" dxfId="136" priority="89" operator="containsText" text="x">
      <formula>NOT(ISERROR(SEARCH("x",C1943)))</formula>
    </cfRule>
  </conditionalFormatting>
  <conditionalFormatting sqref="T360:T361">
    <cfRule type="timePeriod" dxfId="135" priority="87" timePeriod="today">
      <formula>FLOOR(T360,1)=TODAY()</formula>
    </cfRule>
  </conditionalFormatting>
  <conditionalFormatting sqref="C360:C361">
    <cfRule type="containsText" dxfId="134" priority="86" operator="containsText" text="x">
      <formula>NOT(ISERROR(SEARCH("x",C360)))</formula>
    </cfRule>
  </conditionalFormatting>
  <conditionalFormatting sqref="T360:T361">
    <cfRule type="cellIs" dxfId="133" priority="85" operator="greaterThan">
      <formula>0</formula>
    </cfRule>
  </conditionalFormatting>
  <conditionalFormatting sqref="T363">
    <cfRule type="timePeriod" dxfId="132" priority="84" timePeriod="today">
      <formula>FLOOR(T363,1)=TODAY()</formula>
    </cfRule>
  </conditionalFormatting>
  <conditionalFormatting sqref="C363">
    <cfRule type="containsText" dxfId="131" priority="83" operator="containsText" text="x">
      <formula>NOT(ISERROR(SEARCH("x",C363)))</formula>
    </cfRule>
  </conditionalFormatting>
  <conditionalFormatting sqref="T363">
    <cfRule type="cellIs" dxfId="130" priority="82" operator="greaterThan">
      <formula>0</formula>
    </cfRule>
  </conditionalFormatting>
  <conditionalFormatting sqref="T645">
    <cfRule type="timePeriod" dxfId="129" priority="81" timePeriod="today">
      <formula>FLOOR(T645,1)=TODAY()</formula>
    </cfRule>
  </conditionalFormatting>
  <conditionalFormatting sqref="C645">
    <cfRule type="containsText" dxfId="128" priority="80" operator="containsText" text="x">
      <formula>NOT(ISERROR(SEARCH("x",C645)))</formula>
    </cfRule>
  </conditionalFormatting>
  <conditionalFormatting sqref="T645">
    <cfRule type="cellIs" dxfId="127" priority="79" operator="greaterThan">
      <formula>0</formula>
    </cfRule>
  </conditionalFormatting>
  <conditionalFormatting sqref="T1118">
    <cfRule type="timePeriod" dxfId="126" priority="78" timePeriod="today">
      <formula>FLOOR(T1118,1)=TODAY()</formula>
    </cfRule>
  </conditionalFormatting>
  <conditionalFormatting sqref="C1118">
    <cfRule type="containsText" dxfId="125" priority="77" operator="containsText" text="x">
      <formula>NOT(ISERROR(SEARCH("x",C1118)))</formula>
    </cfRule>
  </conditionalFormatting>
  <conditionalFormatting sqref="T1118">
    <cfRule type="cellIs" dxfId="124" priority="76" operator="greaterThan">
      <formula>0</formula>
    </cfRule>
  </conditionalFormatting>
  <conditionalFormatting sqref="T1196">
    <cfRule type="timePeriod" dxfId="123" priority="75" timePeriod="today">
      <formula>FLOOR(T1196,1)=TODAY()</formula>
    </cfRule>
  </conditionalFormatting>
  <conditionalFormatting sqref="C1196">
    <cfRule type="containsText" dxfId="122" priority="74" operator="containsText" text="x">
      <formula>NOT(ISERROR(SEARCH("x",C1196)))</formula>
    </cfRule>
  </conditionalFormatting>
  <conditionalFormatting sqref="T1196">
    <cfRule type="cellIs" dxfId="121" priority="73" operator="greaterThan">
      <formula>0</formula>
    </cfRule>
  </conditionalFormatting>
  <conditionalFormatting sqref="T1182">
    <cfRule type="timePeriod" dxfId="120" priority="72" timePeriod="today">
      <formula>FLOOR(T1182,1)=TODAY()</formula>
    </cfRule>
  </conditionalFormatting>
  <conditionalFormatting sqref="C1182">
    <cfRule type="containsText" dxfId="119" priority="71" operator="containsText" text="x">
      <formula>NOT(ISERROR(SEARCH("x",C1182)))</formula>
    </cfRule>
  </conditionalFormatting>
  <conditionalFormatting sqref="T1182">
    <cfRule type="cellIs" dxfId="118" priority="70" operator="greaterThan">
      <formula>0</formula>
    </cfRule>
  </conditionalFormatting>
  <conditionalFormatting sqref="T632">
    <cfRule type="timePeriod" dxfId="117" priority="69" timePeriod="today">
      <formula>FLOOR(T632,1)=TODAY()</formula>
    </cfRule>
  </conditionalFormatting>
  <conditionalFormatting sqref="C632">
    <cfRule type="containsText" dxfId="116" priority="68" operator="containsText" text="x">
      <formula>NOT(ISERROR(SEARCH("x",C632)))</formula>
    </cfRule>
  </conditionalFormatting>
  <conditionalFormatting sqref="T632">
    <cfRule type="cellIs" dxfId="115" priority="67" operator="greaterThan">
      <formula>0</formula>
    </cfRule>
  </conditionalFormatting>
  <conditionalFormatting sqref="C1963">
    <cfRule type="containsText" dxfId="114" priority="65" operator="containsText" text="x">
      <formula>NOT(ISERROR(SEARCH("x",C1963)))</formula>
    </cfRule>
  </conditionalFormatting>
  <conditionalFormatting sqref="C1964">
    <cfRule type="containsText" dxfId="113" priority="62" operator="containsText" text="x">
      <formula>NOT(ISERROR(SEARCH("x",C1964)))</formula>
    </cfRule>
  </conditionalFormatting>
  <conditionalFormatting sqref="T2337">
    <cfRule type="timePeriod" dxfId="112" priority="60" timePeriod="today">
      <formula>FLOOR(T2337,1)=TODAY()</formula>
    </cfRule>
  </conditionalFormatting>
  <conditionalFormatting sqref="C2337">
    <cfRule type="containsText" dxfId="111" priority="59" operator="containsText" text="x">
      <formula>NOT(ISERROR(SEARCH("x",C2337)))</formula>
    </cfRule>
  </conditionalFormatting>
  <conditionalFormatting sqref="T2337">
    <cfRule type="cellIs" dxfId="110" priority="58" operator="greaterThan">
      <formula>0</formula>
    </cfRule>
  </conditionalFormatting>
  <conditionalFormatting sqref="C1956">
    <cfRule type="containsText" dxfId="109" priority="56" operator="containsText" text="x">
      <formula>NOT(ISERROR(SEARCH("x",C1956)))</formula>
    </cfRule>
  </conditionalFormatting>
  <conditionalFormatting sqref="T448:T464">
    <cfRule type="timePeriod" dxfId="108" priority="54" timePeriod="today">
      <formula>FLOOR(T448,1)=TODAY()</formula>
    </cfRule>
  </conditionalFormatting>
  <conditionalFormatting sqref="B450">
    <cfRule type="duplicateValues" dxfId="107" priority="53"/>
  </conditionalFormatting>
  <conditionalFormatting sqref="C448:C464">
    <cfRule type="containsText" dxfId="106" priority="52" operator="containsText" text="x">
      <formula>NOT(ISERROR(SEARCH("x",C448)))</formula>
    </cfRule>
  </conditionalFormatting>
  <conditionalFormatting sqref="T448:T464">
    <cfRule type="cellIs" dxfId="105" priority="51" operator="greaterThan">
      <formula>0</formula>
    </cfRule>
  </conditionalFormatting>
  <conditionalFormatting sqref="T666">
    <cfRule type="timePeriod" dxfId="104" priority="50" timePeriod="today">
      <formula>FLOOR(T666,1)=TODAY()</formula>
    </cfRule>
  </conditionalFormatting>
  <conditionalFormatting sqref="C666">
    <cfRule type="containsText" dxfId="103" priority="49" operator="containsText" text="x">
      <formula>NOT(ISERROR(SEARCH("x",C666)))</formula>
    </cfRule>
  </conditionalFormatting>
  <conditionalFormatting sqref="T666">
    <cfRule type="cellIs" dxfId="102" priority="48" operator="greaterThan">
      <formula>0</formula>
    </cfRule>
  </conditionalFormatting>
  <conditionalFormatting sqref="T667">
    <cfRule type="timePeriod" dxfId="101" priority="47" timePeriod="today">
      <formula>FLOOR(T667,1)=TODAY()</formula>
    </cfRule>
  </conditionalFormatting>
  <conditionalFormatting sqref="C667">
    <cfRule type="containsText" dxfId="100" priority="46" operator="containsText" text="x">
      <formula>NOT(ISERROR(SEARCH("x",C667)))</formula>
    </cfRule>
  </conditionalFormatting>
  <conditionalFormatting sqref="T667">
    <cfRule type="cellIs" dxfId="99" priority="45" operator="greaterThan">
      <formula>0</formula>
    </cfRule>
  </conditionalFormatting>
  <conditionalFormatting sqref="C1779">
    <cfRule type="containsText" dxfId="98" priority="43" operator="containsText" text="x">
      <formula>NOT(ISERROR(SEARCH("x",C1779)))</formula>
    </cfRule>
  </conditionalFormatting>
  <conditionalFormatting sqref="C1780">
    <cfRule type="containsText" dxfId="97" priority="40" operator="containsText" text="x">
      <formula>NOT(ISERROR(SEARCH("x",C1780)))</formula>
    </cfRule>
  </conditionalFormatting>
  <conditionalFormatting sqref="T1845:T1851">
    <cfRule type="timePeriod" dxfId="96" priority="38" timePeriod="today">
      <formula>FLOOR(T1845,1)=TODAY()</formula>
    </cfRule>
  </conditionalFormatting>
  <conditionalFormatting sqref="C1849:C1851 C1845:C1847">
    <cfRule type="containsText" dxfId="95" priority="37" operator="containsText" text="x">
      <formula>NOT(ISERROR(SEARCH("x",C1845)))</formula>
    </cfRule>
  </conditionalFormatting>
  <conditionalFormatting sqref="C1848">
    <cfRule type="containsText" dxfId="94" priority="36" operator="containsText" text="x">
      <formula>NOT(ISERROR(SEARCH("x",C1848)))</formula>
    </cfRule>
  </conditionalFormatting>
  <conditionalFormatting sqref="T1845:T1851">
    <cfRule type="cellIs" dxfId="93" priority="35" operator="greaterThan">
      <formula>0</formula>
    </cfRule>
  </conditionalFormatting>
  <conditionalFormatting sqref="B1812">
    <cfRule type="duplicateValues" dxfId="92" priority="34"/>
  </conditionalFormatting>
  <conditionalFormatting sqref="T1902">
    <cfRule type="timePeriod" dxfId="91" priority="33" timePeriod="today">
      <formula>FLOOR(T1902,1)=TODAY()</formula>
    </cfRule>
  </conditionalFormatting>
  <conditionalFormatting sqref="C1902">
    <cfRule type="containsText" dxfId="90" priority="32" operator="containsText" text="x">
      <formula>NOT(ISERROR(SEARCH("x",C1902)))</formula>
    </cfRule>
  </conditionalFormatting>
  <conditionalFormatting sqref="T1902">
    <cfRule type="cellIs" dxfId="89" priority="31" operator="greaterThan">
      <formula>0</formula>
    </cfRule>
  </conditionalFormatting>
  <conditionalFormatting sqref="T1873:T1885">
    <cfRule type="timePeriod" dxfId="88" priority="30" timePeriod="today">
      <formula>FLOOR(T1873,1)=TODAY()</formula>
    </cfRule>
  </conditionalFormatting>
  <conditionalFormatting sqref="C1873:C1885">
    <cfRule type="containsText" dxfId="87" priority="29" operator="containsText" text="x">
      <formula>NOT(ISERROR(SEARCH("x",C1873)))</formula>
    </cfRule>
  </conditionalFormatting>
  <conditionalFormatting sqref="T1873:T1885">
    <cfRule type="cellIs" dxfId="86" priority="28" operator="greaterThan">
      <formula>0</formula>
    </cfRule>
  </conditionalFormatting>
  <conditionalFormatting sqref="T1965">
    <cfRule type="timePeriod" dxfId="85" priority="27" timePeriod="today">
      <formula>FLOOR(T1965,1)=TODAY()</formula>
    </cfRule>
  </conditionalFormatting>
  <conditionalFormatting sqref="C1965">
    <cfRule type="containsText" dxfId="84" priority="26" operator="containsText" text="x">
      <formula>NOT(ISERROR(SEARCH("x",C1965)))</formula>
    </cfRule>
  </conditionalFormatting>
  <conditionalFormatting sqref="T1965">
    <cfRule type="cellIs" dxfId="83" priority="25" operator="greaterThan">
      <formula>0</formula>
    </cfRule>
  </conditionalFormatting>
  <conditionalFormatting sqref="T1886:T1901">
    <cfRule type="timePeriod" dxfId="82" priority="24" timePeriod="today">
      <formula>FLOOR(T1886,1)=TODAY()</formula>
    </cfRule>
  </conditionalFormatting>
  <conditionalFormatting sqref="C1886:C1901">
    <cfRule type="containsText" dxfId="81" priority="23" operator="containsText" text="x">
      <formula>NOT(ISERROR(SEARCH("x",C1886)))</formula>
    </cfRule>
  </conditionalFormatting>
  <conditionalFormatting sqref="T1886:T1901">
    <cfRule type="cellIs" dxfId="80" priority="22" operator="greaterThan">
      <formula>0</formula>
    </cfRule>
  </conditionalFormatting>
  <conditionalFormatting sqref="B1884:B1888 B1891">
    <cfRule type="duplicateValues" dxfId="79" priority="21"/>
  </conditionalFormatting>
  <conditionalFormatting sqref="B1889">
    <cfRule type="duplicateValues" dxfId="78" priority="20"/>
  </conditionalFormatting>
  <conditionalFormatting sqref="B1890">
    <cfRule type="duplicateValues" dxfId="77" priority="19"/>
  </conditionalFormatting>
  <conditionalFormatting sqref="B1986:B1996">
    <cfRule type="duplicateValues" dxfId="76" priority="18"/>
  </conditionalFormatting>
  <conditionalFormatting sqref="T1778">
    <cfRule type="timePeriod" dxfId="75" priority="17" timePeriod="today">
      <formula>FLOOR(T1778,1)=TODAY()</formula>
    </cfRule>
  </conditionalFormatting>
  <conditionalFormatting sqref="T1778">
    <cfRule type="cellIs" dxfId="74" priority="16" operator="greaterThan">
      <formula>0</formula>
    </cfRule>
  </conditionalFormatting>
  <conditionalFormatting sqref="C1778">
    <cfRule type="containsText" dxfId="73" priority="15" operator="containsText" text="x">
      <formula>NOT(ISERROR(SEARCH("x",C1778)))</formula>
    </cfRule>
  </conditionalFormatting>
  <conditionalFormatting sqref="T1781">
    <cfRule type="timePeriod" dxfId="72" priority="14" timePeriod="today">
      <formula>FLOOR(T1781,1)=TODAY()</formula>
    </cfRule>
  </conditionalFormatting>
  <conditionalFormatting sqref="C1781">
    <cfRule type="containsText" dxfId="71" priority="13" operator="containsText" text="x">
      <formula>NOT(ISERROR(SEARCH("x",C1781)))</formula>
    </cfRule>
  </conditionalFormatting>
  <conditionalFormatting sqref="T1781">
    <cfRule type="cellIs" dxfId="70" priority="12" operator="greaterThan">
      <formula>0</formula>
    </cfRule>
  </conditionalFormatting>
  <conditionalFormatting sqref="B1867">
    <cfRule type="duplicateValues" dxfId="69" priority="6"/>
  </conditionalFormatting>
  <conditionalFormatting sqref="B1870">
    <cfRule type="duplicateValues" dxfId="68" priority="5"/>
  </conditionalFormatting>
  <conditionalFormatting sqref="B1868">
    <cfRule type="duplicateValues" dxfId="67" priority="4"/>
  </conditionalFormatting>
  <conditionalFormatting sqref="B1872 B1864:B1866">
    <cfRule type="duplicateValues" dxfId="66" priority="7"/>
  </conditionalFormatting>
  <conditionalFormatting sqref="B1871">
    <cfRule type="duplicateValues" dxfId="65" priority="3"/>
  </conditionalFormatting>
  <conditionalFormatting sqref="B1869">
    <cfRule type="duplicateValues" dxfId="64" priority="2"/>
  </conditionalFormatting>
  <conditionalFormatting sqref="B1863">
    <cfRule type="duplicateValues" dxfId="63"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8" t="s">
        <v>4144</v>
      </c>
      <c r="B1" s="3218"/>
      <c r="C1" s="3218"/>
      <c r="D1" s="3218"/>
      <c r="E1" s="3218"/>
      <c r="F1" s="3218"/>
      <c r="G1" s="3218"/>
      <c r="H1" s="3218"/>
      <c r="I1" s="3218"/>
      <c r="J1" s="3218"/>
      <c r="K1" s="3218"/>
      <c r="L1" s="3218"/>
      <c r="M1" s="3218"/>
      <c r="N1" s="3218"/>
      <c r="O1" s="3218"/>
      <c r="P1" s="3218"/>
      <c r="R1" s="810"/>
    </row>
    <row r="2" spans="1:24" ht="35.25" customHeight="1">
      <c r="A2" s="3217" t="str">
        <f>"Tên công trình: "&amp;Solieu!C6</f>
        <v xml:space="preserve">Tên công trình: </v>
      </c>
      <c r="B2" s="3217"/>
      <c r="C2" s="3217"/>
      <c r="D2" s="3217"/>
      <c r="E2" s="3217"/>
      <c r="F2" s="3217"/>
      <c r="G2" s="3217"/>
      <c r="H2" s="3217"/>
      <c r="I2" s="3217"/>
      <c r="J2" s="3217"/>
      <c r="K2" s="3212" t="str">
        <f>"Đơn vị thi công: "&amp;Solieu!C10</f>
        <v>Đơn vị thi công: x</v>
      </c>
      <c r="L2" s="3212"/>
      <c r="M2" s="3212"/>
      <c r="N2" s="3212"/>
      <c r="O2" s="3212"/>
      <c r="P2" s="3212"/>
    </row>
    <row r="3" spans="1:24" ht="26.25" customHeight="1" thickBot="1">
      <c r="A3" s="3217" t="s">
        <v>4145</v>
      </c>
      <c r="B3" s="3217"/>
      <c r="C3" s="3217"/>
      <c r="D3" s="3217"/>
      <c r="E3" s="3217"/>
      <c r="F3" s="3217"/>
      <c r="G3" s="3217"/>
      <c r="H3" s="3217"/>
      <c r="I3" s="3217"/>
      <c r="J3" s="3217"/>
      <c r="K3" s="3219" t="s">
        <v>4146</v>
      </c>
      <c r="L3" s="3220"/>
      <c r="M3" s="3220"/>
      <c r="N3" s="3220"/>
      <c r="O3" s="3220"/>
      <c r="P3" s="3221"/>
    </row>
    <row r="4" spans="1:24" ht="26.25" customHeight="1" thickTop="1">
      <c r="A4" s="3217" t="s">
        <v>4147</v>
      </c>
      <c r="B4" s="3217"/>
      <c r="C4" s="3217"/>
      <c r="D4" s="3217"/>
      <c r="E4" s="3217"/>
      <c r="F4" s="3217"/>
      <c r="G4" s="3217"/>
      <c r="H4" s="3217"/>
      <c r="I4" s="3217"/>
      <c r="J4" s="3217"/>
      <c r="K4" s="3217"/>
      <c r="L4" s="3217"/>
      <c r="M4" s="3217"/>
      <c r="N4" s="3217"/>
      <c r="O4" s="3217"/>
      <c r="P4" s="3217"/>
      <c r="R4" s="898"/>
      <c r="S4" s="730"/>
      <c r="T4" s="731"/>
      <c r="U4" s="908"/>
      <c r="V4" s="897"/>
      <c r="W4" s="909"/>
      <c r="X4" s="910"/>
    </row>
    <row r="5" spans="1:24" ht="28.5" customHeight="1">
      <c r="A5" s="3212" t="s">
        <v>4148</v>
      </c>
      <c r="B5" s="3212" t="s">
        <v>4149</v>
      </c>
      <c r="C5" s="3212"/>
      <c r="D5" s="3212" t="s">
        <v>4150</v>
      </c>
      <c r="E5" s="853" t="s">
        <v>4151</v>
      </c>
      <c r="F5" s="853"/>
      <c r="G5" s="853"/>
      <c r="H5" s="853"/>
      <c r="I5" s="853"/>
      <c r="J5" s="853"/>
      <c r="K5" s="853"/>
      <c r="L5" s="853"/>
      <c r="M5" s="853"/>
      <c r="N5" s="3213" t="s">
        <v>4152</v>
      </c>
      <c r="O5" s="3212" t="s">
        <v>4153</v>
      </c>
      <c r="P5" s="3212"/>
      <c r="R5" s="898"/>
      <c r="S5" s="730"/>
      <c r="T5" s="731"/>
      <c r="U5" s="911"/>
      <c r="V5" s="896"/>
      <c r="W5" s="895"/>
      <c r="X5" s="896"/>
    </row>
    <row r="6" spans="1:24" ht="28.5" customHeight="1">
      <c r="A6" s="3212"/>
      <c r="B6" s="3212" t="s">
        <v>4154</v>
      </c>
      <c r="C6" s="3212" t="s">
        <v>4155</v>
      </c>
      <c r="D6" s="3212"/>
      <c r="E6" s="3212" t="s">
        <v>4156</v>
      </c>
      <c r="F6" s="3212" t="s">
        <v>4157</v>
      </c>
      <c r="G6" s="3212" t="s">
        <v>4158</v>
      </c>
      <c r="H6" s="3212" t="s">
        <v>4159</v>
      </c>
      <c r="I6" s="3212"/>
      <c r="J6" s="3212" t="s">
        <v>4160</v>
      </c>
      <c r="K6" s="3212"/>
      <c r="L6" s="3212"/>
      <c r="M6" s="3212"/>
      <c r="N6" s="3214"/>
      <c r="O6" s="3212" t="s">
        <v>4161</v>
      </c>
      <c r="P6" s="3212" t="s">
        <v>4162</v>
      </c>
      <c r="R6" s="898"/>
      <c r="S6" s="730"/>
      <c r="T6" s="731"/>
      <c r="U6" s="907"/>
      <c r="V6" s="907"/>
      <c r="W6" s="907"/>
      <c r="X6" s="907"/>
    </row>
    <row r="7" spans="1:24" ht="48" customHeight="1">
      <c r="A7" s="3212"/>
      <c r="B7" s="3212"/>
      <c r="C7" s="3212"/>
      <c r="D7" s="3212"/>
      <c r="E7" s="3212"/>
      <c r="F7" s="3212"/>
      <c r="G7" s="3212"/>
      <c r="H7" s="818" t="s">
        <v>4163</v>
      </c>
      <c r="I7" s="818" t="s">
        <v>4164</v>
      </c>
      <c r="J7" s="818" t="s">
        <v>4165</v>
      </c>
      <c r="K7" s="818" t="s">
        <v>4166</v>
      </c>
      <c r="L7" s="818" t="s">
        <v>4163</v>
      </c>
      <c r="M7" s="818" t="s">
        <v>4167</v>
      </c>
      <c r="N7" s="3215"/>
      <c r="O7" s="3212"/>
      <c r="P7" s="3212"/>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6" t="str">
        <f>"- Tổng chiều dài tuyến: "&amp;ROUND(SUM(D8:D50),1)&amp;" m"</f>
        <v>- Tổng chiều dài tuyến: 725 m</v>
      </c>
      <c r="D52" s="3217"/>
      <c r="E52" s="3217"/>
      <c r="F52" s="3217"/>
      <c r="G52" s="3217"/>
      <c r="H52" s="3217"/>
      <c r="I52" s="3217"/>
      <c r="J52" s="3217"/>
      <c r="K52" s="3217"/>
      <c r="L52" s="3217"/>
      <c r="M52" s="3217"/>
      <c r="N52" s="3217"/>
      <c r="O52" s="3217"/>
      <c r="P52" s="3217"/>
    </row>
    <row r="53" spans="1:17" ht="21.75" customHeight="1">
      <c r="A53" s="922" t="s">
        <v>4168</v>
      </c>
      <c r="B53" s="916"/>
      <c r="C53" s="3216" t="str">
        <f>"- Tổng số lượng trụ "&amp;$E$8&amp;"m: "&amp;COUNTIF(E8:E51,$E$8)&amp;" trụ."</f>
        <v>- Tổng số lượng trụ 7,5m: 19 trụ.</v>
      </c>
      <c r="D53" s="3217"/>
      <c r="E53" s="3217"/>
      <c r="F53" s="3217"/>
      <c r="G53" s="3217"/>
      <c r="H53" s="3217"/>
      <c r="I53" s="3217"/>
      <c r="J53" s="3217"/>
      <c r="K53" s="3217"/>
      <c r="L53" s="3217"/>
      <c r="M53" s="3217"/>
      <c r="N53" s="3217"/>
      <c r="O53" s="3217"/>
      <c r="P53" s="3217"/>
    </row>
    <row r="54" spans="1:17" ht="21.75" customHeight="1">
      <c r="A54" s="917"/>
      <c r="B54" s="918"/>
      <c r="C54" s="3216" t="str">
        <f>"- Tổng số lượng móng M7BT đôi: "&amp;TEXT(COUNTIF(G6:G51,"M7BT ĐÔI"),"00")&amp;" móng."</f>
        <v>- Tổng số lượng móng M7BT đôi: 00 móng.</v>
      </c>
      <c r="D54" s="3217"/>
      <c r="E54" s="3217"/>
      <c r="F54" s="3217"/>
      <c r="G54" s="3217"/>
      <c r="H54" s="3217"/>
      <c r="I54" s="3217"/>
      <c r="J54" s="3217"/>
      <c r="K54" s="3217"/>
      <c r="L54" s="3217"/>
      <c r="M54" s="3217"/>
      <c r="N54" s="3217"/>
      <c r="O54" s="3217"/>
      <c r="P54" s="3217"/>
    </row>
    <row r="55" spans="1:17" ht="21.75" hidden="1" customHeight="1">
      <c r="A55" s="917"/>
      <c r="B55" s="918"/>
      <c r="C55" s="3216" t="str">
        <f>"- Tổng số lượng móng M12BT đơn: "&amp;TEXT(COUNTIF(G6:G13,"M12BT ĐƠN"),"00")&amp;" móng."</f>
        <v>- Tổng số lượng móng M12BT đơn: 00 móng.</v>
      </c>
      <c r="D55" s="3217"/>
      <c r="E55" s="3217"/>
      <c r="F55" s="3217"/>
      <c r="G55" s="3217"/>
      <c r="H55" s="3217"/>
      <c r="I55" s="3217"/>
      <c r="J55" s="3217"/>
      <c r="K55" s="3217"/>
      <c r="L55" s="3217"/>
      <c r="M55" s="3217"/>
      <c r="N55" s="3217"/>
      <c r="O55" s="3217"/>
      <c r="P55" s="3217"/>
      <c r="Q55" s="808">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8" t="s">
        <v>4169</v>
      </c>
      <c r="B1" s="3218"/>
      <c r="C1" s="3218"/>
      <c r="D1" s="3218"/>
      <c r="E1" s="3218"/>
      <c r="F1" s="3218"/>
      <c r="G1" s="3218"/>
      <c r="H1" s="3218"/>
      <c r="I1" s="3218"/>
      <c r="J1" s="3218"/>
      <c r="K1" s="3218"/>
      <c r="L1" s="3218"/>
      <c r="M1" s="3218"/>
      <c r="N1" s="3218"/>
      <c r="O1" s="3218"/>
      <c r="P1" s="3218"/>
      <c r="R1" s="810" t="s">
        <v>4076</v>
      </c>
    </row>
    <row r="2" spans="1:20" ht="33.75" customHeight="1">
      <c r="A2" s="3222" t="e">
        <f>"Tên công trình: "&amp;Solieu!#REF!</f>
        <v>#REF!</v>
      </c>
      <c r="B2" s="3223"/>
      <c r="C2" s="3223"/>
      <c r="D2" s="3223"/>
      <c r="E2" s="3223"/>
      <c r="F2" s="3223"/>
      <c r="G2" s="3223"/>
      <c r="H2" s="3223"/>
      <c r="I2" s="3223"/>
      <c r="J2" s="3224"/>
      <c r="K2" s="3212" t="str">
        <f>"Đơn vị thi công: "&amp;Solieu!C10</f>
        <v>Đơn vị thi công: x</v>
      </c>
      <c r="L2" s="3212"/>
      <c r="M2" s="3212"/>
      <c r="N2" s="3212"/>
      <c r="O2" s="3212"/>
      <c r="P2" s="3212"/>
    </row>
    <row r="3" spans="1:20" ht="25.5" customHeight="1">
      <c r="A3" s="3217" t="s">
        <v>4170</v>
      </c>
      <c r="B3" s="3217"/>
      <c r="C3" s="3217"/>
      <c r="D3" s="3217"/>
      <c r="E3" s="3217"/>
      <c r="F3" s="3217"/>
      <c r="G3" s="3217"/>
      <c r="H3" s="3217"/>
      <c r="I3" s="3217"/>
      <c r="J3" s="3217"/>
      <c r="K3" s="3219" t="s">
        <v>4146</v>
      </c>
      <c r="L3" s="3220"/>
      <c r="M3" s="3220"/>
      <c r="N3" s="3220"/>
      <c r="O3" s="3220"/>
      <c r="P3" s="3221"/>
    </row>
    <row r="4" spans="1:20" ht="25.5" customHeight="1">
      <c r="A4" s="3217" t="s">
        <v>4147</v>
      </c>
      <c r="B4" s="3217"/>
      <c r="C4" s="3217"/>
      <c r="D4" s="3217"/>
      <c r="E4" s="3217"/>
      <c r="F4" s="3217"/>
      <c r="G4" s="3217"/>
      <c r="H4" s="3217"/>
      <c r="I4" s="3217"/>
      <c r="J4" s="3217"/>
      <c r="K4" s="3217"/>
      <c r="L4" s="3217"/>
      <c r="M4" s="3217"/>
      <c r="N4" s="3217"/>
      <c r="O4" s="3217"/>
      <c r="P4" s="3217"/>
    </row>
    <row r="5" spans="1:20">
      <c r="A5" s="3212" t="s">
        <v>4148</v>
      </c>
      <c r="B5" s="3212" t="s">
        <v>4171</v>
      </c>
      <c r="C5" s="3212"/>
      <c r="D5" s="3212" t="s">
        <v>3760</v>
      </c>
      <c r="E5" s="3212" t="s">
        <v>4172</v>
      </c>
      <c r="F5" s="3212" t="s">
        <v>4173</v>
      </c>
      <c r="G5" s="3212"/>
      <c r="H5" s="3212" t="s">
        <v>4174</v>
      </c>
      <c r="I5" s="3212"/>
      <c r="J5" s="3212"/>
      <c r="K5" s="3212"/>
      <c r="L5" s="3212" t="s">
        <v>4175</v>
      </c>
      <c r="M5" s="3212"/>
      <c r="N5" s="3212" t="s">
        <v>4152</v>
      </c>
      <c r="O5" s="3212" t="s">
        <v>4153</v>
      </c>
      <c r="P5" s="3212"/>
    </row>
    <row r="6" spans="1:20">
      <c r="A6" s="3212"/>
      <c r="B6" s="3212"/>
      <c r="C6" s="3212"/>
      <c r="D6" s="3212"/>
      <c r="E6" s="3212"/>
      <c r="F6" s="3212"/>
      <c r="G6" s="3212"/>
      <c r="H6" s="3212"/>
      <c r="I6" s="3212"/>
      <c r="J6" s="3212"/>
      <c r="K6" s="3212"/>
      <c r="L6" s="3212"/>
      <c r="M6" s="3212"/>
      <c r="N6" s="3212"/>
      <c r="O6" s="3212"/>
      <c r="P6" s="3212"/>
    </row>
    <row r="7" spans="1:20">
      <c r="A7" s="3212"/>
      <c r="B7" s="3212"/>
      <c r="C7" s="3212"/>
      <c r="D7" s="3212"/>
      <c r="E7" s="3212"/>
      <c r="F7" s="3212"/>
      <c r="G7" s="3212"/>
      <c r="H7" s="3212"/>
      <c r="I7" s="3212"/>
      <c r="J7" s="3212"/>
      <c r="K7" s="3212"/>
      <c r="L7" s="3212"/>
      <c r="M7" s="3212"/>
      <c r="N7" s="3212"/>
      <c r="O7" s="3212"/>
      <c r="P7" s="3212"/>
    </row>
    <row r="8" spans="1:20" ht="69.75" customHeight="1">
      <c r="A8" s="3212"/>
      <c r="B8" s="818" t="s">
        <v>4154</v>
      </c>
      <c r="C8" s="818" t="s">
        <v>4176</v>
      </c>
      <c r="D8" s="3212"/>
      <c r="E8" s="3212"/>
      <c r="F8" s="818" t="s">
        <v>4177</v>
      </c>
      <c r="G8" s="818" t="s">
        <v>4178</v>
      </c>
      <c r="H8" s="818" t="s">
        <v>4179</v>
      </c>
      <c r="I8" s="818" t="s">
        <v>4167</v>
      </c>
      <c r="J8" s="818" t="s">
        <v>4180</v>
      </c>
      <c r="K8" s="862" t="s">
        <v>4167</v>
      </c>
      <c r="L8" s="818" t="s">
        <v>4181</v>
      </c>
      <c r="M8" s="818" t="s">
        <v>4167</v>
      </c>
      <c r="N8" s="3212"/>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7" t="str">
        <f>"Tổng cộng: "&amp;TEXT((17-COUNTBLANK(B9:B25)),"00")&amp;" bộ."</f>
        <v>Tổng cộng: 09 bộ.</v>
      </c>
      <c r="B26" s="3217"/>
      <c r="C26" s="3217"/>
      <c r="D26" s="868"/>
      <c r="E26" s="868"/>
      <c r="F26" s="868"/>
      <c r="G26" s="868"/>
      <c r="H26" s="868"/>
      <c r="I26" s="868"/>
      <c r="J26" s="868"/>
      <c r="K26" s="869"/>
      <c r="L26" s="868"/>
      <c r="M26" s="868"/>
      <c r="N26" s="868"/>
      <c r="O26" s="868"/>
      <c r="P26" s="868"/>
    </row>
    <row r="27" spans="1:18" ht="28.5" customHeight="1">
      <c r="A27" s="3217" t="s">
        <v>4182</v>
      </c>
      <c r="B27" s="3217"/>
      <c r="C27" s="3217"/>
      <c r="D27" s="3217" t="str">
        <f>"NXL:  "&amp;TEXT(COUNTIF(R:R,"CL"),"00")&amp;" bộ."</f>
        <v>NXL:  00 bộ.</v>
      </c>
      <c r="E27" s="3217"/>
      <c r="F27" s="3217"/>
      <c r="G27" s="3217"/>
      <c r="H27" s="3217"/>
      <c r="I27" s="3217"/>
      <c r="J27" s="3217"/>
      <c r="K27" s="3217"/>
      <c r="L27" s="3217"/>
      <c r="M27" s="3217"/>
      <c r="N27" s="3217"/>
      <c r="O27" s="3217"/>
      <c r="P27" s="3217"/>
    </row>
    <row r="28" spans="1:18" ht="28.5" customHeight="1">
      <c r="A28" s="3217"/>
      <c r="B28" s="3217"/>
      <c r="C28" s="3217"/>
      <c r="D28" s="3217" t="str">
        <f>"NXX:  "&amp;TEXT(COUNTIF(R:R,"CX"),"00")&amp;" bộ."</f>
        <v>NXX:  09 bộ.</v>
      </c>
      <c r="E28" s="3217"/>
      <c r="F28" s="3217"/>
      <c r="G28" s="3217"/>
      <c r="H28" s="3217"/>
      <c r="I28" s="3217"/>
      <c r="J28" s="3217"/>
      <c r="K28" s="3217"/>
      <c r="L28" s="3217"/>
      <c r="M28" s="3217"/>
      <c r="N28" s="3217"/>
      <c r="O28" s="3217"/>
      <c r="P28" s="3217"/>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5" t="s">
        <v>4183</v>
      </c>
      <c r="B1" s="3225"/>
      <c r="C1" s="3225"/>
      <c r="D1" s="3225"/>
      <c r="E1" s="3225"/>
      <c r="F1" s="3225"/>
      <c r="G1" s="3225"/>
      <c r="H1" s="3225"/>
      <c r="I1" s="3225"/>
      <c r="J1" s="3225"/>
      <c r="K1" s="3225"/>
      <c r="L1" s="3225"/>
      <c r="M1" s="3225"/>
      <c r="N1" s="3225"/>
      <c r="O1" s="3225"/>
      <c r="P1" s="3225"/>
      <c r="Q1" s="3225"/>
      <c r="R1" s="3225"/>
      <c r="S1" s="3225"/>
      <c r="T1" s="3225"/>
      <c r="V1" s="810" t="s">
        <v>4076</v>
      </c>
    </row>
    <row r="2" spans="1:30" ht="33" customHeight="1">
      <c r="A2" s="3222" t="e">
        <f>"Tên công trình: "&amp;Solieu!#REF!</f>
        <v>#REF!</v>
      </c>
      <c r="B2" s="3223"/>
      <c r="C2" s="3223"/>
      <c r="D2" s="3223"/>
      <c r="E2" s="3223"/>
      <c r="F2" s="3223"/>
      <c r="G2" s="3223"/>
      <c r="H2" s="3223"/>
      <c r="I2" s="3223"/>
      <c r="J2" s="3223"/>
      <c r="K2" s="3223"/>
      <c r="L2" s="3223"/>
      <c r="M2" s="3223"/>
      <c r="N2" s="3224"/>
      <c r="O2" s="3226" t="str">
        <f>"Đơn vị thi công: "&amp;Solieu!C10</f>
        <v>Đơn vị thi công: x</v>
      </c>
      <c r="P2" s="3227"/>
      <c r="Q2" s="3227"/>
      <c r="R2" s="3227"/>
      <c r="S2" s="3227"/>
      <c r="T2" s="3228"/>
    </row>
    <row r="3" spans="1:30" ht="31.5" customHeight="1">
      <c r="A3" s="3222" t="s">
        <v>4184</v>
      </c>
      <c r="B3" s="3223"/>
      <c r="C3" s="3223"/>
      <c r="D3" s="3223"/>
      <c r="E3" s="3223"/>
      <c r="F3" s="3223"/>
      <c r="G3" s="3223"/>
      <c r="H3" s="3223"/>
      <c r="I3" s="3223"/>
      <c r="J3" s="3223"/>
      <c r="K3" s="3223"/>
      <c r="L3" s="3223"/>
      <c r="M3" s="3223"/>
      <c r="N3" s="3224"/>
      <c r="O3" s="3212" t="s">
        <v>4185</v>
      </c>
      <c r="P3" s="3212"/>
      <c r="Q3" s="3212"/>
      <c r="R3" s="3212"/>
      <c r="S3" s="3212"/>
      <c r="T3" s="3212"/>
    </row>
    <row r="4" spans="1:30" ht="15.6">
      <c r="A4" s="3217" t="s">
        <v>4147</v>
      </c>
      <c r="B4" s="3217"/>
      <c r="C4" s="3217"/>
      <c r="D4" s="3217"/>
      <c r="E4" s="3217"/>
      <c r="F4" s="3217"/>
      <c r="G4" s="3217"/>
      <c r="H4" s="3217"/>
      <c r="I4" s="3217"/>
      <c r="J4" s="3217"/>
      <c r="K4" s="3217"/>
      <c r="L4" s="3217"/>
      <c r="M4" s="3217"/>
      <c r="N4" s="3217"/>
      <c r="O4" s="3217"/>
      <c r="P4" s="3217"/>
      <c r="Q4" s="3217"/>
      <c r="R4" s="3217"/>
      <c r="S4" s="3217"/>
      <c r="T4" s="3217"/>
    </row>
    <row r="5" spans="1:30" ht="32.25" customHeight="1">
      <c r="A5" s="3229" t="s">
        <v>4148</v>
      </c>
      <c r="B5" s="3229" t="s">
        <v>4186</v>
      </c>
      <c r="C5" s="3229"/>
      <c r="D5" s="3229" t="s">
        <v>3760</v>
      </c>
      <c r="E5" s="3229" t="s">
        <v>3272</v>
      </c>
      <c r="F5" s="3229"/>
      <c r="G5" s="3229" t="s">
        <v>4187</v>
      </c>
      <c r="H5" s="3229"/>
      <c r="I5" s="3229"/>
      <c r="J5" s="3229"/>
      <c r="K5" s="3229"/>
      <c r="L5" s="3229" t="s">
        <v>4188</v>
      </c>
      <c r="M5" s="3229"/>
      <c r="N5" s="3229"/>
      <c r="O5" s="3229" t="s">
        <v>4189</v>
      </c>
      <c r="P5" s="3229"/>
      <c r="Q5" s="3229"/>
      <c r="R5" s="3229" t="s">
        <v>4190</v>
      </c>
      <c r="S5" s="3229" t="s">
        <v>4153</v>
      </c>
      <c r="T5" s="3229"/>
    </row>
    <row r="6" spans="1:30" ht="35.25" customHeight="1">
      <c r="A6" s="3229"/>
      <c r="B6" s="3229" t="s">
        <v>4191</v>
      </c>
      <c r="C6" s="3229" t="s">
        <v>4176</v>
      </c>
      <c r="D6" s="3229"/>
      <c r="E6" s="3229" t="s">
        <v>4192</v>
      </c>
      <c r="F6" s="3229" t="s">
        <v>4193</v>
      </c>
      <c r="G6" s="3229" t="s">
        <v>4194</v>
      </c>
      <c r="H6" s="3229" t="s">
        <v>4195</v>
      </c>
      <c r="I6" s="3229" t="s">
        <v>4196</v>
      </c>
      <c r="J6" s="3229" t="s">
        <v>4197</v>
      </c>
      <c r="K6" s="3229" t="s">
        <v>4198</v>
      </c>
      <c r="L6" s="3229" t="s">
        <v>4199</v>
      </c>
      <c r="M6" s="3229" t="s">
        <v>4200</v>
      </c>
      <c r="N6" s="3229"/>
      <c r="O6" s="3229" t="s">
        <v>4201</v>
      </c>
      <c r="P6" s="3229" t="s">
        <v>4202</v>
      </c>
      <c r="Q6" s="3229" t="s">
        <v>4203</v>
      </c>
      <c r="R6" s="3229"/>
      <c r="S6" s="3229" t="s">
        <v>4204</v>
      </c>
      <c r="T6" s="3229" t="s">
        <v>4205</v>
      </c>
      <c r="U6" s="870">
        <v>17</v>
      </c>
      <c r="V6" s="870">
        <v>18</v>
      </c>
      <c r="W6" s="870">
        <v>19</v>
      </c>
      <c r="X6" s="870">
        <v>20</v>
      </c>
      <c r="Y6" s="870">
        <v>21</v>
      </c>
      <c r="Z6" s="870">
        <v>22</v>
      </c>
      <c r="AA6" s="870">
        <v>23</v>
      </c>
      <c r="AB6" s="870">
        <v>24</v>
      </c>
      <c r="AC6" s="870">
        <v>25</v>
      </c>
      <c r="AD6" s="870">
        <v>28</v>
      </c>
    </row>
    <row r="7" spans="1:30" ht="61.5" customHeight="1">
      <c r="A7" s="3229"/>
      <c r="B7" s="3229"/>
      <c r="C7" s="3229"/>
      <c r="D7" s="3229"/>
      <c r="E7" s="3229"/>
      <c r="F7" s="3229"/>
      <c r="G7" s="3229"/>
      <c r="H7" s="3229"/>
      <c r="I7" s="3229"/>
      <c r="J7" s="3229"/>
      <c r="K7" s="3229"/>
      <c r="L7" s="3229"/>
      <c r="M7" s="846" t="s">
        <v>4206</v>
      </c>
      <c r="N7" s="846" t="s">
        <v>4167</v>
      </c>
      <c r="O7" s="3229"/>
      <c r="P7" s="3229"/>
      <c r="Q7" s="3229"/>
      <c r="R7" s="3229"/>
      <c r="S7" s="3229"/>
      <c r="T7" s="3229"/>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30" t="s">
        <v>4207</v>
      </c>
      <c r="B1" s="3230"/>
      <c r="C1" s="3230"/>
      <c r="D1" s="3230"/>
      <c r="E1" s="3230"/>
      <c r="F1" s="3230"/>
      <c r="G1" s="3230"/>
      <c r="H1" s="3230"/>
      <c r="I1" s="3230"/>
    </row>
    <row r="2" spans="1:9" ht="47.25" customHeight="1">
      <c r="A2" s="3217" t="e">
        <f>"Tên công trình: "&amp;Solieu!#REF!</f>
        <v>#REF!</v>
      </c>
      <c r="B2" s="3217"/>
      <c r="C2" s="3217"/>
      <c r="D2" s="3217"/>
      <c r="E2" s="3217"/>
      <c r="F2" s="3217"/>
      <c r="G2" s="3219" t="str">
        <f>"Đơn vị thi công: "&amp;Solieu!C10</f>
        <v>Đơn vị thi công: x</v>
      </c>
      <c r="H2" s="3220"/>
      <c r="I2" s="3221"/>
    </row>
    <row r="3" spans="1:9" ht="31.5" customHeight="1">
      <c r="A3" s="3217" t="s">
        <v>4232</v>
      </c>
      <c r="B3" s="3217"/>
      <c r="C3" s="3217"/>
      <c r="D3" s="3217"/>
      <c r="E3" s="3217"/>
      <c r="F3" s="3217"/>
      <c r="G3" s="3231" t="s">
        <v>4146</v>
      </c>
      <c r="H3" s="3231"/>
      <c r="I3" s="3231"/>
    </row>
    <row r="4" spans="1:9" ht="15.6">
      <c r="A4" s="3217" t="s">
        <v>4147</v>
      </c>
      <c r="B4" s="3217"/>
      <c r="C4" s="3217"/>
      <c r="D4" s="3217"/>
      <c r="E4" s="3217"/>
      <c r="F4" s="3217"/>
      <c r="G4" s="3217"/>
      <c r="H4" s="3217"/>
      <c r="I4" s="3217"/>
    </row>
    <row r="5" spans="1:9" s="809" customFormat="1" ht="21" customHeight="1">
      <c r="A5" s="3212" t="s">
        <v>4148</v>
      </c>
      <c r="B5" s="3212" t="s">
        <v>4208</v>
      </c>
      <c r="C5" s="3212"/>
      <c r="D5" s="3212"/>
      <c r="E5" s="3212" t="s">
        <v>4209</v>
      </c>
      <c r="F5" s="3212"/>
      <c r="G5" s="3212" t="s">
        <v>4190</v>
      </c>
      <c r="H5" s="3212" t="s">
        <v>4153</v>
      </c>
      <c r="I5" s="3212"/>
    </row>
    <row r="6" spans="1:9" s="809" customFormat="1" ht="21" customHeight="1">
      <c r="A6" s="3212"/>
      <c r="B6" s="868" t="s">
        <v>4210</v>
      </c>
      <c r="C6" s="3212" t="s">
        <v>4211</v>
      </c>
      <c r="D6" s="3212" t="s">
        <v>4140</v>
      </c>
      <c r="E6" s="3212" t="s">
        <v>4212</v>
      </c>
      <c r="F6" s="3212" t="s">
        <v>4213</v>
      </c>
      <c r="G6" s="3212"/>
      <c r="H6" s="3212" t="s">
        <v>4204</v>
      </c>
      <c r="I6" s="3212" t="s">
        <v>4205</v>
      </c>
    </row>
    <row r="7" spans="1:9" s="809" customFormat="1" ht="21" customHeight="1">
      <c r="A7" s="3212"/>
      <c r="B7" s="868" t="s">
        <v>4214</v>
      </c>
      <c r="C7" s="3212"/>
      <c r="D7" s="3212"/>
      <c r="E7" s="3212"/>
      <c r="F7" s="3212"/>
      <c r="G7" s="3212"/>
      <c r="H7" s="3212"/>
      <c r="I7" s="3212"/>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2" t="s">
        <v>4215</v>
      </c>
      <c r="B10" s="3232"/>
      <c r="C10" s="3233" t="e">
        <f>C9</f>
        <v>#REF!</v>
      </c>
      <c r="D10" s="3234"/>
      <c r="E10" s="3234"/>
      <c r="F10" s="3234"/>
      <c r="G10" s="3234"/>
      <c r="H10" s="3234"/>
      <c r="I10" s="323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6" t="s">
        <v>4095</v>
      </c>
      <c r="B1" s="3236"/>
      <c r="C1" s="3236"/>
      <c r="D1" s="3236"/>
      <c r="E1" s="3236"/>
      <c r="F1" s="3236"/>
      <c r="G1" s="3236"/>
      <c r="H1" s="3236"/>
      <c r="I1" s="3236"/>
      <c r="J1" s="3236"/>
      <c r="K1" s="810" t="s">
        <v>4076</v>
      </c>
    </row>
    <row r="2" spans="1:11" ht="18">
      <c r="A2" s="3237" t="s">
        <v>4096</v>
      </c>
      <c r="B2" s="3237"/>
      <c r="C2" s="3237"/>
      <c r="D2" s="3237"/>
      <c r="E2" s="3237"/>
      <c r="F2" s="3237"/>
      <c r="G2" s="3237"/>
      <c r="H2" s="3237"/>
      <c r="I2" s="3237"/>
      <c r="J2" s="3237"/>
    </row>
    <row r="3" spans="1:11" ht="15" customHeight="1">
      <c r="A3" s="3238" t="s">
        <v>4097</v>
      </c>
      <c r="B3" s="3238"/>
      <c r="C3" s="3238"/>
      <c r="D3" s="3238"/>
      <c r="E3" s="3238"/>
      <c r="F3" s="3238"/>
      <c r="G3" s="3238"/>
      <c r="H3" s="3238"/>
      <c r="I3" s="3238"/>
      <c r="J3" s="3238"/>
    </row>
    <row r="4" spans="1:11" ht="15" customHeight="1">
      <c r="A4" s="3239" t="s">
        <v>4524</v>
      </c>
      <c r="B4" s="3239"/>
      <c r="C4" s="3239"/>
      <c r="D4" s="3239"/>
      <c r="E4" s="3239"/>
      <c r="F4" s="3239"/>
      <c r="G4" s="3239"/>
      <c r="H4" s="3239"/>
      <c r="I4" s="3239"/>
      <c r="J4" s="3239"/>
    </row>
    <row r="5" spans="1:11" ht="31.5" customHeight="1">
      <c r="A5" s="3240" t="s">
        <v>4497</v>
      </c>
      <c r="B5" s="3240"/>
      <c r="C5" s="3240"/>
      <c r="D5" s="3240"/>
      <c r="E5" s="3240"/>
      <c r="F5" s="3240"/>
      <c r="G5" s="3240"/>
      <c r="H5" s="3240"/>
      <c r="I5" s="3240"/>
      <c r="J5" s="3240"/>
    </row>
    <row r="6" spans="1:11" s="1610" customFormat="1" ht="18.75" customHeight="1">
      <c r="A6" s="3240" t="s">
        <v>4498</v>
      </c>
      <c r="B6" s="3240"/>
      <c r="C6" s="3240"/>
      <c r="D6" s="3240"/>
      <c r="E6" s="3240"/>
      <c r="F6" s="3240"/>
      <c r="G6" s="3240"/>
      <c r="H6" s="3240"/>
      <c r="I6" s="3240"/>
      <c r="J6" s="3240"/>
    </row>
    <row r="7" spans="1:11" s="1610" customFormat="1" ht="18.75" customHeight="1">
      <c r="A7" s="3240" t="s">
        <v>4499</v>
      </c>
      <c r="B7" s="3240"/>
      <c r="C7" s="3240"/>
      <c r="D7" s="3240"/>
      <c r="E7" s="3240"/>
      <c r="F7" s="3240"/>
      <c r="G7" s="3240"/>
      <c r="H7" s="3240"/>
      <c r="I7" s="3240"/>
      <c r="J7" s="3240"/>
    </row>
    <row r="8" spans="1:11" ht="41.25" customHeight="1">
      <c r="A8" s="3241" t="s">
        <v>4525</v>
      </c>
      <c r="B8" s="3241"/>
      <c r="C8" s="3241"/>
      <c r="D8" s="3241"/>
      <c r="E8" s="3241"/>
      <c r="F8" s="3241"/>
      <c r="G8" s="3241"/>
      <c r="H8" s="3241"/>
      <c r="I8" s="3241"/>
      <c r="J8" s="3241"/>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42" t="s">
        <v>4516</v>
      </c>
      <c r="C31" s="3242"/>
      <c r="D31" s="3242"/>
      <c r="E31" s="3242"/>
      <c r="F31" s="3242"/>
      <c r="G31" s="3242"/>
      <c r="H31" s="3242"/>
      <c r="I31" s="3242"/>
      <c r="J31" s="3242"/>
    </row>
    <row r="32" spans="1:10" ht="32.25" customHeight="1">
      <c r="A32" s="3243" t="s">
        <v>4517</v>
      </c>
      <c r="B32" s="3243"/>
      <c r="C32" s="3243"/>
      <c r="D32" s="3243"/>
      <c r="E32" s="3243"/>
      <c r="F32" s="3243"/>
      <c r="G32" s="3243"/>
      <c r="H32" s="3243"/>
      <c r="I32" s="3243"/>
      <c r="J32" s="3243"/>
    </row>
    <row r="33" spans="1:10" ht="42.75" customHeight="1">
      <c r="B33" s="3244" t="s">
        <v>4518</v>
      </c>
      <c r="C33" s="3244"/>
      <c r="D33" s="3244"/>
      <c r="E33" s="3244"/>
      <c r="F33" s="3244"/>
      <c r="G33" s="3244"/>
      <c r="H33" s="3244"/>
      <c r="I33" s="3244"/>
      <c r="J33" s="3244"/>
    </row>
    <row r="34" spans="1:10" ht="24.75" customHeight="1">
      <c r="B34" s="1615" t="s">
        <v>4519</v>
      </c>
    </row>
    <row r="35" spans="1:10" ht="19.649999999999999" customHeight="1">
      <c r="B35" s="1623" t="s">
        <v>4520</v>
      </c>
    </row>
    <row r="36" spans="1:10" ht="46.5" customHeight="1">
      <c r="A36" s="3235" t="s">
        <v>4521</v>
      </c>
      <c r="B36" s="3235"/>
      <c r="C36" s="3235"/>
      <c r="D36" s="3235"/>
      <c r="E36" s="3235"/>
      <c r="F36" s="3235"/>
      <c r="G36" s="3235"/>
      <c r="H36" s="3235"/>
      <c r="I36" s="3235"/>
      <c r="J36" s="3235"/>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42" activePane="bottomLeft" state="frozen"/>
      <selection activeCell="B1" sqref="B1"/>
      <selection pane="bottomLeft" activeCell="B101" sqref="B101:I224"/>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113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chitiet!B2334</f>
        <v>FCO200-22</v>
      </c>
      <c r="C4" s="2899" t="str">
        <f>chitiet!C2334</f>
        <v>x</v>
      </c>
      <c r="D4" s="2900">
        <f>chitiet!D2334</f>
        <v>0</v>
      </c>
      <c r="E4" s="2901" t="str">
        <f>chitiet!E2334</f>
        <v>02.3505</v>
      </c>
      <c r="F4" s="2902" t="str">
        <f>chitiet!F2334</f>
        <v xml:space="preserve">FCO 24KV - 200A </v>
      </c>
      <c r="G4" s="2903" t="str">
        <f>chitiet!G2334</f>
        <v>cái</v>
      </c>
      <c r="H4" s="2904">
        <f>chitiet!H2334</f>
        <v>3</v>
      </c>
      <c r="I4" s="2904">
        <f>chitiet!P2334</f>
        <v>3</v>
      </c>
      <c r="J4" s="2905">
        <f>IFERROR(VLOOKUP(B4,DG!A:F,6,0),3000)</f>
        <v>2</v>
      </c>
      <c r="K4" s="2906">
        <f>IF(AND(OR(H4&gt;0,I4&gt;0),J4&lt;2000),COUNTIF($B$2:B4,B4),0)</f>
        <v>1</v>
      </c>
      <c r="L4" s="1300"/>
      <c r="M4" s="1375"/>
      <c r="O4" s="1375"/>
    </row>
    <row r="5" spans="1:15" s="1208" customFormat="1" ht="25.2" customHeight="1">
      <c r="A5" s="2897">
        <f>COUNTIF($K$1:K5,1)</f>
        <v>3</v>
      </c>
      <c r="B5" s="2898" t="str">
        <f>chitiet!B2335</f>
        <v>FCO100-22</v>
      </c>
      <c r="C5" s="2899" t="str">
        <f>chitiet!C2335</f>
        <v>x</v>
      </c>
      <c r="D5" s="2900">
        <f>chitiet!D2335</f>
        <v>0</v>
      </c>
      <c r="E5" s="2901" t="str">
        <f>chitiet!E2335</f>
        <v>02.3155</v>
      </c>
      <c r="F5" s="2902" t="str">
        <f>chitiet!F2335</f>
        <v>FCO 24kV - 100A</v>
      </c>
      <c r="G5" s="2903" t="str">
        <f>chitiet!G2335</f>
        <v>cái</v>
      </c>
      <c r="H5" s="2904">
        <f>chitiet!H2335</f>
        <v>1</v>
      </c>
      <c r="I5" s="2904">
        <f>chitiet!P2335</f>
        <v>1</v>
      </c>
      <c r="J5" s="2905">
        <f>IFERROR(VLOOKUP(B5,DG!A:F,6,0),3000)</f>
        <v>2</v>
      </c>
      <c r="K5" s="2906">
        <f>IF(AND(OR(H5&gt;0,I5&gt;0),J5&lt;2000),COUNTIF($B$2:B5,B5),0)</f>
        <v>2</v>
      </c>
      <c r="L5" s="1300"/>
      <c r="M5" s="1375"/>
      <c r="O5" s="1375"/>
    </row>
    <row r="6" spans="1:15" s="1208" customFormat="1" ht="25.2" customHeight="1">
      <c r="A6" s="2897">
        <f>COUNTIF($K$1:K6,1)</f>
        <v>4</v>
      </c>
      <c r="B6" s="2898" t="str">
        <f>CT_tram!B2380</f>
        <v>LA18</v>
      </c>
      <c r="C6" s="2899">
        <f>CT_tram!C2380</f>
        <v>6</v>
      </c>
      <c r="D6" s="2900">
        <f>CT_tram!D2380</f>
        <v>4</v>
      </c>
      <c r="E6" s="2901" t="str">
        <f>CT_tram!E2380</f>
        <v>02.5114</v>
      </c>
      <c r="F6" s="2902" t="str">
        <f>CT_tram!F2380</f>
        <v>Chống sét van LA-18KV-10KA</v>
      </c>
      <c r="G6" s="2903" t="str">
        <f>CT_tram!G2380</f>
        <v>cái</v>
      </c>
      <c r="H6" s="2904">
        <f>CT_tram!H2380</f>
        <v>6</v>
      </c>
      <c r="I6" s="2904">
        <f>CT_tram!I2380</f>
        <v>6</v>
      </c>
      <c r="J6" s="2905">
        <f>IFERROR(VLOOKUP(B6,DG!A:F,6,0),3000)</f>
        <v>3</v>
      </c>
      <c r="K6" s="2906">
        <f>IF(AND(OR(H6&gt;0,I6&gt;0),J6&lt;2000),COUNTIF($B$2:B6,B6),0)</f>
        <v>1</v>
      </c>
      <c r="L6" s="1300"/>
      <c r="M6" s="1375"/>
      <c r="O6" s="1375"/>
    </row>
    <row r="7" spans="1:15" s="1208" customFormat="1" ht="25.2" customHeight="1">
      <c r="A7" s="2897">
        <f>COUNTIF($K$1:K7,1)</f>
        <v>4</v>
      </c>
      <c r="B7" s="2898" t="str">
        <f>chitiet!B2346</f>
        <v>LA18</v>
      </c>
      <c r="C7" s="2899" t="str">
        <f>chitiet!C2346</f>
        <v>x</v>
      </c>
      <c r="D7" s="2900">
        <f>chitiet!D2346</f>
        <v>0</v>
      </c>
      <c r="E7" s="2901" t="str">
        <f>chitiet!E2346</f>
        <v>02.5114</v>
      </c>
      <c r="F7" s="2902" t="str">
        <f>chitiet!F2346</f>
        <v>Chống sét van LA-18KV-10KA</v>
      </c>
      <c r="G7" s="2903" t="str">
        <f>chitiet!G2346</f>
        <v>cái</v>
      </c>
      <c r="H7" s="2904">
        <f>chitiet!H2346</f>
        <v>6</v>
      </c>
      <c r="I7" s="2904">
        <f>chitiet!$P$2346</f>
        <v>6</v>
      </c>
      <c r="J7" s="2905">
        <f>IFERROR(VLOOKUP(B7,DG!A:F,6,0),3000)</f>
        <v>3</v>
      </c>
      <c r="K7" s="2906">
        <f>IF(AND(OR(H7&gt;0,I7&gt;0),J7&lt;2000),COUNTIF($B$2:B7,B7),0)</f>
        <v>2</v>
      </c>
      <c r="L7" s="1300"/>
      <c r="M7" s="1375"/>
      <c r="O7" s="1375"/>
    </row>
    <row r="8" spans="1:15" s="1208" customFormat="1" ht="25.2" customHeight="1">
      <c r="A8" s="2897">
        <f>COUNTIF($K$1:K8,1)</f>
        <v>5</v>
      </c>
      <c r="B8" s="2898" t="str">
        <f>CT_tram!B2382</f>
        <v>acb1600</v>
      </c>
      <c r="C8" s="2899">
        <f>CT_tram!C2382</f>
        <v>1</v>
      </c>
      <c r="D8" s="2900">
        <f>CT_tram!D2382</f>
        <v>5</v>
      </c>
      <c r="E8" s="2901" t="str">
        <f>CT_tram!E2382</f>
        <v>02.8404</v>
      </c>
      <c r="F8" s="2902" t="str">
        <f>CT_tram!F2382</f>
        <v>ACB 3P - 1600A - 65KA (nạp lò xo bằng tay)</v>
      </c>
      <c r="G8" s="2903" t="str">
        <f>CT_tram!G2382</f>
        <v>cái</v>
      </c>
      <c r="H8" s="2904">
        <f>CT_tram!H2382</f>
        <v>1</v>
      </c>
      <c r="I8" s="2904">
        <f>CT_tram!I2382</f>
        <v>1</v>
      </c>
      <c r="J8" s="2905">
        <f>IFERROR(VLOOKUP(B8,DG!A:F,6,0),3000)</f>
        <v>4</v>
      </c>
      <c r="K8" s="2906">
        <f>IF(AND(OR(H8&gt;0,I8&gt;0),J8&lt;2000),COUNTIF($B$2:B8,B8),0)</f>
        <v>1</v>
      </c>
      <c r="L8" s="1300"/>
      <c r="M8" s="1375"/>
      <c r="O8" s="1375"/>
    </row>
    <row r="9" spans="1:15" s="1208" customFormat="1" ht="25.2" customHeight="1">
      <c r="A9" s="2897">
        <f>COUNTIF($K$1:K9,1)</f>
        <v>6</v>
      </c>
      <c r="B9" s="2898" t="str">
        <f>CT_tram!B2521</f>
        <v>SD</v>
      </c>
      <c r="C9" s="2899">
        <f>CT_tram!C2521</f>
        <v>6</v>
      </c>
      <c r="D9" s="2900">
        <f>CT_tram!D2521</f>
        <v>0</v>
      </c>
      <c r="E9" s="2901">
        <f>CT_tram!E2521</f>
        <v>0</v>
      </c>
      <c r="F9" s="2902" t="str">
        <f>CT_tram!F2521</f>
        <v xml:space="preserve">Sứ đứng 24KV </v>
      </c>
      <c r="G9" s="2903" t="str">
        <f>CT_tram!G2521</f>
        <v>cái</v>
      </c>
      <c r="H9" s="2904">
        <f>CT_tram!H2521</f>
        <v>6</v>
      </c>
      <c r="I9" s="2904">
        <f>CT_tram!I2521</f>
        <v>6</v>
      </c>
      <c r="J9" s="2905">
        <f>IFERROR(VLOOKUP(B9,DG!A:F,6,0),3000)</f>
        <v>5</v>
      </c>
      <c r="K9" s="2906">
        <f>IF(AND(OR(H9&gt;0,I9&gt;0),J9&lt;2000),COUNTIF($B$2:B9,B9),0)</f>
        <v>1</v>
      </c>
      <c r="L9" s="1300"/>
      <c r="M9" s="1375"/>
      <c r="O9" s="1375"/>
    </row>
    <row r="10" spans="1:15" s="1208" customFormat="1" ht="25.2" customHeight="1">
      <c r="A10" s="2897">
        <f>COUNTIF($K$1:K10,1)</f>
        <v>6</v>
      </c>
      <c r="B10" s="2898" t="str">
        <f>chitiet!B1819</f>
        <v>SD</v>
      </c>
      <c r="C10" s="2899" t="str">
        <f>chitiet!C1819</f>
        <v>x</v>
      </c>
      <c r="D10" s="2900">
        <f>chitiet!D1819</f>
        <v>1</v>
      </c>
      <c r="E10" s="2901">
        <f>chitiet!E1819</f>
        <v>0</v>
      </c>
      <c r="F10" s="2902" t="str">
        <f>chitiet!F1819</f>
        <v xml:space="preserve">Sứ đứng 24KV </v>
      </c>
      <c r="G10" s="2903" t="str">
        <f>chitiet!G1819</f>
        <v>cái</v>
      </c>
      <c r="H10" s="2904">
        <f>chitiet!H1819</f>
        <v>27</v>
      </c>
      <c r="I10" s="2904">
        <f>chitiet!P1819</f>
        <v>27</v>
      </c>
      <c r="J10" s="2905">
        <f>IFERROR(VLOOKUP(B10,DG!A:F,6,0),3000)</f>
        <v>5</v>
      </c>
      <c r="K10" s="2906">
        <f>IF(AND(OR(H10&gt;0,I10&gt;0),J10&lt;2000),COUNTIF($B$2:B10,B10),0)</f>
        <v>2</v>
      </c>
      <c r="L10" s="1300"/>
      <c r="M10" s="1375"/>
      <c r="O10" s="1375"/>
    </row>
    <row r="11" spans="1:15" s="1208" customFormat="1" ht="25.2" customHeight="1">
      <c r="A11" s="2897">
        <f>COUNTIF($K$1:K11,1)</f>
        <v>7</v>
      </c>
      <c r="B11" s="2898" t="str">
        <f>chitiet!B1839</f>
        <v>Stply</v>
      </c>
      <c r="C11" s="2899" t="str">
        <f>chitiet!C1839</f>
        <v>x</v>
      </c>
      <c r="D11" s="2900">
        <f>chitiet!D1839</f>
        <v>1</v>
      </c>
      <c r="E11" s="2901">
        <f>chitiet!E1839</f>
        <v>0</v>
      </c>
      <c r="F11" s="2902" t="str">
        <f>chitiet!F1839</f>
        <v>Sứ treo polymer</v>
      </c>
      <c r="G11" s="2903" t="str">
        <f>chitiet!G1839</f>
        <v>chuỗi</v>
      </c>
      <c r="H11" s="2904">
        <f>chitiet!H1839</f>
        <v>22</v>
      </c>
      <c r="I11" s="2904">
        <f>chitiet!P1839</f>
        <v>22</v>
      </c>
      <c r="J11" s="2905">
        <f>IFERROR(VLOOKUP(B11,DG!A:F,6,0),3000)</f>
        <v>5</v>
      </c>
      <c r="K11" s="2906">
        <f>IF(AND(OR(H11&gt;0,I11&gt;0),J11&lt;2000),COUNTIF($B$2:B11,B11),0)</f>
        <v>1</v>
      </c>
      <c r="L11" s="1752"/>
      <c r="M11" s="1375"/>
      <c r="O11" s="1375"/>
    </row>
    <row r="12" spans="1:15" s="1208" customFormat="1" ht="25.2" customHeight="1">
      <c r="A12" s="2897">
        <f>COUNTIF($K$1:K12,1)</f>
        <v>8</v>
      </c>
      <c r="B12" s="2898" t="str">
        <f>CT_tram!B2513</f>
        <v>cxv25</v>
      </c>
      <c r="C12" s="2899">
        <f>CT_tram!C2513</f>
        <v>36</v>
      </c>
      <c r="D12" s="2900">
        <f>CT_tram!D2513</f>
        <v>0</v>
      </c>
      <c r="E12" s="2901">
        <f>CT_tram!E2513</f>
        <v>0</v>
      </c>
      <c r="F12" s="2902" t="str">
        <f>CT_tram!F2513</f>
        <v>Cáp đồng bọc 24KV-CXV-25</v>
      </c>
      <c r="G12" s="2903" t="str">
        <f>CT_tram!G2513</f>
        <v>mét</v>
      </c>
      <c r="H12" s="2904">
        <f>CT_tram!H2513</f>
        <v>36</v>
      </c>
      <c r="I12" s="2904">
        <f>CT_tram!I2513</f>
        <v>36</v>
      </c>
      <c r="J12" s="2905">
        <f>IFERROR(VLOOKUP(B12,DG!A:F,6,0),3000)</f>
        <v>7</v>
      </c>
      <c r="K12" s="2906">
        <f>IF(AND(OR(H12&gt;0,I12&gt;0),J12&lt;2000),COUNTIF($B$2:B12,B12),0)</f>
        <v>1</v>
      </c>
      <c r="L12" s="1300"/>
      <c r="M12" s="1375"/>
      <c r="O12" s="1375"/>
    </row>
    <row r="13" spans="1:15" s="1208" customFormat="1" ht="25.2" customHeight="1">
      <c r="A13" s="2897">
        <f>COUNTIF($K$1:K13,1)</f>
        <v>9</v>
      </c>
      <c r="B13" s="2898" t="str">
        <f>CT_tram!B2533</f>
        <v>cv240</v>
      </c>
      <c r="C13" s="2899">
        <f>CT_tram!C2533</f>
        <v>72</v>
      </c>
      <c r="D13" s="2900">
        <f>CT_tram!D2533</f>
        <v>0</v>
      </c>
      <c r="E13" s="2901">
        <f>CT_tram!E2533</f>
        <v>0</v>
      </c>
      <c r="F13" s="2902" t="str">
        <f>CT_tram!F2533</f>
        <v>Cáp đồng bọc CV240</v>
      </c>
      <c r="G13" s="2903" t="str">
        <f>CT_tram!G2533</f>
        <v>mét</v>
      </c>
      <c r="H13" s="2904">
        <f>CT_tram!H2533</f>
        <v>72</v>
      </c>
      <c r="I13" s="2904">
        <f>CT_tram!I2533</f>
        <v>72</v>
      </c>
      <c r="J13" s="2905">
        <f>IFERROR(VLOOKUP(B13,DG!A:F,6,0),3000)</f>
        <v>7</v>
      </c>
      <c r="K13" s="2906">
        <f>IF(AND(OR(H13&gt;0,I13&gt;0),J13&lt;2000),COUNTIF($B$2:B13,B13),0)</f>
        <v>1</v>
      </c>
      <c r="L13" s="1300"/>
      <c r="M13" s="1375"/>
      <c r="O13" s="1375"/>
    </row>
    <row r="14" spans="1:15" s="1208" customFormat="1" ht="25.2" customHeight="1">
      <c r="A14" s="2897">
        <f>COUNTIF($K$1:K14,1)</f>
        <v>10</v>
      </c>
      <c r="B14" s="2898" t="str">
        <f>CT_tram!B2580</f>
        <v>CVV4X4</v>
      </c>
      <c r="C14" s="2899">
        <f>CT_tram!C2580</f>
        <v>33</v>
      </c>
      <c r="D14" s="2900">
        <f>CT_tram!D2580</f>
        <v>0</v>
      </c>
      <c r="E14" s="2901" t="str">
        <f>CT_tram!E2580</f>
        <v>03.1401</v>
      </c>
      <c r="F14" s="2902" t="str">
        <f>CT_tram!F2580</f>
        <v xml:space="preserve">Cáp CVV 4x4mm2  </v>
      </c>
      <c r="G14" s="2903" t="str">
        <f>CT_tram!G2580</f>
        <v>mét</v>
      </c>
      <c r="H14" s="2904">
        <f>CT_tram!H2580</f>
        <v>33</v>
      </c>
      <c r="I14" s="2904">
        <f>CT_tram!I2580</f>
        <v>33</v>
      </c>
      <c r="J14" s="2905">
        <f>IFERROR(VLOOKUP(B14,DG!A:F,6,0),3000)</f>
        <v>7</v>
      </c>
      <c r="K14" s="2906">
        <f>IF(AND(OR(H14&gt;0,I14&gt;0),J14&lt;2000),COUNTIF($B$2:B14,B14),0)</f>
        <v>1</v>
      </c>
      <c r="L14" s="1300"/>
      <c r="M14" s="1375"/>
      <c r="O14" s="1375"/>
    </row>
    <row r="15" spans="1:15" s="1208" customFormat="1" ht="25.2" customHeight="1">
      <c r="A15" s="2897">
        <f>COUNTIF($K$1:K15,1)</f>
        <v>10</v>
      </c>
      <c r="B15" s="2898" t="str">
        <f>chitiet!B1780</f>
        <v>cxv25</v>
      </c>
      <c r="C15" s="2899" t="str">
        <f>chitiet!C1780</f>
        <v>x</v>
      </c>
      <c r="D15" s="2900">
        <f>chitiet!D1780</f>
        <v>0</v>
      </c>
      <c r="E15" s="2907">
        <f>chitiet!E1780</f>
        <v>0</v>
      </c>
      <c r="F15" s="2898" t="str">
        <f>chitiet!F1780</f>
        <v>Cáp đồng bọc 24KV-CXV-25</v>
      </c>
      <c r="G15" s="2908" t="str">
        <f>chitiet!G1780</f>
        <v>mét</v>
      </c>
      <c r="H15" s="2908">
        <f>chitiet!H1780</f>
        <v>10</v>
      </c>
      <c r="I15" s="2908">
        <f>chitiet!P1780</f>
        <v>10</v>
      </c>
      <c r="J15" s="2905">
        <f>IFERROR(VLOOKUP(B15,DG!A:F,6,0),3000)</f>
        <v>7</v>
      </c>
      <c r="K15" s="2906">
        <f>IF(AND(OR(H15&gt;0,I15&gt;0),J15&lt;2000),COUNTIF($B$2:B15,B15),0)</f>
        <v>2</v>
      </c>
      <c r="L15" s="1297"/>
      <c r="M15" s="1375"/>
      <c r="O15" s="1375"/>
    </row>
    <row r="16" spans="1:15" s="1208" customFormat="1" ht="25.2" customHeight="1">
      <c r="A16" s="2897">
        <f>COUNTIF($K$1:K16,1)</f>
        <v>11</v>
      </c>
      <c r="B16" s="2898" t="str">
        <f>chitiet!B1781</f>
        <v>cxv50</v>
      </c>
      <c r="C16" s="2899" t="str">
        <f>chitiet!C1781</f>
        <v>x</v>
      </c>
      <c r="D16" s="2900">
        <f>chitiet!D1781</f>
        <v>0</v>
      </c>
      <c r="E16" s="2901">
        <f>chitiet!E1781</f>
        <v>0</v>
      </c>
      <c r="F16" s="2902" t="str">
        <f>chitiet!F1781</f>
        <v>Cáp đồng bọc 24KV-CXV-50</v>
      </c>
      <c r="G16" s="2910" t="str">
        <f>chitiet!G1781</f>
        <v>mét</v>
      </c>
      <c r="H16" s="2904">
        <f>chitiet!H1781</f>
        <v>19.5</v>
      </c>
      <c r="I16" s="2904">
        <f>chitiet!P1781</f>
        <v>19.5</v>
      </c>
      <c r="J16" s="2905">
        <f>IFERROR(VLOOKUP(B16,DG!A:F,6,0),3000)</f>
        <v>7</v>
      </c>
      <c r="K16" s="2906">
        <f>IF(AND(OR(H16&gt;0,I16&gt;0),J16&lt;2000),COUNTIF($B$2:B16,B16),0)</f>
        <v>1</v>
      </c>
      <c r="L16" s="1300"/>
      <c r="M16" s="1375"/>
      <c r="O16" s="1375"/>
    </row>
    <row r="17" spans="1:15" s="1208" customFormat="1" ht="25.2" customHeight="1">
      <c r="A17" s="2897">
        <f>COUNTIF($K$1:K17,1)</f>
        <v>12</v>
      </c>
      <c r="B17" s="2898" t="str">
        <f>chitiet!B1779</f>
        <v>acxh50</v>
      </c>
      <c r="C17" s="2899" t="str">
        <f>chitiet!C1779</f>
        <v>x</v>
      </c>
      <c r="D17" s="2900">
        <f>chitiet!D1779</f>
        <v>0</v>
      </c>
      <c r="E17" s="2901">
        <f>chitiet!E1779</f>
        <v>0</v>
      </c>
      <c r="F17" s="2902" t="str">
        <f>chitiet!F1779</f>
        <v>Cáp 24KV ACXH 50mm2</v>
      </c>
      <c r="G17" s="2903" t="str">
        <f>chitiet!G1779</f>
        <v>mét</v>
      </c>
      <c r="H17" s="2904">
        <f>chitiet!H1779</f>
        <v>795.6</v>
      </c>
      <c r="I17" s="2904">
        <f>chitiet!P1779</f>
        <v>795.6</v>
      </c>
      <c r="J17" s="2905">
        <f>IFERROR(VLOOKUP(B17,DG!A:F,6,0),3000)</f>
        <v>8</v>
      </c>
      <c r="K17" s="2906">
        <f>IF(AND(OR(H17&gt;0,I17&gt;0),J17&lt;2000),COUNTIF($B$2:B17,B17),0)</f>
        <v>1</v>
      </c>
      <c r="L17" s="1300"/>
      <c r="M17" s="1375"/>
      <c r="O17" s="1375"/>
    </row>
    <row r="18" spans="1:15" s="1208" customFormat="1" ht="25.2" customHeight="1">
      <c r="A18" s="2897">
        <f>COUNTIF($K$1:K18,1)</f>
        <v>13</v>
      </c>
      <c r="B18" s="2898" t="str">
        <f>chitiet!B2344</f>
        <v>LBS630</v>
      </c>
      <c r="C18" s="2899" t="str">
        <f>chitiet!C2344</f>
        <v>x</v>
      </c>
      <c r="D18" s="2900">
        <f>chitiet!D2344</f>
        <v>0</v>
      </c>
      <c r="E18" s="2901">
        <f>chitiet!E2344</f>
        <v>0</v>
      </c>
      <c r="F18" s="2902" t="str">
        <f>chitiet!F2344</f>
        <v xml:space="preserve"> LBS SF6 3pha 24kV 630A - 16kA (MBA cấp nguồn + Phụ kiện)</v>
      </c>
      <c r="G18" s="2903" t="str">
        <f>chitiet!G2344</f>
        <v>Bộ</v>
      </c>
      <c r="H18" s="2904">
        <f>chitiet!H2344</f>
        <v>1</v>
      </c>
      <c r="I18" s="2904">
        <f>chitiet!$P$2344</f>
        <v>1</v>
      </c>
      <c r="J18" s="2905">
        <f>IFERROR(VLOOKUP(B18,DG!A:F,6,0),3000)</f>
        <v>9</v>
      </c>
      <c r="K18" s="2906">
        <f>IF(AND(OR(H18&gt;0,I18&gt;0),J18&lt;2000),COUNTIF($B$2:B18,B18),0)</f>
        <v>1</v>
      </c>
      <c r="L18" s="1300"/>
      <c r="M18" s="1375"/>
      <c r="O18" s="1375"/>
    </row>
    <row r="19" spans="1:15" s="1208" customFormat="1" ht="25.2" customHeight="1">
      <c r="A19" s="2897">
        <f>COUNTIF($K$1:K19,1)</f>
        <v>14</v>
      </c>
      <c r="B19" s="2898" t="str">
        <f>CT_tram!B2453</f>
        <v>M25</v>
      </c>
      <c r="C19" s="2899">
        <f>CT_tram!C2453</f>
        <v>11.87</v>
      </c>
      <c r="D19" s="2900">
        <f>CT_tram!D2453</f>
        <v>0</v>
      </c>
      <c r="E19" s="2901">
        <f>CT_tram!E2453</f>
        <v>0</v>
      </c>
      <c r="F19" s="2902" t="str">
        <f>CT_tram!F2453</f>
        <v>Cáp đồng trần M25mm2: 10m noái leân voû caùc thieát bò</v>
      </c>
      <c r="G19" s="2903" t="str">
        <f>CT_tram!G2453</f>
        <v>kg</v>
      </c>
      <c r="H19" s="2904">
        <f>CT_tram!H2453</f>
        <v>11.87</v>
      </c>
      <c r="I19" s="2904">
        <f>CT_tram!I2453</f>
        <v>11.87</v>
      </c>
      <c r="J19" s="2905">
        <f>IFERROR(VLOOKUP(B19,DG!A:F,6,0),3000)</f>
        <v>49</v>
      </c>
      <c r="K19" s="2906">
        <f>IF(AND(OR(H19&gt;0,I19&gt;0),J19&lt;2000),COUNTIF($B$2:B19,B19),0)</f>
        <v>1</v>
      </c>
      <c r="L19" s="1300"/>
      <c r="M19" s="1375"/>
      <c r="O19" s="1375"/>
    </row>
    <row r="20" spans="1:15" s="1208" customFormat="1" ht="25.2" customHeight="1">
      <c r="A20" s="2897">
        <f>COUNTIF($K$1:K20,1)</f>
        <v>14</v>
      </c>
      <c r="B20" s="2898" t="str">
        <f>chitiet!B641</f>
        <v>m25</v>
      </c>
      <c r="C20" s="2899" t="str">
        <f>chitiet!C641</f>
        <v>x</v>
      </c>
      <c r="D20" s="2900">
        <f>chitiet!D641</f>
        <v>2.2400000000000002</v>
      </c>
      <c r="E20" s="2901">
        <f>chitiet!E641</f>
        <v>0</v>
      </c>
      <c r="F20" s="2902" t="str">
        <f>chitiet!F641</f>
        <v>Cáp đồng trần M25mm2</v>
      </c>
      <c r="G20" s="2903" t="str">
        <f>chitiet!G641</f>
        <v>kg</v>
      </c>
      <c r="H20" s="2904">
        <f>chitiet!H641</f>
        <v>2.2400000000000002</v>
      </c>
      <c r="I20" s="2904">
        <f>chitiet!P641</f>
        <v>2.2400000000000002</v>
      </c>
      <c r="J20" s="2905">
        <f>IFERROR(VLOOKUP(B20,DG!A:F,6,0),3000)</f>
        <v>49</v>
      </c>
      <c r="K20" s="2906">
        <f>IF(AND(OR(H20&gt;0,I20&gt;0),J20&lt;2000),COUNTIF($B$2:B20,B20),0)</f>
        <v>2</v>
      </c>
      <c r="L20" s="1300"/>
      <c r="M20" s="1375"/>
      <c r="O20" s="1375"/>
    </row>
    <row r="21" spans="1:15" s="1208" customFormat="1" ht="25.2" customHeight="1">
      <c r="A21" s="2897">
        <f>COUNTIF($K$1:K21,1)</f>
        <v>14</v>
      </c>
      <c r="B21" s="2898" t="str">
        <f>chitiet!B664</f>
        <v>m25</v>
      </c>
      <c r="C21" s="2899" t="str">
        <f>chitiet!C664</f>
        <v>x</v>
      </c>
      <c r="D21" s="2900">
        <f>chitiet!D664</f>
        <v>11.872</v>
      </c>
      <c r="E21" s="2901">
        <f>chitiet!E664</f>
        <v>0</v>
      </c>
      <c r="F21" s="2902" t="str">
        <f>chitiet!F664</f>
        <v>Cáp đồng trần M25mm2 : 25m</v>
      </c>
      <c r="G21" s="2903" t="str">
        <f>chitiet!G664</f>
        <v>kg</v>
      </c>
      <c r="H21" s="2904">
        <f>chitiet!H664</f>
        <v>11.872</v>
      </c>
      <c r="I21" s="2904">
        <f>chitiet!P664</f>
        <v>11.872</v>
      </c>
      <c r="J21" s="2905">
        <f>IFERROR(VLOOKUP(B21,DG!A:F,6,0),3000)</f>
        <v>49</v>
      </c>
      <c r="K21" s="2906">
        <f>IF(AND(OR(H21&gt;0,I21&gt;0),J21&lt;2000),COUNTIF($B$2:B21,B21),0)</f>
        <v>3</v>
      </c>
      <c r="L21" s="1300"/>
      <c r="M21" s="1375"/>
      <c r="O21" s="1375"/>
    </row>
    <row r="22" spans="1:15" s="1208" customFormat="1" ht="25.2" customHeight="1">
      <c r="A22" s="2897">
        <f>COUNTIF($K$1:K22,1)</f>
        <v>15</v>
      </c>
      <c r="B22" s="2898" t="str">
        <f>chitiet!B773</f>
        <v>T12</v>
      </c>
      <c r="C22" s="2899" t="str">
        <f>chitiet!C773</f>
        <v>x</v>
      </c>
      <c r="D22" s="2900">
        <f>chitiet!D773</f>
        <v>1</v>
      </c>
      <c r="E22" s="2901">
        <f>chitiet!E773</f>
        <v>0</v>
      </c>
      <c r="F22" s="2902" t="str">
        <f>chitiet!F773</f>
        <v>Trụ BTLT 12m F540 dự ứng lực</v>
      </c>
      <c r="G22" s="2903" t="str">
        <f>chitiet!G773</f>
        <v>trụ</v>
      </c>
      <c r="H22" s="2904">
        <f>chitiet!H773</f>
        <v>12</v>
      </c>
      <c r="I22" s="2904">
        <f>chitiet!P773</f>
        <v>12</v>
      </c>
      <c r="J22" s="2905">
        <f>IFERROR(VLOOKUP(B22,DG!A:F,6,0),3000)</f>
        <v>49</v>
      </c>
      <c r="K22" s="2906">
        <f>IF(AND(OR(H22&gt;0,I22&gt;0),J22&lt;2000),COUNTIF($B$2:B22,B22),0)</f>
        <v>1</v>
      </c>
      <c r="L22" s="1300"/>
      <c r="M22" s="1375"/>
      <c r="O22" s="1375"/>
    </row>
    <row r="23" spans="1:15" s="1208" customFormat="1" ht="25.2" customHeight="1">
      <c r="A23" s="2897">
        <f>COUNTIF($K$1:K23,1)</f>
        <v>16</v>
      </c>
      <c r="B23" s="2898" t="str">
        <f>chitiet!B1776</f>
        <v>AC50</v>
      </c>
      <c r="C23" s="2899" t="str">
        <f>chitiet!C1776</f>
        <v>x</v>
      </c>
      <c r="D23" s="2900">
        <f>chitiet!D1776</f>
        <v>0.19500000000000001</v>
      </c>
      <c r="E23" s="2901">
        <f>chitiet!E1776</f>
        <v>265.2</v>
      </c>
      <c r="F23" s="2902" t="str">
        <f>chitiet!F1776</f>
        <v>Cáp nhôm lõi thép AC-50/8</v>
      </c>
      <c r="G23" s="2903" t="str">
        <f>chitiet!G1776</f>
        <v>kg</v>
      </c>
      <c r="H23" s="2904">
        <f>chitiet!H1776</f>
        <v>51.713999999999999</v>
      </c>
      <c r="I23" s="2904">
        <f>chitiet!$P$1776</f>
        <v>51.713999999999999</v>
      </c>
      <c r="J23" s="2905">
        <f>IFERROR(VLOOKUP(B23,DG!A:F,6,0),3000)</f>
        <v>49</v>
      </c>
      <c r="K23" s="2906">
        <f>IF(AND(OR(H23&gt;0,I23&gt;0),J23&lt;2000),COUNTIF($B$2:B23,B23),0)</f>
        <v>1</v>
      </c>
      <c r="L23" s="1752"/>
      <c r="M23" s="1375"/>
      <c r="O23" s="1375"/>
    </row>
    <row r="24" spans="1:15" s="1208" customFormat="1" ht="25.2" customHeight="1">
      <c r="A24" s="2897">
        <f>COUNTIF($K$1:K24,1)</f>
        <v>17</v>
      </c>
      <c r="B24" s="2898" t="str">
        <f>CT_tram!B2379</f>
        <v>CHI40K</v>
      </c>
      <c r="C24" s="2899">
        <f>CT_tram!C2379</f>
        <v>3</v>
      </c>
      <c r="D24" s="2900">
        <f>CT_tram!D2379</f>
        <v>3</v>
      </c>
      <c r="E24" s="2901">
        <f>CT_tram!E2379</f>
        <v>0</v>
      </c>
      <c r="F24" s="2902" t="str">
        <f>CT_tram!F2379</f>
        <v>Dây chảy 40K</v>
      </c>
      <c r="G24" s="2903" t="str">
        <f>CT_tram!G2379</f>
        <v>Sợi</v>
      </c>
      <c r="H24" s="2904">
        <f>CT_tram!H2379</f>
        <v>3</v>
      </c>
      <c r="I24" s="2904">
        <f>CT_tram!I2379</f>
        <v>3</v>
      </c>
      <c r="J24" s="2905">
        <f>IFERROR(VLOOKUP(B24,DG!A:F,6,0),3000)</f>
        <v>50</v>
      </c>
      <c r="K24" s="2906">
        <f>IF(AND(OR(H24&gt;0,I24&gt;0),J24&lt;2000),COUNTIF($B$2:B24,B24),0)</f>
        <v>1</v>
      </c>
      <c r="L24" s="1300"/>
      <c r="M24" s="1375"/>
      <c r="O24" s="1375"/>
    </row>
    <row r="25" spans="1:15" s="1208" customFormat="1" ht="25.2" customHeight="1">
      <c r="A25" s="2897">
        <f>COUNTIF($K$1:K25,1)</f>
        <v>18</v>
      </c>
      <c r="B25" s="2898" t="str">
        <f>CT_tram!B2418</f>
        <v>COM110x800x5-2,4</v>
      </c>
      <c r="C25" s="2899">
        <f>CT_tram!C2418</f>
        <v>1</v>
      </c>
      <c r="D25" s="2900">
        <f>CT_tram!D2418</f>
        <v>0</v>
      </c>
      <c r="E25" s="2907">
        <f>CT_tram!E2418</f>
        <v>0</v>
      </c>
      <c r="F25" s="2898" t="str">
        <f>CT_tram!F2418</f>
        <v>Xà composite 110x800x5 dài 2,4m</v>
      </c>
      <c r="G25" s="2908" t="str">
        <f>CT_tram!G2418</f>
        <v>cái</v>
      </c>
      <c r="H25" s="2908">
        <f>CT_tram!H2418</f>
        <v>1</v>
      </c>
      <c r="I25" s="2908">
        <f>CT_tram!I2418</f>
        <v>1</v>
      </c>
      <c r="J25" s="2905">
        <f>IFERROR(VLOOKUP(B25,DG!A:F,6,0),3000)</f>
        <v>50</v>
      </c>
      <c r="K25" s="2906">
        <f>IF(AND(OR(H25&gt;0,I25&gt;0),J25&lt;2000),COUNTIF($B$2:B25,B25),0)</f>
        <v>1</v>
      </c>
      <c r="L25" s="1297"/>
      <c r="M25" s="1375"/>
      <c r="O25" s="1375"/>
    </row>
    <row r="26" spans="1:15" s="1208" customFormat="1" ht="25.2" customHeight="1">
      <c r="A26" s="2897">
        <f>COUNTIF($K$1:K26,1)</f>
        <v>19</v>
      </c>
      <c r="B26" s="2898" t="str">
        <f>CT_tram!B2419</f>
        <v>COM40X10X920</v>
      </c>
      <c r="C26" s="2899">
        <f>CT_tram!C2419</f>
        <v>1</v>
      </c>
      <c r="D26" s="2900">
        <f>CT_tram!D2419</f>
        <v>0</v>
      </c>
      <c r="E26" s="2907">
        <f>CT_tram!E2419</f>
        <v>0</v>
      </c>
      <c r="F26" s="2898" t="str">
        <f>CT_tram!F2419</f>
        <v>Chống composite 40x10x920</v>
      </c>
      <c r="G26" s="2908" t="str">
        <f>CT_tram!G2419</f>
        <v>cái</v>
      </c>
      <c r="H26" s="2908">
        <f>CT_tram!H2419</f>
        <v>1</v>
      </c>
      <c r="I26" s="2908">
        <f>CT_tram!I2419</f>
        <v>1</v>
      </c>
      <c r="J26" s="2905">
        <f>IFERROR(VLOOKUP(B26,DG!A:F,6,0),3000)</f>
        <v>50</v>
      </c>
      <c r="K26" s="2906">
        <f>IF(AND(OR(H26&gt;0,I26&gt;0),J26&lt;2000),COUNTIF($B$2:B26,B26),0)</f>
        <v>1</v>
      </c>
      <c r="L26" s="1297"/>
      <c r="M26" s="1375"/>
      <c r="O26" s="1375"/>
    </row>
    <row r="27" spans="1:15" s="1208" customFormat="1" ht="25.2" customHeight="1">
      <c r="A27" s="2897">
        <f>COUNTIF($K$1:K27,1)</f>
        <v>20</v>
      </c>
      <c r="B27" s="2912" t="str">
        <f>CT_tram!B2420</f>
        <v>B16250</v>
      </c>
      <c r="C27" s="2913">
        <f>CT_tram!C2420</f>
        <v>2</v>
      </c>
      <c r="D27" s="2914">
        <f>CT_tram!D2420</f>
        <v>0</v>
      </c>
      <c r="E27" s="2915">
        <f>CT_tram!E2420</f>
        <v>0</v>
      </c>
      <c r="F27" s="2916" t="str">
        <f>CT_tram!F2420</f>
        <v>Boulon 16x250+ 2 long đền vuông D18-50x50x3/Zn</v>
      </c>
      <c r="G27" s="2910" t="str">
        <f>CT_tram!G2420</f>
        <v>bộ</v>
      </c>
      <c r="H27" s="2911">
        <f>CT_tram!H2420</f>
        <v>2</v>
      </c>
      <c r="I27" s="2904">
        <f>CT_tram!I2420</f>
        <v>2</v>
      </c>
      <c r="J27" s="2905">
        <f>IFERROR(VLOOKUP(B27,DG!A:F,6,0),3000)</f>
        <v>50</v>
      </c>
      <c r="K27" s="2906">
        <f>IF(AND(OR(H27&gt;0,I27&gt;0),J27&lt;2000),COUNTIF($B$2:B27,B27),0)</f>
        <v>1</v>
      </c>
      <c r="L27" s="1300"/>
      <c r="M27" s="1375"/>
      <c r="O27" s="1375"/>
    </row>
    <row r="28" spans="1:15" s="1208" customFormat="1" ht="25.2" customHeight="1">
      <c r="A28" s="2897">
        <f>COUNTIF($K$1:K28,1)</f>
        <v>21</v>
      </c>
      <c r="B28" s="2898" t="str">
        <f>CT_tram!B2421</f>
        <v>B16350</v>
      </c>
      <c r="C28" s="2899">
        <f>CT_tram!C2421</f>
        <v>2</v>
      </c>
      <c r="D28" s="2900">
        <f>CT_tram!D2421</f>
        <v>0</v>
      </c>
      <c r="E28" s="2901">
        <f>CT_tram!E2421</f>
        <v>0</v>
      </c>
      <c r="F28" s="2902" t="str">
        <f>CT_tram!F2421</f>
        <v>Boulon 16x350+ 2 long đền vuông D18-50x50x3/Zn</v>
      </c>
      <c r="G28" s="2903" t="str">
        <f>CT_tram!G2421</f>
        <v>bộ</v>
      </c>
      <c r="H28" s="2904">
        <f>CT_tram!H2421</f>
        <v>2</v>
      </c>
      <c r="I28" s="2904">
        <f>CT_tram!I2421</f>
        <v>2</v>
      </c>
      <c r="J28" s="2905">
        <f>IFERROR(VLOOKUP(B28,DG!A:F,6,0),3000)</f>
        <v>50</v>
      </c>
      <c r="K28" s="2906">
        <f>IF(AND(OR(H28&gt;0,I28&gt;0),J28&lt;2000),COUNTIF($B$2:B28,B28),0)</f>
        <v>1</v>
      </c>
      <c r="L28" s="1300"/>
      <c r="M28" s="1375"/>
      <c r="O28" s="1375"/>
    </row>
    <row r="29" spans="1:15" s="1208" customFormat="1" ht="25.2" customHeight="1">
      <c r="A29" s="2897">
        <f>COUNTIF($K$1:K29,1)</f>
        <v>22</v>
      </c>
      <c r="B29" s="2917" t="str">
        <f>CT_tram!B2422</f>
        <v>BATLL</v>
      </c>
      <c r="C29" s="2918">
        <f>CT_tram!C2422</f>
        <v>3</v>
      </c>
      <c r="D29" s="2919">
        <f>CT_tram!D2422</f>
        <v>0</v>
      </c>
      <c r="E29" s="2920">
        <f>CT_tram!E2422</f>
        <v>0</v>
      </c>
      <c r="F29" s="2917" t="str">
        <f>CT_tram!F2422</f>
        <v>Bass LL bắt FCO, LA</v>
      </c>
      <c r="G29" s="2909" t="str">
        <f>CT_tram!G2422</f>
        <v>bộ</v>
      </c>
      <c r="H29" s="2909">
        <f>CT_tram!H2422</f>
        <v>3</v>
      </c>
      <c r="I29" s="2909">
        <f>CT_tram!I2422</f>
        <v>3</v>
      </c>
      <c r="J29" s="2905">
        <f>IFERROR(VLOOKUP(B29,DG!A:F,6,0),3000)</f>
        <v>50</v>
      </c>
      <c r="K29" s="2906">
        <f>IF(AND(OR(H29&gt;0,I29&gt;0),J29&lt;2000),COUNTIF($B$2:B29,B29),0)</f>
        <v>1</v>
      </c>
      <c r="L29" s="1297"/>
      <c r="M29" s="1375"/>
      <c r="O29" s="1375"/>
    </row>
    <row r="30" spans="1:15" s="1208" customFormat="1" ht="25.2" customHeight="1">
      <c r="A30" s="2897">
        <f>COUNTIF($K$1:K30,1)</f>
        <v>23</v>
      </c>
      <c r="B30" s="2912" t="str">
        <f>CT_tram!B2423</f>
        <v>BATLi</v>
      </c>
      <c r="C30" s="2913">
        <f>CT_tram!C2423</f>
        <v>3</v>
      </c>
      <c r="D30" s="2914">
        <f>CT_tram!D2423</f>
        <v>0</v>
      </c>
      <c r="E30" s="2915">
        <f>CT_tram!E2423</f>
        <v>0</v>
      </c>
      <c r="F30" s="2916" t="str">
        <f>CT_tram!F2423</f>
        <v>Bass LI bắt FCO</v>
      </c>
      <c r="G30" s="2910" t="str">
        <f>CT_tram!G2423</f>
        <v>Bộ</v>
      </c>
      <c r="H30" s="2911">
        <f>CT_tram!H2423</f>
        <v>3</v>
      </c>
      <c r="I30" s="2925">
        <f>CT_tram!I2423</f>
        <v>3</v>
      </c>
      <c r="J30" s="2905">
        <f>IFERROR(VLOOKUP(B30,DG!A:F,6,0),3000)</f>
        <v>50</v>
      </c>
      <c r="K30" s="2906">
        <f>IF(AND(OR(H30&gt;0,I30&gt;0),J30&lt;2000),COUNTIF($B$2:B30,B30),0)</f>
        <v>1</v>
      </c>
      <c r="L30" s="1300"/>
      <c r="M30" s="1375"/>
      <c r="O30" s="1375"/>
    </row>
    <row r="31" spans="1:15" s="1208" customFormat="1" ht="25.2" customHeight="1">
      <c r="A31" s="2897">
        <f>COUNTIF($K$1:K31,1)</f>
        <v>24</v>
      </c>
      <c r="B31" s="2898" t="str">
        <f>CT_tram!B2434</f>
        <v>sl75-2400</v>
      </c>
      <c r="C31" s="2899">
        <f>CT_tram!C2434</f>
        <v>2</v>
      </c>
      <c r="D31" s="2900">
        <f>CT_tram!D2434</f>
        <v>0</v>
      </c>
      <c r="E31" s="2901">
        <f>CT_tram!E2434</f>
        <v>0</v>
      </c>
      <c r="F31" s="2902" t="str">
        <f>CT_tram!F2434</f>
        <v>Sắt góc L75 x75 x8 x</v>
      </c>
      <c r="G31" s="2903" t="str">
        <f>CT_tram!G2434</f>
        <v>cái</v>
      </c>
      <c r="H31" s="2904">
        <f>CT_tram!H2434</f>
        <v>2</v>
      </c>
      <c r="I31" s="2904">
        <f>CT_tram!I2434</f>
        <v>2</v>
      </c>
      <c r="J31" s="2905">
        <f>IFERROR(VLOOKUP(B31,DG!A:F,6,0),3000)</f>
        <v>50</v>
      </c>
      <c r="K31" s="2906">
        <f>IF(AND(OR(H31&gt;0,I31&gt;0),J31&lt;2000),COUNTIF($B$2:B31,B31),0)</f>
        <v>1</v>
      </c>
      <c r="L31" s="1752"/>
      <c r="M31" s="1375"/>
      <c r="O31" s="1375"/>
    </row>
    <row r="32" spans="1:15" s="1208" customFormat="1" ht="25.2" customHeight="1">
      <c r="A32" s="2897">
        <f>COUNTIF($K$1:K32,1)</f>
        <v>25</v>
      </c>
      <c r="B32" s="2898" t="str">
        <f>CT_tram!B2435</f>
        <v>sl50-920</v>
      </c>
      <c r="C32" s="2899">
        <f>CT_tram!C2435</f>
        <v>2</v>
      </c>
      <c r="D32" s="2900">
        <f>CT_tram!D2435</f>
        <v>0</v>
      </c>
      <c r="E32" s="2901" t="str">
        <f>CT_tram!E2435</f>
        <v xml:space="preserve">      </v>
      </c>
      <c r="F32" s="2902" t="str">
        <f>CT_tram!F2435</f>
        <v>Sắt góc L50 x50 x5 x</v>
      </c>
      <c r="G32" s="2903" t="str">
        <f>CT_tram!G2435</f>
        <v>cái</v>
      </c>
      <c r="H32" s="2904">
        <f>CT_tram!H2435</f>
        <v>2</v>
      </c>
      <c r="I32" s="2904">
        <f>CT_tram!I2435</f>
        <v>2</v>
      </c>
      <c r="J32" s="2905">
        <f>IFERROR(VLOOKUP(B32,DG!A:F,6,0),3000)</f>
        <v>50</v>
      </c>
      <c r="K32" s="2906">
        <f>IF(AND(OR(H32&gt;0,I32&gt;0),J32&lt;2000),COUNTIF($B$2:B32,B32),0)</f>
        <v>1</v>
      </c>
      <c r="L32" s="1300"/>
      <c r="M32" s="1375"/>
      <c r="O32" s="1375"/>
    </row>
    <row r="33" spans="1:15" s="1208" customFormat="1" ht="25.2" customHeight="1">
      <c r="A33" s="2897">
        <f>COUNTIF($K$1:K33,1)</f>
        <v>26</v>
      </c>
      <c r="B33" s="2898" t="str">
        <f>CT_tram!B2436</f>
        <v>B16300</v>
      </c>
      <c r="C33" s="2899">
        <f>CT_tram!C2436</f>
        <v>4</v>
      </c>
      <c r="D33" s="2900">
        <f>CT_tram!D2436</f>
        <v>0</v>
      </c>
      <c r="E33" s="2907">
        <f>CT_tram!E2436</f>
        <v>0</v>
      </c>
      <c r="F33" s="2898" t="str">
        <f>CT_tram!F2436</f>
        <v>Boulon 16x300+ 2 long đền vuông D18-50x50x3/Zn</v>
      </c>
      <c r="G33" s="2908" t="str">
        <f>CT_tram!G2436</f>
        <v>bộ</v>
      </c>
      <c r="H33" s="2908">
        <f>CT_tram!H2436</f>
        <v>4</v>
      </c>
      <c r="I33" s="2908">
        <f>CT_tram!I2436</f>
        <v>4</v>
      </c>
      <c r="J33" s="2905">
        <f>IFERROR(VLOOKUP(B33,DG!A:F,6,0),3000)</f>
        <v>50</v>
      </c>
      <c r="K33" s="2906">
        <f>IF(AND(OR(H33&gt;0,I33&gt;0),J33&lt;2000),COUNTIF($B$2:B33,B33),0)</f>
        <v>1</v>
      </c>
      <c r="L33" s="1952"/>
      <c r="M33" s="1375"/>
      <c r="O33" s="1375"/>
    </row>
    <row r="34" spans="1:15" s="1208" customFormat="1" ht="25.2" customHeight="1">
      <c r="A34" s="2897">
        <f>COUNTIF($K$1:K34,1)</f>
        <v>27</v>
      </c>
      <c r="B34" s="2898" t="str">
        <f>CT_tram!B2437</f>
        <v>B1650</v>
      </c>
      <c r="C34" s="2899">
        <f>CT_tram!C2437</f>
        <v>8</v>
      </c>
      <c r="D34" s="2900">
        <f>CT_tram!D2437</f>
        <v>0</v>
      </c>
      <c r="E34" s="2907">
        <f>CT_tram!E2437</f>
        <v>0</v>
      </c>
      <c r="F34" s="2898" t="str">
        <f>CT_tram!F2437</f>
        <v>Boulon 16x50+ 2 long đền vuông D18-50x50x3/Zn</v>
      </c>
      <c r="G34" s="2908" t="str">
        <f>CT_tram!G2437</f>
        <v>bộ</v>
      </c>
      <c r="H34" s="2908">
        <f>CT_tram!H2437</f>
        <v>8</v>
      </c>
      <c r="I34" s="2908">
        <f>CT_tram!I2437</f>
        <v>8</v>
      </c>
      <c r="J34" s="2905">
        <f>IFERROR(VLOOKUP(B34,DG!A:F,6,0),3000)</f>
        <v>50</v>
      </c>
      <c r="K34" s="2906">
        <f>IF(AND(OR(H34&gt;0,I34&gt;0),J34&lt;2000),COUNTIF($B$2:B34,B34),0)</f>
        <v>1</v>
      </c>
      <c r="L34" s="1297"/>
      <c r="M34" s="1375"/>
      <c r="O34" s="1375"/>
    </row>
    <row r="35" spans="1:15" s="1208" customFormat="1" ht="25.2" customHeight="1">
      <c r="A35" s="2897">
        <f>COUNTIF($K$1:K35,1)</f>
        <v>28</v>
      </c>
      <c r="B35" s="2898" t="str">
        <f>CT_tram!B2438</f>
        <v>B16300V</v>
      </c>
      <c r="C35" s="2899">
        <f>CT_tram!C2438</f>
        <v>8</v>
      </c>
      <c r="D35" s="2900">
        <f>CT_tram!D2438</f>
        <v>0</v>
      </c>
      <c r="E35" s="2901">
        <f>CT_tram!E2438</f>
        <v>0</v>
      </c>
      <c r="F35" s="2902" t="str">
        <f>CT_tram!F2438</f>
        <v>Boulon 16x300VRS+ 4 long đền vuông D18-50x50x3/Zn</v>
      </c>
      <c r="G35" s="2903" t="str">
        <f>CT_tram!G2438</f>
        <v>bộ</v>
      </c>
      <c r="H35" s="2904">
        <f>CT_tram!H2438</f>
        <v>8</v>
      </c>
      <c r="I35" s="2904">
        <f>CT_tram!I2438</f>
        <v>8</v>
      </c>
      <c r="J35" s="2905">
        <f>IFERROR(VLOOKUP(B35,DG!A:F,6,0),3000)</f>
        <v>50</v>
      </c>
      <c r="K35" s="2906">
        <f>IF(AND(OR(H35&gt;0,I35&gt;0),J35&lt;2000),COUNTIF($B$2:B35,B35),0)</f>
        <v>1</v>
      </c>
      <c r="L35" s="1752"/>
      <c r="M35" s="1375"/>
      <c r="O35" s="1375"/>
    </row>
    <row r="36" spans="1:15" s="1208" customFormat="1" ht="25.2" customHeight="1">
      <c r="A36" s="2897">
        <f>COUNTIF($K$1:K36,1)</f>
        <v>29</v>
      </c>
      <c r="B36" s="2898" t="str">
        <f>CT_tram!B2454</f>
        <v>CTD+K</v>
      </c>
      <c r="C36" s="2899">
        <f>CT_tram!C2454</f>
        <v>10</v>
      </c>
      <c r="D36" s="2900">
        <f>CT_tram!D2454</f>
        <v>0</v>
      </c>
      <c r="E36" s="2901">
        <f>CT_tram!E2454</f>
        <v>0</v>
      </c>
      <c r="F36" s="2902" t="str">
        <f>CT_tram!F2454</f>
        <v>Cọc tiếp đất Þ 16- 2,4m + kẹp cọc mạ đồng</v>
      </c>
      <c r="G36" s="2903" t="str">
        <f>CT_tram!G2454</f>
        <v>bộ</v>
      </c>
      <c r="H36" s="2904">
        <f>CT_tram!H2454</f>
        <v>10</v>
      </c>
      <c r="I36" s="2904">
        <f>CT_tram!I2454</f>
        <v>10</v>
      </c>
      <c r="J36" s="2905">
        <f>IFERROR(VLOOKUP(B36,DG!A:F,6,0),3000)</f>
        <v>50</v>
      </c>
      <c r="K36" s="2906">
        <f>IF(AND(OR(H36&gt;0,I36&gt;0),J36&lt;2000),COUNTIF($B$2:B36,B36),0)</f>
        <v>1</v>
      </c>
      <c r="L36" s="1300"/>
      <c r="M36" s="1375"/>
      <c r="O36" s="1375"/>
    </row>
    <row r="37" spans="1:15" s="1208" customFormat="1" ht="25.2" customHeight="1">
      <c r="A37" s="2897">
        <f>COUNTIF($K$1:K37,1)</f>
        <v>30</v>
      </c>
      <c r="B37" s="2898" t="str">
        <f>CT_tram!B2456</f>
        <v>KE50</v>
      </c>
      <c r="C37" s="2899">
        <f>CT_tram!C2456</f>
        <v>2</v>
      </c>
      <c r="D37" s="2900">
        <f>CT_tram!D2456</f>
        <v>0</v>
      </c>
      <c r="E37" s="2901">
        <f>CT_tram!E2456</f>
        <v>0</v>
      </c>
      <c r="F37" s="2902" t="str">
        <f>CT_tram!F2456</f>
        <v>Kẹp ép WR cỡ dây 50mm2</v>
      </c>
      <c r="G37" s="2903" t="str">
        <f>CT_tram!G2456</f>
        <v>cái</v>
      </c>
      <c r="H37" s="2904">
        <f>CT_tram!H2456</f>
        <v>2</v>
      </c>
      <c r="I37" s="2904">
        <f>CT_tram!I2456</f>
        <v>2</v>
      </c>
      <c r="J37" s="2905">
        <f>IFERROR(VLOOKUP(B37,DG!A:F,6,0),3000)</f>
        <v>50</v>
      </c>
      <c r="K37" s="2906">
        <f>IF(AND(OR(H37&gt;0,I37&gt;0),J37&lt;2000),COUNTIF($B$2:B37,B37),0)</f>
        <v>1</v>
      </c>
      <c r="L37" s="1300"/>
      <c r="M37" s="1375"/>
      <c r="O37" s="1375"/>
    </row>
    <row r="38" spans="1:15" s="1208" customFormat="1" ht="25.2" customHeight="1">
      <c r="A38" s="2897">
        <f>COUNTIF($K$1:K38,1)</f>
        <v>31</v>
      </c>
      <c r="B38" s="2898" t="str">
        <f>CT_tram!B2458</f>
        <v>oxc25</v>
      </c>
      <c r="C38" s="2899">
        <f>CT_tram!C2458</f>
        <v>8</v>
      </c>
      <c r="D38" s="2900">
        <f>CT_tram!D2458</f>
        <v>0</v>
      </c>
      <c r="E38" s="2901" t="str">
        <f>CT_tram!E2458</f>
        <v>04.3107</v>
      </c>
      <c r="F38" s="2902" t="str">
        <f>CT_tram!F2458</f>
        <v>Ốc siết cáp cỡ 25mm2</v>
      </c>
      <c r="G38" s="2903" t="str">
        <f>CT_tram!G2458</f>
        <v>cái</v>
      </c>
      <c r="H38" s="2904">
        <f>CT_tram!H2458</f>
        <v>8</v>
      </c>
      <c r="I38" s="2904">
        <f>CT_tram!I2458</f>
        <v>8</v>
      </c>
      <c r="J38" s="2905">
        <f>IFERROR(VLOOKUP(B38,DG!A:F,6,0),3000)</f>
        <v>50</v>
      </c>
      <c r="K38" s="2906">
        <f>IF(AND(OR(H38&gt;0,I38&gt;0),J38&lt;2000),COUNTIF($B$2:B38,B38),0)</f>
        <v>1</v>
      </c>
      <c r="L38" s="1300"/>
      <c r="M38" s="1375"/>
      <c r="O38" s="1375"/>
    </row>
    <row r="39" spans="1:15" s="1208" customFormat="1" ht="25.2" customHeight="1">
      <c r="A39" s="2897">
        <f>COUNTIF($K$1:K39,1)</f>
        <v>32</v>
      </c>
      <c r="B39" s="2898" t="str">
        <f>CT_tram!B2476</f>
        <v>TUACB1600</v>
      </c>
      <c r="C39" s="2899">
        <f>CT_tram!C2476</f>
        <v>1</v>
      </c>
      <c r="D39" s="2900">
        <f>CT_tram!D2476</f>
        <v>0</v>
      </c>
      <c r="E39" s="2901" t="str">
        <f>CT_tram!E2476</f>
        <v>T5.1002</v>
      </c>
      <c r="F39" s="2902" t="str">
        <f>CT_tram!F2476</f>
        <v>Tủ ACB + thanh cái 1600A</v>
      </c>
      <c r="G39" s="2903" t="str">
        <f>CT_tram!G2476</f>
        <v>cái</v>
      </c>
      <c r="H39" s="2904">
        <f>CT_tram!H2476</f>
        <v>1</v>
      </c>
      <c r="I39" s="2904">
        <f>CT_tram!I2476</f>
        <v>1</v>
      </c>
      <c r="J39" s="2905">
        <f>IFERROR(VLOOKUP(B39,DG!A:F,6,0),3000)</f>
        <v>50</v>
      </c>
      <c r="K39" s="2906">
        <f>IF(AND(OR(H39&gt;0,I39&gt;0),J39&lt;2000),COUNTIF($B$2:B39,B39),0)</f>
        <v>1</v>
      </c>
      <c r="L39" s="1300"/>
      <c r="M39" s="1375"/>
      <c r="O39" s="1375"/>
    </row>
    <row r="40" spans="1:15" s="1208" customFormat="1" ht="25.2" customHeight="1">
      <c r="A40" s="2897">
        <f>COUNTIF($K$1:K40,1)</f>
        <v>33</v>
      </c>
      <c r="B40" s="2898" t="str">
        <f>CT_tram!B2478</f>
        <v>BAKE</v>
      </c>
      <c r="C40" s="2899">
        <f>CT_tram!C2478</f>
        <v>1</v>
      </c>
      <c r="D40" s="2900">
        <f>CT_tram!D2478</f>
        <v>0</v>
      </c>
      <c r="E40" s="2901">
        <f>CT_tram!E2478</f>
        <v>0</v>
      </c>
      <c r="F40" s="2902" t="str">
        <f>CT_tram!F2478</f>
        <v xml:space="preserve">Bakelit 550x450 dầy 10mm </v>
      </c>
      <c r="G40" s="2903" t="str">
        <f>CT_tram!G2478</f>
        <v>cái</v>
      </c>
      <c r="H40" s="2904">
        <f>CT_tram!H2478</f>
        <v>1</v>
      </c>
      <c r="I40" s="2904">
        <f>CT_tram!I2478</f>
        <v>1</v>
      </c>
      <c r="J40" s="2905">
        <f>IFERROR(VLOOKUP(B40,DG!A:F,6,0),3000)</f>
        <v>50</v>
      </c>
      <c r="K40" s="2906">
        <f>IF(AND(OR(H40&gt;0,I40&gt;0),J40&lt;2000),COUNTIF($B$2:B40,B40),0)</f>
        <v>1</v>
      </c>
      <c r="L40" s="1300"/>
      <c r="M40" s="1375"/>
      <c r="O40" s="1375"/>
    </row>
    <row r="41" spans="1:15" s="1208" customFormat="1" ht="25.2" customHeight="1">
      <c r="A41" s="2897">
        <f>COUNTIF($K$1:K41,1)</f>
        <v>34</v>
      </c>
      <c r="B41" s="2912" t="str">
        <f>CT_tram!B2479</f>
        <v>BANG</v>
      </c>
      <c r="C41" s="2913">
        <f>CT_tram!C2479</f>
        <v>1</v>
      </c>
      <c r="D41" s="2914">
        <f>CT_tram!D2479</f>
        <v>0</v>
      </c>
      <c r="E41" s="2915" t="str">
        <f>CT_tram!E2479</f>
        <v>06.3191</v>
      </c>
      <c r="F41" s="2916" t="str">
        <f>CT_tram!F2479</f>
        <v>Bảng tên trạm, bảng báo nguy hiểm + đinh vít</v>
      </c>
      <c r="G41" s="2910" t="str">
        <f>CT_tram!G2479</f>
        <v>bộ</v>
      </c>
      <c r="H41" s="2904">
        <f>CT_tram!H2479</f>
        <v>1</v>
      </c>
      <c r="I41" s="2904">
        <f>CT_tram!I2479</f>
        <v>1</v>
      </c>
      <c r="J41" s="2905">
        <f>IFERROR(VLOOKUP(B41,DG!A:F,6,0),3000)</f>
        <v>50</v>
      </c>
      <c r="K41" s="2906">
        <f>IF(AND(OR(H41&gt;0,I41&gt;0),J41&lt;2000),COUNTIF($B$2:B41,B41),0)</f>
        <v>1</v>
      </c>
      <c r="L41" s="1300"/>
      <c r="M41" s="1375"/>
      <c r="O41" s="1375"/>
    </row>
    <row r="42" spans="1:15" s="1208" customFormat="1" ht="25.2" customHeight="1">
      <c r="A42" s="2897">
        <f>COUNTIF($K$1:K42,1)</f>
        <v>35</v>
      </c>
      <c r="B42" s="2898" t="str">
        <f>CT_tram!B2515</f>
        <v>KQ4/0</v>
      </c>
      <c r="C42" s="2899">
        <f>CT_tram!C2515</f>
        <v>3</v>
      </c>
      <c r="D42" s="2900">
        <f>CT_tram!D2515</f>
        <v>0</v>
      </c>
      <c r="E42" s="2907" t="str">
        <f>CT_tram!E2515</f>
        <v>04.3007</v>
      </c>
      <c r="F42" s="2898" t="str">
        <f>CT_tram!F2515</f>
        <v>Kẹp quai 4/0</v>
      </c>
      <c r="G42" s="2908" t="str">
        <f>CT_tram!G2515</f>
        <v>cái</v>
      </c>
      <c r="H42" s="2908">
        <f>CT_tram!H2515</f>
        <v>3</v>
      </c>
      <c r="I42" s="2908">
        <f>CT_tram!I2515</f>
        <v>3</v>
      </c>
      <c r="J42" s="2905">
        <f>IFERROR(VLOOKUP(B42,DG!A:F,6,0),3000)</f>
        <v>50</v>
      </c>
      <c r="K42" s="2906">
        <f>IF(AND(OR(H42&gt;0,I42&gt;0),J42&lt;2000),COUNTIF($B$2:B42,B42),0)</f>
        <v>1</v>
      </c>
      <c r="L42" s="1297"/>
      <c r="M42" s="1375"/>
      <c r="O42" s="1375"/>
    </row>
    <row r="43" spans="1:15" s="1208" customFormat="1" ht="25.2" customHeight="1">
      <c r="A43" s="2897">
        <f>COUNTIF($K$1:K43,1)</f>
        <v>36</v>
      </c>
      <c r="B43" s="2898" t="str">
        <f>CT_tram!B2516</f>
        <v>KH4/0</v>
      </c>
      <c r="C43" s="2899">
        <f>CT_tram!C2516</f>
        <v>3</v>
      </c>
      <c r="D43" s="2900">
        <f>CT_tram!D2516</f>
        <v>0</v>
      </c>
      <c r="E43" s="2907" t="str">
        <f>CT_tram!E2516</f>
        <v>04.3007</v>
      </c>
      <c r="F43" s="2898" t="str">
        <f>CT_tram!F2516</f>
        <v xml:space="preserve">Kẹp hotline 4/0: </v>
      </c>
      <c r="G43" s="2908" t="str">
        <f>CT_tram!G2516</f>
        <v>cái</v>
      </c>
      <c r="H43" s="2908">
        <f>CT_tram!H2516</f>
        <v>3</v>
      </c>
      <c r="I43" s="2908">
        <f>CT_tram!I2516</f>
        <v>3</v>
      </c>
      <c r="J43" s="2905">
        <f>IFERROR(VLOOKUP(B43,DG!A:F,6,0),3000)</f>
        <v>50</v>
      </c>
      <c r="K43" s="2906">
        <f>IF(AND(OR(H43&gt;0,I43&gt;0),J43&lt;2000),COUNTIF($B$2:B43,B43),0)</f>
        <v>1</v>
      </c>
      <c r="L43" s="1297"/>
      <c r="M43" s="1375"/>
      <c r="O43" s="1375"/>
    </row>
    <row r="44" spans="1:15" s="1208" customFormat="1" ht="25.2" customHeight="1">
      <c r="A44" s="2897">
        <f>COUNTIF($K$1:K44,1)</f>
        <v>37</v>
      </c>
      <c r="B44" s="2898" t="str">
        <f>CT_tram!B2517</f>
        <v>chmba</v>
      </c>
      <c r="C44" s="2899">
        <f>CT_tram!C2517</f>
        <v>3</v>
      </c>
      <c r="D44" s="2900">
        <f>CT_tram!D2517</f>
        <v>0</v>
      </c>
      <c r="E44" s="2901">
        <f>CT_tram!E2517</f>
        <v>0</v>
      </c>
      <c r="F44" s="2902" t="str">
        <f>CT_tram!F2517</f>
        <v>Chụp đầu MBA</v>
      </c>
      <c r="G44" s="2903" t="str">
        <f>CT_tram!G2517</f>
        <v>cái</v>
      </c>
      <c r="H44" s="2904">
        <f>CT_tram!H2517</f>
        <v>3</v>
      </c>
      <c r="I44" s="2904">
        <f>CT_tram!I2517</f>
        <v>3</v>
      </c>
      <c r="J44" s="2905">
        <f>IFERROR(VLOOKUP(B44,DG!A:F,6,0),3000)</f>
        <v>50</v>
      </c>
      <c r="K44" s="2906">
        <f>IF(AND(OR(H44&gt;0,I44&gt;0),J44&lt;2000),COUNTIF($B$2:B44,B44),0)</f>
        <v>1</v>
      </c>
      <c r="L44" s="1300"/>
      <c r="M44" s="1375"/>
      <c r="O44" s="1375"/>
    </row>
    <row r="45" spans="1:15" s="1208" customFormat="1" ht="25.2" customHeight="1">
      <c r="A45" s="2897">
        <f>COUNTIF($K$1:K45,1)</f>
        <v>38</v>
      </c>
      <c r="B45" s="2898" t="str">
        <f>CT_tram!B2518</f>
        <v>chla</v>
      </c>
      <c r="C45" s="2899">
        <f>CT_tram!C2518</f>
        <v>6</v>
      </c>
      <c r="D45" s="2900">
        <f>CT_tram!D2518</f>
        <v>0</v>
      </c>
      <c r="E45" s="2907">
        <f>CT_tram!E2518</f>
        <v>0</v>
      </c>
      <c r="F45" s="2898" t="str">
        <f>CT_tram!F2518</f>
        <v>Chụp đầu cực LA</v>
      </c>
      <c r="G45" s="2908" t="str">
        <f>CT_tram!G2518</f>
        <v>cái</v>
      </c>
      <c r="H45" s="2908">
        <f>CT_tram!H2518</f>
        <v>6</v>
      </c>
      <c r="I45" s="2908">
        <f>CT_tram!I2518</f>
        <v>6</v>
      </c>
      <c r="J45" s="2905">
        <f>IFERROR(VLOOKUP(B45,DG!A:F,6,0),3000)</f>
        <v>50</v>
      </c>
      <c r="K45" s="2906">
        <f>IF(AND(OR(H45&gt;0,I45&gt;0),J45&lt;2000),COUNTIF($B$2:B45,B45),0)</f>
        <v>1</v>
      </c>
      <c r="L45" s="1297"/>
      <c r="M45" s="1375"/>
      <c r="O45" s="1375"/>
    </row>
    <row r="46" spans="1:15" s="1208" customFormat="1" ht="25.2" customHeight="1">
      <c r="A46" s="2897">
        <f>COUNTIF($K$1:K46,1)</f>
        <v>39</v>
      </c>
      <c r="B46" s="2898" t="str">
        <f>CT_tram!B2519</f>
        <v>chfco</v>
      </c>
      <c r="C46" s="2899">
        <f>CT_tram!C2519</f>
        <v>3</v>
      </c>
      <c r="D46" s="2900">
        <f>CT_tram!D2519</f>
        <v>0</v>
      </c>
      <c r="E46" s="2901">
        <f>CT_tram!E2519</f>
        <v>0</v>
      </c>
      <c r="F46" s="2902" t="str">
        <f>CT_tram!F2519</f>
        <v>Chụp đầu cực FCO (bộ 2 cái)</v>
      </c>
      <c r="G46" s="2921" t="str">
        <f>CT_tram!G2519</f>
        <v>bộ</v>
      </c>
      <c r="H46" s="2922">
        <f>CT_tram!H2519</f>
        <v>3</v>
      </c>
      <c r="I46" s="2922">
        <f>CT_tram!I2519</f>
        <v>3</v>
      </c>
      <c r="J46" s="2905">
        <f>IFERROR(VLOOKUP(B46,DG!A:F,6,0),3000)</f>
        <v>50</v>
      </c>
      <c r="K46" s="2906">
        <f>IF(AND(OR(H46&gt;0,I46&gt;0),J46&lt;2000),COUNTIF($B$2:B46,B46),0)</f>
        <v>1</v>
      </c>
      <c r="L46" s="1300"/>
      <c r="M46" s="1753"/>
      <c r="N46" s="1754"/>
      <c r="O46" s="1753"/>
    </row>
    <row r="47" spans="1:15" s="1208" customFormat="1" ht="25.2" customHeight="1">
      <c r="A47" s="2897">
        <f>COUNTIF($K$1:K47,1)</f>
        <v>40</v>
      </c>
      <c r="B47" s="2898" t="str">
        <f>CT_tram!B2520</f>
        <v>chupTuTi</v>
      </c>
      <c r="C47" s="2899">
        <f>CT_tram!C2520</f>
        <v>9</v>
      </c>
      <c r="D47" s="2900">
        <f>CT_tram!D2520</f>
        <v>0</v>
      </c>
      <c r="E47" s="2901">
        <f>CT_tram!E2520</f>
        <v>0</v>
      </c>
      <c r="F47" s="2902" t="str">
        <f>CT_tram!F2520</f>
        <v>Chụp đầu cực TI, TU</v>
      </c>
      <c r="G47" s="2903" t="str">
        <f>CT_tram!G2520</f>
        <v>Cái</v>
      </c>
      <c r="H47" s="2904">
        <f>CT_tram!H2520</f>
        <v>9</v>
      </c>
      <c r="I47" s="2904">
        <f>CT_tram!I2520</f>
        <v>9</v>
      </c>
      <c r="J47" s="2905">
        <f>IFERROR(VLOOKUP(B47,DG!A:F,6,0),3000)</f>
        <v>50</v>
      </c>
      <c r="K47" s="2906">
        <f>IF(AND(OR(H47&gt;0,I47&gt;0),J47&lt;2000),COUNTIF($B$2:B47,B47),0)</f>
        <v>1</v>
      </c>
      <c r="L47" s="1300"/>
      <c r="M47" s="1375"/>
      <c r="O47" s="1375"/>
    </row>
    <row r="48" spans="1:15" s="1208" customFormat="1" ht="25.2" customHeight="1">
      <c r="A48" s="2897">
        <f>COUNTIF($K$1:K48,1)</f>
        <v>41</v>
      </c>
      <c r="B48" s="2898" t="str">
        <f>CT_tram!B2522</f>
        <v>CSD</v>
      </c>
      <c r="C48" s="2899">
        <f>CT_tram!C2522</f>
        <v>6</v>
      </c>
      <c r="D48" s="2900">
        <f>CT_tram!D2522</f>
        <v>0</v>
      </c>
      <c r="E48" s="2901">
        <f>CT_tram!E2522</f>
        <v>0</v>
      </c>
      <c r="F48" s="2902" t="str">
        <f>CT_tram!F2522</f>
        <v>Chân sứ đứng D20</v>
      </c>
      <c r="G48" s="2903" t="str">
        <f>CT_tram!G2522</f>
        <v>cái</v>
      </c>
      <c r="H48" s="2904">
        <f>CT_tram!H2522</f>
        <v>6</v>
      </c>
      <c r="I48" s="2904">
        <f>CT_tram!I2522</f>
        <v>6</v>
      </c>
      <c r="J48" s="2905">
        <f>IFERROR(VLOOKUP(B48,DG!A:F,6,0),3000)</f>
        <v>50</v>
      </c>
      <c r="K48" s="2906">
        <f>IF(AND(OR(H48&gt;0,I48&gt;0),J48&lt;2000),COUNTIF($B$2:B48,B48),0)</f>
        <v>1</v>
      </c>
      <c r="L48" s="1300"/>
      <c r="M48" s="1375"/>
      <c r="O48" s="1375"/>
    </row>
    <row r="49" spans="1:15" s="1208" customFormat="1" ht="25.2" customHeight="1">
      <c r="A49" s="2897">
        <f>COUNTIF($K$1:K49,1)</f>
        <v>42</v>
      </c>
      <c r="B49" s="2898" t="str">
        <f>CT_tram!B2524</f>
        <v>ttf-50</v>
      </c>
      <c r="C49" s="2899">
        <f>CT_tram!C2524</f>
        <v>6</v>
      </c>
      <c r="D49" s="2900">
        <f>CT_tram!D2524</f>
        <v>0</v>
      </c>
      <c r="E49" s="2901">
        <f>CT_tram!E2524</f>
        <v>0</v>
      </c>
      <c r="F49" s="2902" t="str">
        <f>CT_tram!F2524</f>
        <v>Dây buộc đầu sứ cỡ dây 50mm2</v>
      </c>
      <c r="G49" s="2921" t="str">
        <f>CT_tram!G2524</f>
        <v>cái</v>
      </c>
      <c r="H49" s="2922">
        <f>CT_tram!H2524</f>
        <v>6</v>
      </c>
      <c r="I49" s="2922">
        <f>CT_tram!I2524</f>
        <v>6</v>
      </c>
      <c r="J49" s="2905">
        <f>IFERROR(VLOOKUP(B49,DG!A:F,6,0),3000)</f>
        <v>50</v>
      </c>
      <c r="K49" s="2906">
        <f>IF(AND(OR(H49&gt;0,I49&gt;0),J49&lt;2000),COUNTIF($B$2:B49,B49),0)</f>
        <v>1</v>
      </c>
      <c r="L49" s="1300"/>
      <c r="M49" s="1375"/>
      <c r="O49" s="1375"/>
    </row>
    <row r="50" spans="1:15" s="1208" customFormat="1" ht="25.2" customHeight="1">
      <c r="A50" s="2897">
        <f>COUNTIF($K$1:K50,1)</f>
        <v>43</v>
      </c>
      <c r="B50" s="2898" t="str">
        <f>CT_tram!B2534</f>
        <v>COS240</v>
      </c>
      <c r="C50" s="2899">
        <f>CT_tram!C2534</f>
        <v>28</v>
      </c>
      <c r="D50" s="2900">
        <f>CT_tram!D2534</f>
        <v>0</v>
      </c>
      <c r="E50" s="2901" t="str">
        <f>CT_tram!E2534</f>
        <v>03.4008</v>
      </c>
      <c r="F50" s="2902" t="str">
        <f>CT_tram!F2534</f>
        <v>Đầu cosse ép Cu 240mm2</v>
      </c>
      <c r="G50" s="2903" t="str">
        <f>CT_tram!G2534</f>
        <v>cái</v>
      </c>
      <c r="H50" s="2904">
        <f>CT_tram!H2534</f>
        <v>28</v>
      </c>
      <c r="I50" s="2904">
        <f>CT_tram!I2534</f>
        <v>28</v>
      </c>
      <c r="J50" s="2905">
        <f>IFERROR(VLOOKUP(B50,DG!A:F,6,0),3000)</f>
        <v>50</v>
      </c>
      <c r="K50" s="2906">
        <f>IF(AND(OR(H50&gt;0,I50&gt;0),J50&lt;2000),COUNTIF($B$2:B50,B50),0)</f>
        <v>1</v>
      </c>
      <c r="L50" s="1300"/>
      <c r="M50" s="1375"/>
      <c r="O50" s="1375"/>
    </row>
    <row r="51" spans="1:15" s="1208" customFormat="1" ht="25.2" customHeight="1">
      <c r="A51" s="2897">
        <f>COUNTIF($K$1:K51,1)</f>
        <v>44</v>
      </c>
      <c r="B51" s="2912" t="str">
        <f>CT_tram!B2535</f>
        <v>CHCOS240</v>
      </c>
      <c r="C51" s="2913">
        <f>CT_tram!C2535</f>
        <v>28</v>
      </c>
      <c r="D51" s="2914">
        <f>CT_tram!D2535</f>
        <v>0</v>
      </c>
      <c r="E51" s="2926">
        <f>CT_tram!E2535</f>
        <v>0</v>
      </c>
      <c r="F51" s="2912" t="str">
        <f>CT_tram!F2535</f>
        <v>Chụp đầu cosse  240mm2</v>
      </c>
      <c r="G51" s="2927" t="str">
        <f>CT_tram!G2535</f>
        <v>cái</v>
      </c>
      <c r="H51" s="2927">
        <f>CT_tram!H2535</f>
        <v>28</v>
      </c>
      <c r="I51" s="2908">
        <f>CT_tram!I2535</f>
        <v>28</v>
      </c>
      <c r="J51" s="2905">
        <f>IFERROR(VLOOKUP(B51,DG!A:F,6,0),3000)</f>
        <v>50</v>
      </c>
      <c r="K51" s="2906">
        <f>IF(AND(OR(H51&gt;0,I51&gt;0),J51&lt;2000),COUNTIF($B$2:B51,B51),0)</f>
        <v>1</v>
      </c>
      <c r="L51" s="1297"/>
      <c r="M51" s="1375"/>
      <c r="O51" s="1375"/>
    </row>
    <row r="52" spans="1:15" s="1208" customFormat="1" ht="25.2" customHeight="1">
      <c r="A52" s="2897">
        <f>COUNTIF($K$1:K52,1)</f>
        <v>45</v>
      </c>
      <c r="B52" s="2898" t="str">
        <f>CT_tram!B2540</f>
        <v>PVC114</v>
      </c>
      <c r="C52" s="2899">
        <f>CT_tram!C2540</f>
        <v>8</v>
      </c>
      <c r="D52" s="2900">
        <f>CT_tram!D2540</f>
        <v>0</v>
      </c>
      <c r="E52" s="2901">
        <f>CT_tram!E2540</f>
        <v>0</v>
      </c>
      <c r="F52" s="2902" t="str">
        <f>CT_tram!F2540</f>
        <v xml:space="preserve">Ống PVC D114x4,9mm </v>
      </c>
      <c r="G52" s="2910" t="str">
        <f>CT_tram!G2540</f>
        <v>m</v>
      </c>
      <c r="H52" s="2911">
        <f>CT_tram!H2540</f>
        <v>8</v>
      </c>
      <c r="I52" s="2904">
        <f>CT_tram!I2540</f>
        <v>8</v>
      </c>
      <c r="J52" s="2905">
        <f>IFERROR(VLOOKUP(B52,DG!A:F,6,0),3000)</f>
        <v>50</v>
      </c>
      <c r="K52" s="2906">
        <f>IF(AND(OR(H52&gt;0,I52&gt;0),J52&lt;2000),COUNTIF($B$2:B52,B52),0)</f>
        <v>1</v>
      </c>
      <c r="L52" s="1300"/>
      <c r="M52" s="1375"/>
      <c r="O52" s="1375"/>
    </row>
    <row r="53" spans="1:15" s="1208" customFormat="1" ht="25.2" customHeight="1">
      <c r="A53" s="2897">
        <f>COUNTIF($K$1:K53,1)</f>
        <v>46</v>
      </c>
      <c r="B53" s="2898" t="str">
        <f>CT_tram!B2546</f>
        <v>keobit</v>
      </c>
      <c r="C53" s="2899">
        <f>CT_tram!C2546</f>
        <v>3</v>
      </c>
      <c r="D53" s="2900">
        <f>CT_tram!D2546</f>
        <v>0</v>
      </c>
      <c r="E53" s="2901">
        <f>CT_tram!E2546</f>
        <v>0</v>
      </c>
      <c r="F53" s="2902" t="str">
        <f>CT_tram!F2546</f>
        <v>Keo silicon bít miệng ống:</v>
      </c>
      <c r="G53" s="2903" t="str">
        <f>CT_tram!G2546</f>
        <v>ống</v>
      </c>
      <c r="H53" s="2904">
        <f>CT_tram!H2546</f>
        <v>3</v>
      </c>
      <c r="I53" s="2904">
        <f>CT_tram!I2546</f>
        <v>3</v>
      </c>
      <c r="J53" s="2905">
        <f>IFERROR(VLOOKUP(B53,DG!A:F,6,0),3000)</f>
        <v>50</v>
      </c>
      <c r="K53" s="2906">
        <f>IF(AND(OR(H53&gt;0,I53&gt;0),J53&lt;2000),COUNTIF($B$2:B53,B53),0)</f>
        <v>1</v>
      </c>
      <c r="L53" s="1300"/>
      <c r="M53" s="1753"/>
      <c r="N53" s="1754"/>
      <c r="O53" s="1753"/>
    </row>
    <row r="54" spans="1:15" s="1208" customFormat="1" ht="25.2" customHeight="1">
      <c r="A54" s="2897">
        <f>COUNTIF($K$1:K54,1)</f>
        <v>47</v>
      </c>
      <c r="B54" s="2898" t="str">
        <f>CT_tram!B2547</f>
        <v>drc</v>
      </c>
      <c r="C54" s="2899">
        <f>CT_tram!C2547</f>
        <v>3</v>
      </c>
      <c r="D54" s="2900">
        <f>CT_tram!D2547</f>
        <v>0</v>
      </c>
      <c r="E54" s="2901">
        <f>CT_tram!E2547</f>
        <v>0</v>
      </c>
      <c r="F54" s="2902" t="str">
        <f>CT_tram!F2547</f>
        <v>Dây rút cáp</v>
      </c>
      <c r="G54" s="2903" t="str">
        <f>CT_tram!G2547</f>
        <v>bọc</v>
      </c>
      <c r="H54" s="2904">
        <f>CT_tram!H2547</f>
        <v>3</v>
      </c>
      <c r="I54" s="2904">
        <f>CT_tram!I2547</f>
        <v>3</v>
      </c>
      <c r="J54" s="2905">
        <f>IFERROR(VLOOKUP(B54,DG!A:F,6,0),3000)</f>
        <v>50</v>
      </c>
      <c r="K54" s="2906">
        <f>IF(AND(OR(H54&gt;0,I54&gt;0),J54&lt;2000),COUNTIF($B$2:B54,B54),0)</f>
        <v>1</v>
      </c>
      <c r="L54" s="1300"/>
      <c r="M54" s="1375"/>
      <c r="O54" s="1375"/>
    </row>
    <row r="55" spans="1:15" s="1208" customFormat="1" ht="25.2" customHeight="1">
      <c r="A55" s="2897">
        <f>COUNTIF($K$1:K55,1)</f>
        <v>48</v>
      </c>
      <c r="B55" s="2898" t="str">
        <f>CT_tram!B2548</f>
        <v>BANGKEO</v>
      </c>
      <c r="C55" s="2899">
        <f>CT_tram!C2548</f>
        <v>1</v>
      </c>
      <c r="D55" s="2900">
        <f>CT_tram!D2548</f>
        <v>0</v>
      </c>
      <c r="E55" s="2901">
        <f>CT_tram!E2548</f>
        <v>0</v>
      </c>
      <c r="F55" s="2902" t="str">
        <f>CT_tram!F2548</f>
        <v>Băng keo cách điện</v>
      </c>
      <c r="G55" s="2903" t="str">
        <f>CT_tram!G2548</f>
        <v>cuộn</v>
      </c>
      <c r="H55" s="2904">
        <f>CT_tram!H2548</f>
        <v>1</v>
      </c>
      <c r="I55" s="2904">
        <f>CT_tram!I2548</f>
        <v>1</v>
      </c>
      <c r="J55" s="2905">
        <f>IFERROR(VLOOKUP(B55,DG!A:F,6,0),3000)</f>
        <v>50</v>
      </c>
      <c r="K55" s="2906">
        <f>IF(AND(OR(H55&gt;0,I55&gt;0),J55&lt;2000),COUNTIF($B$2:B55,B55),0)</f>
        <v>1</v>
      </c>
      <c r="L55" s="1300"/>
      <c r="M55" s="1375"/>
      <c r="O55" s="1375"/>
    </row>
    <row r="56" spans="1:15" s="1208" customFormat="1" ht="25.2" customHeight="1">
      <c r="A56" s="2897">
        <f>COUNTIF($K$1:K56,1)</f>
        <v>49</v>
      </c>
      <c r="B56" s="2898" t="str">
        <f>CT_tram!B2553</f>
        <v>SO10</v>
      </c>
      <c r="C56" s="2899">
        <f>CT_tram!C2553</f>
        <v>1.1399999999999999</v>
      </c>
      <c r="D56" s="2900">
        <f>CT_tram!D2553</f>
        <v>0</v>
      </c>
      <c r="E56" s="2901">
        <f>CT_tram!E2553</f>
        <v>0</v>
      </c>
      <c r="F56" s="2902" t="str">
        <f>CT_tram!F2553</f>
        <v>Sắt Ø10</v>
      </c>
      <c r="G56" s="2903" t="str">
        <f>CT_tram!G2553</f>
        <v>kg</v>
      </c>
      <c r="H56" s="2904">
        <f>CT_tram!H2553</f>
        <v>1.1399999999999999</v>
      </c>
      <c r="I56" s="2904">
        <f>CT_tram!I2553</f>
        <v>1.1399999999999999</v>
      </c>
      <c r="J56" s="2905">
        <f>IFERROR(VLOOKUP(B56,DG!A:F,6,0),3000)</f>
        <v>50</v>
      </c>
      <c r="K56" s="2906">
        <f>IF(AND(OR(H56&gt;0,I56&gt;0),J56&lt;2000),COUNTIF($B$2:B56,B56),0)</f>
        <v>1</v>
      </c>
      <c r="L56" s="1300"/>
      <c r="M56" s="1375"/>
      <c r="O56" s="1375"/>
    </row>
    <row r="57" spans="1:15" s="1208" customFormat="1" ht="25.2" customHeight="1">
      <c r="A57" s="2897">
        <f>COUNTIF($K$1:K57,1)</f>
        <v>50</v>
      </c>
      <c r="B57" s="2898" t="str">
        <f>CT_tram!B2563</f>
        <v>stk76</v>
      </c>
      <c r="C57" s="2899">
        <f>CT_tram!C2563</f>
        <v>18</v>
      </c>
      <c r="D57" s="2900">
        <f>CT_tram!D2563</f>
        <v>0</v>
      </c>
      <c r="E57" s="2907" t="str">
        <f>CT_tram!E2563</f>
        <v>D4.1204</v>
      </c>
      <c r="F57" s="2898" t="str">
        <f>CT_tram!F2563</f>
        <v>Ông sắt tráng kẽm D76</v>
      </c>
      <c r="G57" s="2908" t="str">
        <f>CT_tram!G2563</f>
        <v>mét</v>
      </c>
      <c r="H57" s="2908">
        <f>CT_tram!H2563</f>
        <v>18</v>
      </c>
      <c r="I57" s="2908">
        <f>CT_tram!I2563</f>
        <v>18</v>
      </c>
      <c r="J57" s="2905">
        <f>IFERROR(VLOOKUP(B57,DG!A:F,6,0),3000)</f>
        <v>50</v>
      </c>
      <c r="K57" s="2906">
        <f>IF(AND(OR(H57&gt;0,I57&gt;0),J57&lt;2000),COUNTIF($B$2:B57,B57),0)</f>
        <v>1</v>
      </c>
      <c r="L57" s="1297"/>
      <c r="M57" s="1375"/>
      <c r="O57" s="1375"/>
    </row>
    <row r="58" spans="1:15" s="1208" customFormat="1" ht="25.2" customHeight="1">
      <c r="A58" s="2897">
        <f>COUNTIF($K$1:K58,1)</f>
        <v>51</v>
      </c>
      <c r="B58" s="2898" t="str">
        <f>CT_tram!B2565</f>
        <v>SATV5</v>
      </c>
      <c r="C58" s="2899">
        <f>CT_tram!C2565</f>
        <v>128</v>
      </c>
      <c r="D58" s="2900">
        <f>CT_tram!D2565</f>
        <v>0</v>
      </c>
      <c r="E58" s="2901">
        <f>CT_tram!E2565</f>
        <v>0</v>
      </c>
      <c r="F58" s="2902" t="str">
        <f>CT_tram!F2565</f>
        <v>Thanh sắt V50x50x5-4000 - 16kg/thanh</v>
      </c>
      <c r="G58" s="2903" t="str">
        <f>CT_tram!G2565</f>
        <v>kg</v>
      </c>
      <c r="H58" s="2904">
        <f>CT_tram!H2565</f>
        <v>128</v>
      </c>
      <c r="I58" s="2904">
        <f>CT_tram!I2565</f>
        <v>128</v>
      </c>
      <c r="J58" s="2905">
        <f>IFERROR(VLOOKUP(B58,DG!A:F,6,0),3000)</f>
        <v>50</v>
      </c>
      <c r="K58" s="2906">
        <f>IF(AND(OR(H58&gt;0,I58&gt;0),J58&lt;2000),COUNTIF($B$2:B58,B58),0)</f>
        <v>1</v>
      </c>
      <c r="L58" s="1300"/>
      <c r="M58" s="1375"/>
      <c r="O58" s="1375"/>
    </row>
    <row r="59" spans="1:15" s="1208" customFormat="1" ht="25.2" customHeight="1">
      <c r="A59" s="2897">
        <f>COUNTIF($K$1:K59,1)</f>
        <v>52</v>
      </c>
      <c r="B59" s="2898" t="str">
        <f>CT_tram!B2566</f>
        <v>SATV4</v>
      </c>
      <c r="C59" s="2899">
        <f>CT_tram!C2566</f>
        <v>47.2</v>
      </c>
      <c r="D59" s="2900">
        <f>CT_tram!D2566</f>
        <v>0</v>
      </c>
      <c r="E59" s="2901">
        <f>CT_tram!E2566</f>
        <v>0</v>
      </c>
      <c r="F59" s="2902" t="str">
        <f>CT_tram!F2566</f>
        <v>Thanh sắt V40x40x3-6000 - 17,7kg/thanh</v>
      </c>
      <c r="G59" s="2903" t="str">
        <f>CT_tram!G2566</f>
        <v>kg</v>
      </c>
      <c r="H59" s="2904">
        <f>CT_tram!H2566</f>
        <v>47.2</v>
      </c>
      <c r="I59" s="2904">
        <f>CT_tram!I2566</f>
        <v>47.2</v>
      </c>
      <c r="J59" s="2905">
        <f>IFERROR(VLOOKUP(B59,DG!A:F,6,0),3000)</f>
        <v>50</v>
      </c>
      <c r="K59" s="2906">
        <f>IF(AND(OR(H59&gt;0,I59&gt;0),J59&lt;2000),COUNTIF($B$2:B59,B59),0)</f>
        <v>1</v>
      </c>
      <c r="L59" s="1300"/>
      <c r="M59" s="1375"/>
      <c r="O59" s="1375"/>
    </row>
    <row r="60" spans="1:15" s="1208" customFormat="1" ht="25.2" customHeight="1">
      <c r="A60" s="2897">
        <f>COUNTIF($K$1:K60,1)</f>
        <v>53</v>
      </c>
      <c r="B60" s="2898" t="str">
        <f>CT_tram!B2567</f>
        <v>S60</v>
      </c>
      <c r="C60" s="2899">
        <f>CT_tram!C2567</f>
        <v>3</v>
      </c>
      <c r="D60" s="2900">
        <f>CT_tram!D2567</f>
        <v>0</v>
      </c>
      <c r="E60" s="2901">
        <f>CT_tram!E2567</f>
        <v>0</v>
      </c>
      <c r="F60" s="2902" t="str">
        <f>CT_tram!F2567</f>
        <v>Sắt dẹt 60 x 6</v>
      </c>
      <c r="G60" s="2903" t="str">
        <f>CT_tram!G2567</f>
        <v>kg</v>
      </c>
      <c r="H60" s="2904">
        <f>CT_tram!H2567</f>
        <v>3</v>
      </c>
      <c r="I60" s="2904">
        <f>CT_tram!I2567</f>
        <v>3</v>
      </c>
      <c r="J60" s="2905">
        <f>IFERROR(VLOOKUP(B60,DG!A:F,6,0),3000)</f>
        <v>50</v>
      </c>
      <c r="K60" s="2906">
        <f>IF(AND(OR(H60&gt;0,I60&gt;0),J60&lt;2000),COUNTIF($B$2:B60,B60),0)</f>
        <v>1</v>
      </c>
      <c r="L60" s="1300"/>
      <c r="M60" s="1375"/>
      <c r="O60" s="1375"/>
    </row>
    <row r="61" spans="1:15" s="1208" customFormat="1" ht="25.2" customHeight="1">
      <c r="A61" s="2897">
        <f>COUNTIF($K$1:K61,1)</f>
        <v>54</v>
      </c>
      <c r="B61" s="2898" t="str">
        <f>CT_tram!B2568</f>
        <v>b40</v>
      </c>
      <c r="C61" s="2899">
        <f>CT_tram!C2568</f>
        <v>14.2</v>
      </c>
      <c r="D61" s="2900">
        <f>CT_tram!D2568</f>
        <v>0</v>
      </c>
      <c r="E61" s="2901">
        <f>CT_tram!E2568</f>
        <v>0</v>
      </c>
      <c r="F61" s="2902" t="str">
        <f>CT_tram!F2568</f>
        <v>Lưới B40 - 1800-3/Zn</v>
      </c>
      <c r="G61" s="2903" t="str">
        <f>CT_tram!G2568</f>
        <v>mét</v>
      </c>
      <c r="H61" s="2904">
        <f>CT_tram!H2568</f>
        <v>14.2</v>
      </c>
      <c r="I61" s="2904">
        <f>CT_tram!I2568</f>
        <v>14.2</v>
      </c>
      <c r="J61" s="2905">
        <f>IFERROR(VLOOKUP(B61,DG!A:F,6,0),3000)</f>
        <v>50</v>
      </c>
      <c r="K61" s="2906">
        <f>IF(AND(OR(H61&gt;0,I61&gt;0),J61&lt;2000),COUNTIF($B$2:B61,B61),0)</f>
        <v>1</v>
      </c>
      <c r="L61" s="1300"/>
      <c r="M61" s="1375"/>
      <c r="O61" s="1375"/>
    </row>
    <row r="62" spans="1:15" s="1208" customFormat="1" ht="25.2" customHeight="1">
      <c r="A62" s="2897">
        <f>COUNTIF($K$1:K62,1)</f>
        <v>55</v>
      </c>
      <c r="B62" s="2898" t="str">
        <f>CT_tram!B2569</f>
        <v>so8</v>
      </c>
      <c r="C62" s="2899">
        <f>CT_tram!C2569</f>
        <v>16</v>
      </c>
      <c r="D62" s="2900">
        <f>CT_tram!D2569</f>
        <v>0</v>
      </c>
      <c r="E62" s="2907">
        <f>CT_tram!E2569</f>
        <v>0</v>
      </c>
      <c r="F62" s="2898" t="str">
        <f>CT_tram!F2569</f>
        <v>Sắt Ø8</v>
      </c>
      <c r="G62" s="2908" t="str">
        <f>CT_tram!G2569</f>
        <v>kg</v>
      </c>
      <c r="H62" s="2908">
        <f>CT_tram!H2569</f>
        <v>16</v>
      </c>
      <c r="I62" s="2908">
        <f>CT_tram!I2569</f>
        <v>16</v>
      </c>
      <c r="J62" s="2905">
        <f>IFERROR(VLOOKUP(B62,DG!A:F,6,0),3000)</f>
        <v>50</v>
      </c>
      <c r="K62" s="2906">
        <f>IF(AND(OR(H62&gt;0,I62&gt;0),J62&lt;2000),COUNTIF($B$2:B62,B62),0)</f>
        <v>1</v>
      </c>
      <c r="L62" s="1297"/>
      <c r="M62" s="1375"/>
      <c r="O62" s="1375"/>
    </row>
    <row r="63" spans="1:15" s="1208" customFormat="1" ht="25.2" customHeight="1">
      <c r="A63" s="2897">
        <f>COUNTIF($K$1:K63,1)</f>
        <v>56</v>
      </c>
      <c r="B63" s="2898" t="str">
        <f>CT_tram!B2570</f>
        <v>B14350</v>
      </c>
      <c r="C63" s="2899">
        <f>CT_tram!C2570</f>
        <v>36</v>
      </c>
      <c r="D63" s="2900">
        <f>CT_tram!D2570</f>
        <v>0</v>
      </c>
      <c r="E63" s="2901">
        <f>CT_tram!E2570</f>
        <v>0</v>
      </c>
      <c r="F63" s="2902" t="str">
        <f>CT_tram!F2570</f>
        <v>Boulon 14x350+ 2 long đền vuông D16-50x50x3/Zn</v>
      </c>
      <c r="G63" s="2903" t="str">
        <f>CT_tram!G2570</f>
        <v>bộ</v>
      </c>
      <c r="H63" s="2904">
        <f>CT_tram!H2570</f>
        <v>36</v>
      </c>
      <c r="I63" s="2904">
        <f>CT_tram!I2570</f>
        <v>36</v>
      </c>
      <c r="J63" s="2905">
        <f>IFERROR(VLOOKUP(B63,DG!A:F,6,0),3000)</f>
        <v>50</v>
      </c>
      <c r="K63" s="2906">
        <f>IF(AND(OR(H63&gt;0,I63&gt;0),J63&lt;2000),COUNTIF($B$2:B63,B63),0)</f>
        <v>1</v>
      </c>
      <c r="L63" s="1300"/>
      <c r="M63" s="1375"/>
      <c r="O63" s="1375"/>
    </row>
    <row r="64" spans="1:15" s="1208" customFormat="1" ht="25.2" customHeight="1">
      <c r="A64" s="2897">
        <f>COUNTIF($K$1:K64,1)</f>
        <v>57</v>
      </c>
      <c r="B64" s="2898" t="str">
        <f>CT_tram!B2582</f>
        <v>b1050</v>
      </c>
      <c r="C64" s="2899">
        <f>CT_tram!C2582</f>
        <v>24</v>
      </c>
      <c r="D64" s="2900">
        <f>CT_tram!D2582</f>
        <v>0</v>
      </c>
      <c r="E64" s="2901">
        <f>CT_tram!E2582</f>
        <v>0</v>
      </c>
      <c r="F64" s="2902" t="str">
        <f>CT_tram!F2582</f>
        <v>Boulon 10x50+ 2 long đền vuông D12-50x50x3/Zn</v>
      </c>
      <c r="G64" s="2903" t="str">
        <f>CT_tram!G2582</f>
        <v>bộ</v>
      </c>
      <c r="H64" s="2904">
        <f>CT_tram!H2582</f>
        <v>24</v>
      </c>
      <c r="I64" s="2904">
        <f>CT_tram!I2582</f>
        <v>24</v>
      </c>
      <c r="J64" s="2905">
        <f>IFERROR(VLOOKUP(B64,DG!A:F,6,0),3000)</f>
        <v>50</v>
      </c>
      <c r="K64" s="2906">
        <f>IF(AND(OR(H64&gt;0,I64&gt;0),J64&lt;2000),COUNTIF($B$2:B64,B64),0)</f>
        <v>1</v>
      </c>
      <c r="L64" s="1300"/>
      <c r="M64" s="1375"/>
      <c r="O64" s="1375"/>
    </row>
    <row r="65" spans="1:15" s="1208" customFormat="1" ht="25.2" customHeight="1">
      <c r="A65" s="2897">
        <f>COUNTIF($K$1:K65,1)</f>
        <v>58</v>
      </c>
      <c r="B65" s="2898" t="str">
        <f>CT_tram!B2583</f>
        <v>xAtuti</v>
      </c>
      <c r="C65" s="2899">
        <f>CT_tram!C2583</f>
        <v>24</v>
      </c>
      <c r="D65" s="2900">
        <f>CT_tram!D2583</f>
        <v>0</v>
      </c>
      <c r="E65" s="2901" t="str">
        <f>CT_tram!E2583</f>
        <v>05.6101</v>
      </c>
      <c r="F65" s="2902" t="str">
        <f>CT_tram!F2583</f>
        <v>Xà kẹp TU, TI U50x32x4 350</v>
      </c>
      <c r="G65" s="2910" t="str">
        <f>CT_tram!G2583</f>
        <v>Bộ</v>
      </c>
      <c r="H65" s="2911">
        <f>CT_tram!H2583</f>
        <v>24</v>
      </c>
      <c r="I65" s="2904">
        <f>CT_tram!I2583</f>
        <v>24</v>
      </c>
      <c r="J65" s="2905">
        <f>IFERROR(VLOOKUP(B65,DG!A:F,6,0),3000)</f>
        <v>50</v>
      </c>
      <c r="K65" s="2906">
        <f>IF(AND(OR(H65&gt;0,I65&gt;0),J65&lt;2000),COUNTIF($B$2:B65,B65),0)</f>
        <v>1</v>
      </c>
      <c r="L65" s="1300"/>
      <c r="M65" s="1375"/>
      <c r="O65" s="1375"/>
    </row>
    <row r="66" spans="1:15" s="1208" customFormat="1" ht="25.2" customHeight="1">
      <c r="A66" s="2897">
        <f>COUNTIF($K$1:K66,1)</f>
        <v>59</v>
      </c>
      <c r="B66" s="2898" t="str">
        <f>CT_tram!B2584</f>
        <v>COS4</v>
      </c>
      <c r="C66" s="2899">
        <f>CT_tram!C2584</f>
        <v>16</v>
      </c>
      <c r="D66" s="2900">
        <f>CT_tram!D2584</f>
        <v>0</v>
      </c>
      <c r="E66" s="2901" t="str">
        <f>CT_tram!E2584</f>
        <v>D4.5001</v>
      </c>
      <c r="F66" s="2902" t="str">
        <f>CT_tram!F2584</f>
        <v>Đầu cosse ép Cu 4mm2 + bao PVC  (ñaáu TU)</v>
      </c>
      <c r="G66" s="2903" t="str">
        <f>CT_tram!G2584</f>
        <v>cái</v>
      </c>
      <c r="H66" s="2904">
        <f>CT_tram!H2584</f>
        <v>16</v>
      </c>
      <c r="I66" s="2904">
        <f>CT_tram!I2584</f>
        <v>16</v>
      </c>
      <c r="J66" s="2905">
        <f>IFERROR(VLOOKUP(B66,DG!A:F,6,0),3000)</f>
        <v>50</v>
      </c>
      <c r="K66" s="2906">
        <f>IF(AND(OR(H66&gt;0,I66&gt;0),J66&lt;2000),COUNTIF($B$2:B66,B66),0)</f>
        <v>1</v>
      </c>
      <c r="L66" s="1300"/>
      <c r="M66" s="1375"/>
      <c r="O66" s="1375"/>
    </row>
    <row r="67" spans="1:15" s="1208" customFormat="1" ht="25.2" customHeight="1">
      <c r="A67" s="2897">
        <f>COUNTIF($K$1:K67,1)</f>
        <v>59</v>
      </c>
      <c r="B67" s="2898" t="str">
        <f>CT_tram!B2586</f>
        <v>oxc25</v>
      </c>
      <c r="C67" s="2899">
        <f>CT_tram!C2586</f>
        <v>3</v>
      </c>
      <c r="D67" s="2900">
        <f>CT_tram!D2586</f>
        <v>0</v>
      </c>
      <c r="E67" s="2901" t="str">
        <f>CT_tram!E2586</f>
        <v>04.3107</v>
      </c>
      <c r="F67" s="2902" t="str">
        <f>CT_tram!F2586</f>
        <v>Ốc siết cáp cỡ 25mm2</v>
      </c>
      <c r="G67" s="2903" t="str">
        <f>CT_tram!G2586</f>
        <v>cái</v>
      </c>
      <c r="H67" s="2904">
        <f>CT_tram!H2586</f>
        <v>3</v>
      </c>
      <c r="I67" s="2904">
        <f>CT_tram!I2586</f>
        <v>3</v>
      </c>
      <c r="J67" s="2905">
        <f>IFERROR(VLOOKUP(B67,DG!A:F,6,0),3000)</f>
        <v>50</v>
      </c>
      <c r="K67" s="2906">
        <f>IF(AND(OR(H67&gt;0,I67&gt;0),J67&lt;2000),COUNTIF($B$2:B67,B67),0)</f>
        <v>2</v>
      </c>
      <c r="L67" s="1300"/>
      <c r="M67" s="1375"/>
      <c r="O67" s="1375"/>
    </row>
    <row r="68" spans="1:15" s="1208" customFormat="1" ht="25.2" customHeight="1">
      <c r="A68" s="2897">
        <f>COUNTIF($K$1:K68,1)</f>
        <v>60</v>
      </c>
      <c r="B68" s="2898" t="str">
        <f>CT_tram!B2587</f>
        <v>PVC60</v>
      </c>
      <c r="C68" s="2899">
        <f>CT_tram!C2587</f>
        <v>18</v>
      </c>
      <c r="D68" s="2900">
        <f>CT_tram!D2587</f>
        <v>0</v>
      </c>
      <c r="E68" s="2901" t="str">
        <f>CT_tram!E2587</f>
        <v>07.2404</v>
      </c>
      <c r="F68" s="2902" t="str">
        <f>CT_tram!F2587</f>
        <v>Ống PVC D60x2,8mm</v>
      </c>
      <c r="G68" s="2903" t="str">
        <f>CT_tram!G2587</f>
        <v>m</v>
      </c>
      <c r="H68" s="2904">
        <f>CT_tram!H2587</f>
        <v>18</v>
      </c>
      <c r="I68" s="2904">
        <f>CT_tram!I2587</f>
        <v>18</v>
      </c>
      <c r="J68" s="2905">
        <f>IFERROR(VLOOKUP(B68,DG!A:F,6,0),3000)</f>
        <v>50</v>
      </c>
      <c r="K68" s="2906">
        <f>IF(AND(OR(H68&gt;0,I68&gt;0),J68&lt;2000),COUNTIF($B$2:B68,B68),0)</f>
        <v>1</v>
      </c>
      <c r="L68" s="1752"/>
      <c r="M68" s="1375"/>
      <c r="O68" s="1375"/>
    </row>
    <row r="69" spans="1:15" s="1208" customFormat="1" ht="25.2" customHeight="1">
      <c r="A69" s="2897">
        <f>COUNTIF($K$1:K69,1)</f>
        <v>61</v>
      </c>
      <c r="B69" s="2898" t="str">
        <f>CT_tram!B2589</f>
        <v>CD60</v>
      </c>
      <c r="C69" s="2899">
        <f>CT_tram!C2589</f>
        <v>4</v>
      </c>
      <c r="D69" s="2900">
        <f>CT_tram!D2589</f>
        <v>0</v>
      </c>
      <c r="E69" s="2907" t="str">
        <f>CT_tram!E2589</f>
        <v>06.3231</v>
      </c>
      <c r="F69" s="2898" t="str">
        <f>CT_tram!F2589</f>
        <v>Cổ dê kẹp ống PVC Ø 60</v>
      </c>
      <c r="G69" s="2908" t="str">
        <f>CT_tram!G2589</f>
        <v>bộ</v>
      </c>
      <c r="H69" s="2908">
        <f>CT_tram!H2589</f>
        <v>4</v>
      </c>
      <c r="I69" s="2908">
        <f>CT_tram!I2589</f>
        <v>4</v>
      </c>
      <c r="J69" s="2905">
        <f>IFERROR(VLOOKUP(B69,DG!A:F,6,0),3000)</f>
        <v>50</v>
      </c>
      <c r="K69" s="2906">
        <f>IF(AND(OR(H69&gt;0,I69&gt;0),J69&lt;2000),COUNTIF($B$2:B69,B69),0)</f>
        <v>1</v>
      </c>
      <c r="L69" s="1297"/>
      <c r="M69" s="1375"/>
      <c r="O69" s="1375"/>
    </row>
    <row r="70" spans="1:15" s="1208" customFormat="1" ht="25.2" customHeight="1">
      <c r="A70" s="2897">
        <f>COUNTIF($K$1:K70,1)</f>
        <v>62</v>
      </c>
      <c r="B70" s="2898" t="str">
        <f>CT_tram!B2590</f>
        <v>CUT60</v>
      </c>
      <c r="C70" s="2899">
        <f>CT_tram!C2590</f>
        <v>6</v>
      </c>
      <c r="D70" s="2900">
        <f>CT_tram!D2590</f>
        <v>0</v>
      </c>
      <c r="E70" s="2901">
        <f>CT_tram!E2590</f>
        <v>0</v>
      </c>
      <c r="F70" s="2902" t="str">
        <f>CT_tram!F2590</f>
        <v>Co 90 độ PVC 60</v>
      </c>
      <c r="G70" s="2903" t="str">
        <f>CT_tram!G2590</f>
        <v>cái</v>
      </c>
      <c r="H70" s="2904">
        <f>CT_tram!H2590</f>
        <v>6</v>
      </c>
      <c r="I70" s="2904">
        <f>CT_tram!I2590</f>
        <v>6</v>
      </c>
      <c r="J70" s="2905">
        <f>IFERROR(VLOOKUP(B70,DG!A:F,6,0),3000)</f>
        <v>50</v>
      </c>
      <c r="K70" s="2906">
        <f>IF(AND(OR(H70&gt;0,I70&gt;0),J70&lt;2000),COUNTIF($B$2:B70,B70),0)</f>
        <v>1</v>
      </c>
      <c r="L70" s="1300"/>
      <c r="M70" s="1375"/>
      <c r="O70" s="1375"/>
    </row>
    <row r="71" spans="1:15" s="1208" customFormat="1" ht="25.2" customHeight="1">
      <c r="A71" s="2897">
        <f>COUNTIF($K$1:K71,1)</f>
        <v>63</v>
      </c>
      <c r="B71" s="2898" t="str">
        <f>CT_tram!B2591</f>
        <v>Noi60</v>
      </c>
      <c r="C71" s="2899">
        <f>CT_tram!C2591</f>
        <v>5</v>
      </c>
      <c r="D71" s="2900">
        <f>CT_tram!D2591</f>
        <v>0</v>
      </c>
      <c r="E71" s="2901">
        <f>CT_tram!E2591</f>
        <v>0</v>
      </c>
      <c r="F71" s="2902" t="str">
        <f>CT_tram!F2591</f>
        <v>Nối ống PVC 60</v>
      </c>
      <c r="G71" s="2903" t="str">
        <f>CT_tram!G2591</f>
        <v>cái</v>
      </c>
      <c r="H71" s="2904">
        <f>CT_tram!H2591</f>
        <v>5</v>
      </c>
      <c r="I71" s="2904">
        <f>CT_tram!I2591</f>
        <v>5</v>
      </c>
      <c r="J71" s="2905">
        <f>IFERROR(VLOOKUP(B71,DG!A:F,6,0),3000)</f>
        <v>50</v>
      </c>
      <c r="K71" s="2906">
        <f>IF(AND(OR(H71&gt;0,I71&gt;0),J71&lt;2000),COUNTIF($B$2:B71,B71),0)</f>
        <v>1</v>
      </c>
      <c r="L71" s="1752"/>
      <c r="M71" s="1375"/>
      <c r="O71" s="1375"/>
    </row>
    <row r="72" spans="1:15" s="1208" customFormat="1" ht="25.2" customHeight="1">
      <c r="A72" s="2897">
        <f>COUNTIF($K$1:K72,1)</f>
        <v>64</v>
      </c>
      <c r="B72" s="2898" t="str">
        <f>CT_tram!B2592</f>
        <v>KEO</v>
      </c>
      <c r="C72" s="2899">
        <f>CT_tram!C2592</f>
        <v>1</v>
      </c>
      <c r="D72" s="2900">
        <f>CT_tram!D2592</f>
        <v>0</v>
      </c>
      <c r="E72" s="2907">
        <f>CT_tram!E2592</f>
        <v>0</v>
      </c>
      <c r="F72" s="2898" t="str">
        <f>CT_tram!F2592</f>
        <v>Keo dán ống PVC (500gr)</v>
      </c>
      <c r="G72" s="2908" t="str">
        <f>CT_tram!G2592</f>
        <v>lon</v>
      </c>
      <c r="H72" s="2908">
        <f>CT_tram!H2592</f>
        <v>1</v>
      </c>
      <c r="I72" s="2908">
        <f>CT_tram!I2592</f>
        <v>1</v>
      </c>
      <c r="J72" s="2905">
        <f>IFERROR(VLOOKUP(B72,DG!A:F,6,0),3000)</f>
        <v>50</v>
      </c>
      <c r="K72" s="2906">
        <f>IF(AND(OR(H72&gt;0,I72&gt;0),J72&lt;2000),COUNTIF($B$2:B72,B72),0)</f>
        <v>1</v>
      </c>
      <c r="L72" s="1297"/>
      <c r="M72" s="1375"/>
      <c r="O72" s="1375"/>
    </row>
    <row r="73" spans="1:15" s="1208" customFormat="1" ht="25.2" customHeight="1">
      <c r="A73" s="2897">
        <f>COUNTIF($K$1:K73,1)</f>
        <v>64</v>
      </c>
      <c r="B73" s="2898" t="str">
        <f>CT_tram!B2593</f>
        <v>BANGKEO</v>
      </c>
      <c r="C73" s="2899">
        <f>CT_tram!C2593</f>
        <v>1</v>
      </c>
      <c r="D73" s="2900">
        <f>CT_tram!D2593</f>
        <v>0</v>
      </c>
      <c r="E73" s="2901">
        <f>CT_tram!E2593</f>
        <v>0</v>
      </c>
      <c r="F73" s="2902" t="str">
        <f>CT_tram!F2593</f>
        <v>Băng keo cách điện</v>
      </c>
      <c r="G73" s="2903" t="str">
        <f>CT_tram!G2593</f>
        <v>cuộn</v>
      </c>
      <c r="H73" s="2904">
        <f>CT_tram!H2593</f>
        <v>1</v>
      </c>
      <c r="I73" s="2904">
        <f>CT_tram!I2593</f>
        <v>1</v>
      </c>
      <c r="J73" s="2905">
        <f>IFERROR(VLOOKUP(B73,DG!A:F,6,0),3000)</f>
        <v>50</v>
      </c>
      <c r="K73" s="2906">
        <f>IF(AND(OR(H73&gt;0,I73&gt;0),J73&lt;2000),COUNTIF($B$2:B73,B73),0)</f>
        <v>2</v>
      </c>
      <c r="L73" s="1300"/>
      <c r="M73" s="1375"/>
      <c r="O73" s="1375"/>
    </row>
    <row r="74" spans="1:15" s="1208" customFormat="1" ht="25.2" customHeight="1">
      <c r="A74" s="2897">
        <f>COUNTIF($K$1:K74,1)</f>
        <v>65</v>
      </c>
      <c r="B74" s="2898" t="str">
        <f>CT_tram!B2594</f>
        <v>KVRT60</v>
      </c>
      <c r="C74" s="2899">
        <f>CT_tram!C2594</f>
        <v>1</v>
      </c>
      <c r="D74" s="2900">
        <f>CT_tram!D2594</f>
        <v>0</v>
      </c>
      <c r="E74" s="2901">
        <f>CT_tram!E2594</f>
        <v>0</v>
      </c>
      <c r="F74" s="2902" t="str">
        <f>CT_tram!F2594</f>
        <v>Khâu ven răng trong D60</v>
      </c>
      <c r="G74" s="2903" t="str">
        <f>CT_tram!G2594</f>
        <v>cái</v>
      </c>
      <c r="H74" s="2904">
        <f>CT_tram!H2594</f>
        <v>1</v>
      </c>
      <c r="I74" s="2904">
        <f>CT_tram!I2594</f>
        <v>1</v>
      </c>
      <c r="J74" s="2905">
        <f>IFERROR(VLOOKUP(B74,DG!A:F,6,0),3000)</f>
        <v>50</v>
      </c>
      <c r="K74" s="2906">
        <f>IF(AND(OR(H74&gt;0,I74&gt;0),J74&lt;2000),COUNTIF($B$2:B74,B74),0)</f>
        <v>1</v>
      </c>
      <c r="L74" s="1752"/>
      <c r="M74" s="1375"/>
      <c r="O74" s="1375"/>
    </row>
    <row r="75" spans="1:15" s="1208" customFormat="1" ht="25.2" customHeight="1">
      <c r="A75" s="2897">
        <f>COUNTIF($K$1:K75,1)</f>
        <v>66</v>
      </c>
      <c r="B75" s="2898" t="str">
        <f>CT_tram!B2595</f>
        <v>KVRN60</v>
      </c>
      <c r="C75" s="2899">
        <f>CT_tram!C2595</f>
        <v>1</v>
      </c>
      <c r="D75" s="2900">
        <f>CT_tram!D2595</f>
        <v>0</v>
      </c>
      <c r="E75" s="2901">
        <f>CT_tram!E2595</f>
        <v>0</v>
      </c>
      <c r="F75" s="2902" t="str">
        <f>CT_tram!F2595</f>
        <v>Khâu ven răng ngoài D60</v>
      </c>
      <c r="G75" s="2903" t="str">
        <f>CT_tram!G2595</f>
        <v>cái</v>
      </c>
      <c r="H75" s="2904">
        <f>CT_tram!H2595</f>
        <v>1</v>
      </c>
      <c r="I75" s="2904">
        <f>CT_tram!I2595</f>
        <v>1</v>
      </c>
      <c r="J75" s="2905">
        <f>IFERROR(VLOOKUP(B75,DG!A:F,6,0),3000)</f>
        <v>50</v>
      </c>
      <c r="K75" s="2906">
        <f>IF(AND(OR(H75&gt;0,I75&gt;0),J75&lt;2000),COUNTIF($B$2:B75,B75),0)</f>
        <v>1</v>
      </c>
      <c r="L75" s="1300"/>
      <c r="M75" s="1375"/>
      <c r="O75" s="1375"/>
    </row>
    <row r="76" spans="1:15" s="1208" customFormat="1" ht="25.2" customHeight="1">
      <c r="A76" s="2897">
        <f>COUNTIF($K$1:K76,1)</f>
        <v>67</v>
      </c>
      <c r="B76" s="2898" t="str">
        <f>CT_tram!B2596</f>
        <v>CD320</v>
      </c>
      <c r="C76" s="2899">
        <f>CT_tram!C2596</f>
        <v>1</v>
      </c>
      <c r="D76" s="2900">
        <f>CT_tram!D2596</f>
        <v>0</v>
      </c>
      <c r="E76" s="2901" t="str">
        <f>CT_tram!E2596</f>
        <v>06.3231</v>
      </c>
      <c r="F76" s="2902" t="str">
        <f>CT_tram!F2596</f>
        <v>Cổ dê CDĐKĐT( bắt thùng điện kế)</v>
      </c>
      <c r="G76" s="2903" t="str">
        <f>CT_tram!G2596</f>
        <v>bộ</v>
      </c>
      <c r="H76" s="2904">
        <f>CT_tram!H2596</f>
        <v>1</v>
      </c>
      <c r="I76" s="2904">
        <f>CT_tram!I2596</f>
        <v>1</v>
      </c>
      <c r="J76" s="2905">
        <f>IFERROR(VLOOKUP(B76,DG!A:F,6,0),3000)</f>
        <v>50</v>
      </c>
      <c r="K76" s="2906">
        <f>IF(AND(OR(H76&gt;0,I76&gt;0),J76&lt;2000),COUNTIF($B$2:B76,B76),0)</f>
        <v>1</v>
      </c>
      <c r="L76" s="1300"/>
      <c r="M76" s="1375"/>
      <c r="O76" s="1375"/>
    </row>
    <row r="77" spans="1:15" s="1208" customFormat="1" ht="25.2" customHeight="1">
      <c r="A77" s="2897">
        <f>COUNTIF($K$1:K77,1)</f>
        <v>68</v>
      </c>
      <c r="B77" s="2898" t="str">
        <f>CT_tram!B2597</f>
        <v>TUDKDT</v>
      </c>
      <c r="C77" s="2899">
        <f>CT_tram!C2597</f>
        <v>1</v>
      </c>
      <c r="D77" s="2900">
        <f>CT_tram!D2597</f>
        <v>0</v>
      </c>
      <c r="E77" s="2901" t="str">
        <f>CT_tram!E2597</f>
        <v>05.1101</v>
      </c>
      <c r="F77" s="2902" t="str">
        <f>CT_tram!F2597</f>
        <v>Thùng điện kế 450x300x200mm đo đếm trung thế</v>
      </c>
      <c r="G77" s="2903" t="str">
        <f>CT_tram!G2597</f>
        <v>cái</v>
      </c>
      <c r="H77" s="2904">
        <f>CT_tram!H2597</f>
        <v>1</v>
      </c>
      <c r="I77" s="2904">
        <f>CT_tram!I2597</f>
        <v>1</v>
      </c>
      <c r="J77" s="2905">
        <f>IFERROR(VLOOKUP(B77,DG!A:F,6,0),3000)</f>
        <v>50</v>
      </c>
      <c r="K77" s="2906">
        <f>IF(AND(OR(H77&gt;0,I77&gt;0),J77&lt;2000),COUNTIF($B$2:B77,B77),0)</f>
        <v>1</v>
      </c>
      <c r="L77" s="1300"/>
      <c r="M77" s="1375"/>
      <c r="O77" s="1375"/>
    </row>
    <row r="78" spans="1:15" s="1208" customFormat="1" ht="25.2" customHeight="1">
      <c r="A78" s="2897">
        <f>COUNTIF($K$1:K78,1)</f>
        <v>68</v>
      </c>
      <c r="B78" s="2898" t="str">
        <f>CT_tram!B2598</f>
        <v>keobit</v>
      </c>
      <c r="C78" s="2899">
        <f>CT_tram!C2598</f>
        <v>2</v>
      </c>
      <c r="D78" s="2900">
        <f>CT_tram!D2598</f>
        <v>0</v>
      </c>
      <c r="E78" s="2901">
        <f>CT_tram!E2598</f>
        <v>0</v>
      </c>
      <c r="F78" s="2902" t="str">
        <f>CT_tram!F2598</f>
        <v>Keo silicon bít miệng ống</v>
      </c>
      <c r="G78" s="2903" t="str">
        <f>CT_tram!G2598</f>
        <v>ống</v>
      </c>
      <c r="H78" s="2904">
        <f>CT_tram!H2598</f>
        <v>2</v>
      </c>
      <c r="I78" s="2904">
        <f>CT_tram!I2598</f>
        <v>2</v>
      </c>
      <c r="J78" s="2905">
        <f>IFERROR(VLOOKUP(B78,DG!A:F,6,0),3000)</f>
        <v>50</v>
      </c>
      <c r="K78" s="2906">
        <f>IF(AND(OR(H78&gt;0,I78&gt;0),J78&lt;2000),COUNTIF($B$2:B78,B78),0)</f>
        <v>2</v>
      </c>
      <c r="L78" s="1300"/>
      <c r="M78" s="1375"/>
      <c r="O78" s="1375"/>
    </row>
    <row r="79" spans="1:15" s="1208" customFormat="1" ht="25.2" customHeight="1">
      <c r="A79" s="2897">
        <f>COUNTIF($K$1:K79,1)</f>
        <v>69</v>
      </c>
      <c r="B79" s="2898" t="str">
        <f>CT_tram!B2599</f>
        <v>M5M</v>
      </c>
      <c r="C79" s="2899">
        <f>CT_tram!C2599</f>
        <v>4</v>
      </c>
      <c r="D79" s="2900">
        <f>CT_tram!D2599</f>
        <v>0</v>
      </c>
      <c r="E79" s="2907">
        <f>CT_tram!E2599</f>
        <v>0</v>
      </c>
      <c r="F79" s="2898" t="str">
        <f>CT_tram!F2599</f>
        <v>Dây đồng trần mềm dẹt</v>
      </c>
      <c r="G79" s="2908" t="str">
        <f>CT_tram!G2599</f>
        <v>mét</v>
      </c>
      <c r="H79" s="2908">
        <f>CT_tram!H2599</f>
        <v>4</v>
      </c>
      <c r="I79" s="2908">
        <f>CT_tram!I2599</f>
        <v>4</v>
      </c>
      <c r="J79" s="2905">
        <f>IFERROR(VLOOKUP(B79,DG!A:F,6,0),3000)</f>
        <v>50</v>
      </c>
      <c r="K79" s="2906">
        <f>IF(AND(OR(H79&gt;0,I79&gt;0),J79&lt;2000),COUNTIF($B$2:B79,B79),0)</f>
        <v>1</v>
      </c>
      <c r="L79" s="1297"/>
      <c r="M79" s="1375"/>
      <c r="O79" s="1375"/>
    </row>
    <row r="80" spans="1:15" s="1208" customFormat="1" ht="25.2" customHeight="1">
      <c r="A80" s="2897">
        <f>COUNTIF($K$1:K80,1)</f>
        <v>70</v>
      </c>
      <c r="B80" s="2898" t="str">
        <f>chitiet!B367</f>
        <v>B16650v</v>
      </c>
      <c r="C80" s="2899" t="str">
        <f>chitiet!C367</f>
        <v>x</v>
      </c>
      <c r="D80" s="2900">
        <f>chitiet!D367</f>
        <v>1</v>
      </c>
      <c r="E80" s="2901">
        <f>chitiet!E367</f>
        <v>0</v>
      </c>
      <c r="F80" s="2902" t="str">
        <f>chitiet!F367</f>
        <v>Boulon 16x650VRS+ 4 long đền vuông D18-50x50x3/Zn</v>
      </c>
      <c r="G80" s="2903" t="str">
        <f>chitiet!G367</f>
        <v>bộ</v>
      </c>
      <c r="H80" s="2904">
        <f>chitiet!H367</f>
        <v>4</v>
      </c>
      <c r="I80" s="2904">
        <f>chitiet!P367</f>
        <v>4</v>
      </c>
      <c r="J80" s="2905">
        <f>IFERROR(VLOOKUP(B80,DG!A:F,6,0),3000)</f>
        <v>50</v>
      </c>
      <c r="K80" s="2906">
        <f>IF(AND(OR(H80&gt;0,I80&gt;0),J80&lt;2000),COUNTIF($B$2:B80,B80),0)</f>
        <v>1</v>
      </c>
      <c r="L80" s="1752"/>
      <c r="M80" s="1375"/>
      <c r="O80" s="1375"/>
    </row>
    <row r="81" spans="1:15" s="1208" customFormat="1" ht="25.2" customHeight="1">
      <c r="A81" s="2897">
        <f>COUNTIF($K$1:K81,1)</f>
        <v>71</v>
      </c>
      <c r="B81" s="2898" t="str">
        <f>chitiet!B368</f>
        <v>B16750v</v>
      </c>
      <c r="C81" s="2899" t="str">
        <f>chitiet!C368</f>
        <v>x</v>
      </c>
      <c r="D81" s="2900">
        <f>chitiet!D368</f>
        <v>1</v>
      </c>
      <c r="E81" s="2901">
        <f>chitiet!E368</f>
        <v>0</v>
      </c>
      <c r="F81" s="2902" t="str">
        <f>chitiet!F368</f>
        <v>Boulon 16x750VRS+ 4 long đền vuông D18-50x50x3/Zn</v>
      </c>
      <c r="G81" s="2903" t="str">
        <f>chitiet!G368</f>
        <v>bộ</v>
      </c>
      <c r="H81" s="2904">
        <f>chitiet!H368</f>
        <v>4</v>
      </c>
      <c r="I81" s="2904">
        <f>chitiet!P368</f>
        <v>4</v>
      </c>
      <c r="J81" s="2905">
        <f>IFERROR(VLOOKUP(B81,DG!A:F,6,0),3000)</f>
        <v>50</v>
      </c>
      <c r="K81" s="2906">
        <f>IF(AND(OR(H81&gt;0,I81&gt;0),J81&lt;2000),COUNTIF($B$2:B81,B81),0)</f>
        <v>1</v>
      </c>
      <c r="L81" s="1300"/>
      <c r="M81" s="1375"/>
      <c r="O81" s="1375"/>
    </row>
    <row r="82" spans="1:15" s="1208" customFormat="1" ht="25.2" customHeight="1">
      <c r="A82" s="2897">
        <f>COUNTIF($K$1:K82,1)</f>
        <v>71</v>
      </c>
      <c r="B82" s="2898" t="str">
        <f>chitiet!B642</f>
        <v>CTD+K</v>
      </c>
      <c r="C82" s="2899" t="str">
        <f>chitiet!C642</f>
        <v>x</v>
      </c>
      <c r="D82" s="2900">
        <f>chitiet!D642</f>
        <v>1</v>
      </c>
      <c r="E82" s="2907">
        <f>chitiet!E642</f>
        <v>0</v>
      </c>
      <c r="F82" s="2898" t="str">
        <f>chitiet!F642</f>
        <v>Cọc tiếp đất Þ 16- 2,4m + kẹp cọc mạ đồng</v>
      </c>
      <c r="G82" s="2908" t="str">
        <f>chitiet!G642</f>
        <v>bộ</v>
      </c>
      <c r="H82" s="2908">
        <f>chitiet!H642</f>
        <v>1</v>
      </c>
      <c r="I82" s="2908">
        <f>chitiet!P642</f>
        <v>1</v>
      </c>
      <c r="J82" s="2905">
        <f>IFERROR(VLOOKUP(B82,DG!A:F,6,0),3000)</f>
        <v>50</v>
      </c>
      <c r="K82" s="2906">
        <f>IF(AND(OR(H82&gt;0,I82&gt;0),J82&lt;2000),COUNTIF($B$2:B82,B82),0)</f>
        <v>2</v>
      </c>
      <c r="L82" s="1952"/>
      <c r="M82" s="1375"/>
      <c r="O82" s="1375"/>
    </row>
    <row r="83" spans="1:15" s="1208" customFormat="1" ht="25.2" customHeight="1">
      <c r="A83" s="2897">
        <f>COUNTIF($K$1:K83,1)</f>
        <v>71</v>
      </c>
      <c r="B83" s="2898" t="str">
        <f>chitiet!B643</f>
        <v>Ke50</v>
      </c>
      <c r="C83" s="2899" t="str">
        <f>chitiet!C643</f>
        <v>x</v>
      </c>
      <c r="D83" s="2900">
        <f>chitiet!D643</f>
        <v>2</v>
      </c>
      <c r="E83" s="2901">
        <f>chitiet!E643</f>
        <v>0</v>
      </c>
      <c r="F83" s="2902" t="str">
        <f>chitiet!F643</f>
        <v>Kẹp ép WR cỡ dây 50mm2</v>
      </c>
      <c r="G83" s="2903" t="str">
        <f>chitiet!G643</f>
        <v>cái</v>
      </c>
      <c r="H83" s="2904">
        <f>chitiet!H643</f>
        <v>2</v>
      </c>
      <c r="I83" s="2904">
        <f>chitiet!P643</f>
        <v>2</v>
      </c>
      <c r="J83" s="2905">
        <f>IFERROR(VLOOKUP(B83,DG!A:F,6,0),3000)</f>
        <v>50</v>
      </c>
      <c r="K83" s="2906">
        <f>IF(AND(OR(H83&gt;0,I83&gt;0),J83&lt;2000),COUNTIF($B$2:B83,B83),0)</f>
        <v>2</v>
      </c>
      <c r="L83" s="1752"/>
      <c r="M83" s="1375"/>
      <c r="O83" s="1375"/>
    </row>
    <row r="84" spans="1:15" s="1208" customFormat="1" ht="25.2" customHeight="1">
      <c r="A84" s="2897">
        <f>COUNTIF($K$1:K84,1)</f>
        <v>71</v>
      </c>
      <c r="B84" s="2898" t="str">
        <f>chitiet!B646</f>
        <v>OXC25</v>
      </c>
      <c r="C84" s="2899" t="str">
        <f>chitiet!C646</f>
        <v>x</v>
      </c>
      <c r="D84" s="2900">
        <f>chitiet!D646</f>
        <v>2</v>
      </c>
      <c r="E84" s="2901">
        <f>chitiet!E646</f>
        <v>0</v>
      </c>
      <c r="F84" s="2902" t="str">
        <f>chitiet!F646</f>
        <v>Ốc siết cáp cỡ 25mm2</v>
      </c>
      <c r="G84" s="2903" t="str">
        <f>chitiet!G646</f>
        <v>cái</v>
      </c>
      <c r="H84" s="2904">
        <f>chitiet!H646</f>
        <v>2</v>
      </c>
      <c r="I84" s="2904">
        <f>chitiet!P646</f>
        <v>2</v>
      </c>
      <c r="J84" s="2905">
        <f>IFERROR(VLOOKUP(B84,DG!A:F,6,0),3000)</f>
        <v>50</v>
      </c>
      <c r="K84" s="2906">
        <f>IF(AND(OR(H84&gt;0,I84&gt;0),J84&lt;2000),COUNTIF($B$2:B84,B84),0)</f>
        <v>3</v>
      </c>
      <c r="L84" s="1300"/>
      <c r="M84" s="1375"/>
      <c r="O84" s="1375"/>
    </row>
    <row r="85" spans="1:15" s="1208" customFormat="1" ht="25.2" customHeight="1">
      <c r="A85" s="2897">
        <f>COUNTIF($K$1:K85,1)</f>
        <v>71</v>
      </c>
      <c r="B85" s="2898" t="str">
        <f>chitiet!B665</f>
        <v>CTD+K</v>
      </c>
      <c r="C85" s="2899" t="str">
        <f>chitiet!C665</f>
        <v>x</v>
      </c>
      <c r="D85" s="2900">
        <f>chitiet!D665</f>
        <v>9</v>
      </c>
      <c r="E85" s="2901">
        <f>chitiet!E665</f>
        <v>0</v>
      </c>
      <c r="F85" s="2902" t="str">
        <f>chitiet!F665</f>
        <v>Cọc tiếp đất Þ 16- 2,4m + kẹp cọc mạ đồng</v>
      </c>
      <c r="G85" s="2903" t="str">
        <f>chitiet!G665</f>
        <v>bộ</v>
      </c>
      <c r="H85" s="2904">
        <f>chitiet!H665</f>
        <v>9</v>
      </c>
      <c r="I85" s="2904">
        <f>chitiet!P665</f>
        <v>9</v>
      </c>
      <c r="J85" s="2905">
        <f>IFERROR(VLOOKUP(B85,DG!A:F,6,0),3000)</f>
        <v>50</v>
      </c>
      <c r="K85" s="2906">
        <f>IF(AND(OR(H85&gt;0,I85&gt;0),J85&lt;2000),COUNTIF($B$2:B85,B85),0)</f>
        <v>3</v>
      </c>
      <c r="L85" s="1300"/>
      <c r="M85" s="1375"/>
      <c r="O85" s="1375"/>
    </row>
    <row r="86" spans="1:15" s="1208" customFormat="1" ht="25.2" customHeight="1">
      <c r="A86" s="2897">
        <f>COUNTIF($K$1:K86,1)</f>
        <v>72</v>
      </c>
      <c r="B86" s="2898" t="str">
        <f>chitiet!B666</f>
        <v>Ke185</v>
      </c>
      <c r="C86" s="2899" t="str">
        <f>chitiet!C666</f>
        <v>x</v>
      </c>
      <c r="D86" s="2900">
        <f>chitiet!D666</f>
        <v>2</v>
      </c>
      <c r="E86" s="2907">
        <f>chitiet!E666</f>
        <v>0</v>
      </c>
      <c r="F86" s="2898" t="str">
        <f>chitiet!F666</f>
        <v>Kẹp ép WR cỡ dây 185mm2</v>
      </c>
      <c r="G86" s="2908" t="str">
        <f>chitiet!G666</f>
        <v>cái</v>
      </c>
      <c r="H86" s="2908">
        <f>chitiet!H666</f>
        <v>2</v>
      </c>
      <c r="I86" s="2908">
        <f>chitiet!P666</f>
        <v>2</v>
      </c>
      <c r="J86" s="2905">
        <f>IFERROR(VLOOKUP(B86,DG!A:F,6,0),3000)</f>
        <v>50</v>
      </c>
      <c r="K86" s="2906">
        <f>IF(AND(OR(H86&gt;0,I86&gt;0),J86&lt;2000),COUNTIF($B$2:B86,B86),0)</f>
        <v>1</v>
      </c>
      <c r="L86" s="1297"/>
      <c r="M86" s="1375"/>
      <c r="O86" s="1375"/>
    </row>
    <row r="87" spans="1:15" s="1208" customFormat="1" ht="25.2" customHeight="1">
      <c r="A87" s="2897">
        <f>COUNTIF($K$1:K87,1)</f>
        <v>72</v>
      </c>
      <c r="B87" s="2898" t="str">
        <f>chitiet!B667</f>
        <v>OXC25</v>
      </c>
      <c r="C87" s="2899" t="str">
        <f>chitiet!C667</f>
        <v>x</v>
      </c>
      <c r="D87" s="2900">
        <f>chitiet!D667</f>
        <v>8</v>
      </c>
      <c r="E87" s="2901">
        <f>chitiet!E667</f>
        <v>0</v>
      </c>
      <c r="F87" s="2902" t="str">
        <f>chitiet!F667</f>
        <v>Ốc siết cáp cỡ 25mm2</v>
      </c>
      <c r="G87" s="2903" t="str">
        <f>chitiet!G667</f>
        <v>cái</v>
      </c>
      <c r="H87" s="2904">
        <f>chitiet!H667</f>
        <v>8</v>
      </c>
      <c r="I87" s="2904">
        <f>chitiet!P667</f>
        <v>8</v>
      </c>
      <c r="J87" s="2905">
        <f>IFERROR(VLOOKUP(B87,DG!A:F,6,0),3000)</f>
        <v>50</v>
      </c>
      <c r="K87" s="2906">
        <f>IF(AND(OR(H87&gt;0,I87&gt;0),J87&lt;2000),COUNTIF($B$2:B87,B87),0)</f>
        <v>4</v>
      </c>
      <c r="L87" s="1300"/>
      <c r="M87" s="1375"/>
      <c r="O87" s="1375"/>
    </row>
    <row r="88" spans="1:15" s="1208" customFormat="1" ht="25.2" customHeight="1">
      <c r="A88" s="2897">
        <f>COUNTIF($K$1:K88,1)</f>
        <v>73</v>
      </c>
      <c r="B88" s="2898" t="str">
        <f>chitiet!B864</f>
        <v>SL75-2200</v>
      </c>
      <c r="C88" s="2899" t="str">
        <f>chitiet!C864</f>
        <v>x</v>
      </c>
      <c r="D88" s="2900">
        <f>chitiet!D864</f>
        <v>2</v>
      </c>
      <c r="E88" s="2901">
        <f>chitiet!E864</f>
        <v>0</v>
      </c>
      <c r="F88" s="2902" t="str">
        <f>chitiet!F864</f>
        <v>Sắt góc L75 x75 x8 x</v>
      </c>
      <c r="G88" s="2903" t="str">
        <f>chitiet!G864</f>
        <v>cái</v>
      </c>
      <c r="H88" s="2904">
        <f>chitiet!H864</f>
        <v>6</v>
      </c>
      <c r="I88" s="2904">
        <f>chitiet!P864</f>
        <v>6</v>
      </c>
      <c r="J88" s="2905">
        <f>IFERROR(VLOOKUP(B88,DG!A:F,6,0),3000)</f>
        <v>50</v>
      </c>
      <c r="K88" s="2906">
        <f>IF(AND(OR(H88&gt;0,I88&gt;0),J88&lt;2000),COUNTIF($B$2:B88,B88),0)</f>
        <v>1</v>
      </c>
      <c r="L88" s="1300"/>
      <c r="M88" s="1375"/>
      <c r="O88" s="1375"/>
    </row>
    <row r="89" spans="1:15" s="1208" customFormat="1" ht="25.2" customHeight="1">
      <c r="A89" s="2897">
        <f>COUNTIF($K$1:K89,1)</f>
        <v>74</v>
      </c>
      <c r="B89" s="2898" t="str">
        <f>chitiet!B865</f>
        <v>SL50-810</v>
      </c>
      <c r="C89" s="2899" t="str">
        <f>chitiet!C865</f>
        <v>x</v>
      </c>
      <c r="D89" s="2900">
        <f>chitiet!D865</f>
        <v>4</v>
      </c>
      <c r="E89" s="2901">
        <f>chitiet!E865</f>
        <v>0</v>
      </c>
      <c r="F89" s="2902" t="str">
        <f>chitiet!F865</f>
        <v>Sắt góc L50 x50 x5 - 810</v>
      </c>
      <c r="G89" s="2903" t="str">
        <f>chitiet!G865</f>
        <v>cái</v>
      </c>
      <c r="H89" s="2904">
        <f>chitiet!H865</f>
        <v>12</v>
      </c>
      <c r="I89" s="2904">
        <f>chitiet!P865</f>
        <v>12</v>
      </c>
      <c r="J89" s="2905">
        <f>IFERROR(VLOOKUP(B89,DG!A:F,6,0),3000)</f>
        <v>50</v>
      </c>
      <c r="K89" s="2906">
        <f>IF(AND(OR(H89&gt;0,I89&gt;0),J89&lt;2000),COUNTIF($B$2:B89,B89),0)</f>
        <v>1</v>
      </c>
      <c r="L89" s="1300"/>
      <c r="M89" s="1375"/>
      <c r="O89" s="1375"/>
    </row>
    <row r="90" spans="1:15" s="1208" customFormat="1" ht="25.2" customHeight="1">
      <c r="A90" s="2897">
        <f>COUNTIF($K$1:K90,1)</f>
        <v>74</v>
      </c>
      <c r="B90" s="2898" t="str">
        <f>chitiet!B867</f>
        <v>B16300</v>
      </c>
      <c r="C90" s="2899" t="str">
        <f>chitiet!C867</f>
        <v>x</v>
      </c>
      <c r="D90" s="2900">
        <f>chitiet!D867</f>
        <v>2</v>
      </c>
      <c r="E90" s="2901">
        <f>chitiet!E867</f>
        <v>0</v>
      </c>
      <c r="F90" s="2902" t="str">
        <f>chitiet!F867</f>
        <v>Boulon 16x300+ 2 long đền vuông D18-50x50x3/Zn</v>
      </c>
      <c r="G90" s="2903" t="str">
        <f>chitiet!G867</f>
        <v>bộ</v>
      </c>
      <c r="H90" s="2904">
        <f>chitiet!H867</f>
        <v>6</v>
      </c>
      <c r="I90" s="2904">
        <f>chitiet!P867</f>
        <v>6</v>
      </c>
      <c r="J90" s="2905">
        <f>IFERROR(VLOOKUP(B90,DG!A:F,6,0),3000)</f>
        <v>50</v>
      </c>
      <c r="K90" s="2906">
        <f>IF(AND(OR(H90&gt;0,I90&gt;0),J90&lt;2000),COUNTIF($B$2:B90,B90),0)</f>
        <v>2</v>
      </c>
      <c r="L90" s="1300"/>
      <c r="M90" s="1375"/>
      <c r="O90" s="1375"/>
    </row>
    <row r="91" spans="1:15" s="1208" customFormat="1" ht="25.2" customHeight="1">
      <c r="A91" s="2897">
        <f>COUNTIF($K$1:K91,1)</f>
        <v>74</v>
      </c>
      <c r="B91" s="2898" t="str">
        <f>chitiet!B868</f>
        <v>B16300v</v>
      </c>
      <c r="C91" s="2899" t="str">
        <f>chitiet!C868</f>
        <v>x</v>
      </c>
      <c r="D91" s="2900">
        <f>chitiet!D868</f>
        <v>2</v>
      </c>
      <c r="E91" s="2901">
        <f>chitiet!E868</f>
        <v>0</v>
      </c>
      <c r="F91" s="2902" t="str">
        <f>chitiet!F868</f>
        <v>Boulon 16x300VRS+ 4 long đền vuông D18-50x50x3/Zn</v>
      </c>
      <c r="G91" s="2903" t="str">
        <f>chitiet!G868</f>
        <v>bộ</v>
      </c>
      <c r="H91" s="2904">
        <f>chitiet!H868</f>
        <v>6</v>
      </c>
      <c r="I91" s="2904">
        <f>chitiet!P868</f>
        <v>6</v>
      </c>
      <c r="J91" s="2905">
        <f>IFERROR(VLOOKUP(B91,DG!A:F,6,0),3000)</f>
        <v>50</v>
      </c>
      <c r="K91" s="2906">
        <f>IF(AND(OR(H91&gt;0,I91&gt;0),J91&lt;2000),COUNTIF($B$2:B91,B91),0)</f>
        <v>2</v>
      </c>
      <c r="L91" s="1300"/>
      <c r="M91" s="1375"/>
      <c r="O91" s="1375"/>
    </row>
    <row r="92" spans="1:15" s="1208" customFormat="1" ht="25.2" customHeight="1">
      <c r="A92" s="2897">
        <f>COUNTIF($K$1:K92,1)</f>
        <v>74</v>
      </c>
      <c r="B92" s="2912" t="str">
        <f>chitiet!B869</f>
        <v>B1650</v>
      </c>
      <c r="C92" s="2913" t="str">
        <f>chitiet!C869</f>
        <v>x</v>
      </c>
      <c r="D92" s="2914">
        <f>chitiet!D869</f>
        <v>4</v>
      </c>
      <c r="E92" s="2915">
        <f>chitiet!E869</f>
        <v>0</v>
      </c>
      <c r="F92" s="2916" t="str">
        <f>chitiet!F869</f>
        <v>Boulon 16x50+ 2 long đền vuông D18-50x50x3/Zn</v>
      </c>
      <c r="G92" s="2910" t="str">
        <f>chitiet!G869</f>
        <v>bộ</v>
      </c>
      <c r="H92" s="2911">
        <f>chitiet!H869</f>
        <v>12</v>
      </c>
      <c r="I92" s="2904">
        <f>chitiet!P869</f>
        <v>12</v>
      </c>
      <c r="J92" s="2905">
        <f>IFERROR(VLOOKUP(B92,DG!A:F,6,0),3000)</f>
        <v>50</v>
      </c>
      <c r="K92" s="2906">
        <f>IF(AND(OR(H92&gt;0,I92&gt;0),J92&lt;2000),COUNTIF($B$2:B92,B92),0)</f>
        <v>2</v>
      </c>
      <c r="L92" s="1752"/>
      <c r="M92" s="1375"/>
      <c r="O92" s="1375"/>
    </row>
    <row r="93" spans="1:15" s="1208" customFormat="1" ht="25.2" customHeight="1">
      <c r="A93" s="2897">
        <f>COUNTIF($K$1:K93,1)</f>
        <v>74</v>
      </c>
      <c r="B93" s="2898" t="str">
        <f>chitiet!B875</f>
        <v>SL75-2200</v>
      </c>
      <c r="C93" s="2899" t="str">
        <f>chitiet!C875</f>
        <v>x</v>
      </c>
      <c r="D93" s="2900">
        <f>chitiet!D875</f>
        <v>2</v>
      </c>
      <c r="E93" s="2901">
        <f>chitiet!E875</f>
        <v>0</v>
      </c>
      <c r="F93" s="2902" t="str">
        <f>chitiet!F875</f>
        <v>Sắt góc L75 x75 x8 x</v>
      </c>
      <c r="G93" s="2903" t="str">
        <f>chitiet!G875</f>
        <v>cái</v>
      </c>
      <c r="H93" s="2904">
        <f>chitiet!H875</f>
        <v>6</v>
      </c>
      <c r="I93" s="2904">
        <f>chitiet!P875</f>
        <v>6</v>
      </c>
      <c r="J93" s="2905">
        <f>IFERROR(VLOOKUP(B93,DG!A:F,6,0),3000)</f>
        <v>50</v>
      </c>
      <c r="K93" s="2906">
        <f>IF(AND(OR(H93&gt;0,I93&gt;0),J93&lt;2000),COUNTIF($B$2:B93,B93),0)</f>
        <v>2</v>
      </c>
      <c r="L93" s="1300"/>
      <c r="M93" s="1375"/>
      <c r="O93" s="1375"/>
    </row>
    <row r="94" spans="1:15" s="1208" customFormat="1" ht="25.2" customHeight="1">
      <c r="A94" s="2897">
        <f>COUNTIF($K$1:K94,1)</f>
        <v>74</v>
      </c>
      <c r="B94" s="2898" t="str">
        <f>chitiet!B876</f>
        <v>SL50-810</v>
      </c>
      <c r="C94" s="2899" t="str">
        <f>chitiet!C876</f>
        <v>x</v>
      </c>
      <c r="D94" s="2900">
        <f>chitiet!D876</f>
        <v>4</v>
      </c>
      <c r="E94" s="2901">
        <f>chitiet!E876</f>
        <v>0</v>
      </c>
      <c r="F94" s="2902" t="str">
        <f>chitiet!F876</f>
        <v>Sắt góc L50 x50 x5 - 810</v>
      </c>
      <c r="G94" s="2903" t="str">
        <f>chitiet!G876</f>
        <v>cái</v>
      </c>
      <c r="H94" s="2904">
        <f>chitiet!H876</f>
        <v>12</v>
      </c>
      <c r="I94" s="2904">
        <f>chitiet!P876</f>
        <v>12</v>
      </c>
      <c r="J94" s="2905">
        <f>IFERROR(VLOOKUP(B94,DG!A:F,6,0),3000)</f>
        <v>50</v>
      </c>
      <c r="K94" s="2906">
        <f>IF(AND(OR(H94&gt;0,I94&gt;0),J94&lt;2000),COUNTIF($B$2:B94,B94),0)</f>
        <v>2</v>
      </c>
      <c r="L94" s="1300"/>
      <c r="M94" s="1375"/>
      <c r="O94" s="1375"/>
    </row>
    <row r="95" spans="1:15" s="1208" customFormat="1" ht="25.2" customHeight="1">
      <c r="A95" s="2897">
        <f>COUNTIF($K$1:K95,1)</f>
        <v>75</v>
      </c>
      <c r="B95" s="2912" t="str">
        <f>chitiet!B877</f>
        <v>B16500</v>
      </c>
      <c r="C95" s="2913" t="str">
        <f>chitiet!C877</f>
        <v>x</v>
      </c>
      <c r="D95" s="2914">
        <f>chitiet!D877</f>
        <v>1</v>
      </c>
      <c r="E95" s="2915">
        <f>chitiet!E877</f>
        <v>0</v>
      </c>
      <c r="F95" s="2916" t="str">
        <f>chitiet!F877</f>
        <v>Boulon 16x500+ 2 long đền vuông D18-50x50x3/Zn</v>
      </c>
      <c r="G95" s="2910" t="str">
        <f>chitiet!G877</f>
        <v>bộ</v>
      </c>
      <c r="H95" s="2911">
        <f>chitiet!H877</f>
        <v>3</v>
      </c>
      <c r="I95" s="2922">
        <f>chitiet!P877</f>
        <v>3</v>
      </c>
      <c r="J95" s="2905">
        <f>IFERROR(VLOOKUP(B95,DG!A:F,6,0),3000)</f>
        <v>50</v>
      </c>
      <c r="K95" s="2906">
        <f>IF(AND(OR(H95&gt;0,I95&gt;0),J95&lt;2000),COUNTIF($B$2:B95,B95),0)</f>
        <v>1</v>
      </c>
      <c r="L95" s="1300"/>
      <c r="M95" s="1375"/>
      <c r="O95" s="1375"/>
    </row>
    <row r="96" spans="1:15" s="1208" customFormat="1" ht="25.2" customHeight="1">
      <c r="A96" s="2897">
        <f>COUNTIF($K$1:K96,1)</f>
        <v>76</v>
      </c>
      <c r="B96" s="2898" t="str">
        <f>chitiet!B878</f>
        <v>B16600</v>
      </c>
      <c r="C96" s="2899" t="str">
        <f>chitiet!C878</f>
        <v>x</v>
      </c>
      <c r="D96" s="2900">
        <f>chitiet!D878</f>
        <v>1</v>
      </c>
      <c r="E96" s="2901">
        <f>chitiet!E878</f>
        <v>0</v>
      </c>
      <c r="F96" s="2902" t="str">
        <f>chitiet!F878</f>
        <v>Boulon 16x600+ 2 long đền vuông D18-50x50x3/Zn</v>
      </c>
      <c r="G96" s="2903" t="str">
        <f>chitiet!G878</f>
        <v>bộ</v>
      </c>
      <c r="H96" s="2904">
        <f>chitiet!H878</f>
        <v>3</v>
      </c>
      <c r="I96" s="2904">
        <f>chitiet!P878</f>
        <v>3</v>
      </c>
      <c r="J96" s="2905">
        <f>IFERROR(VLOOKUP(B96,DG!A:F,6,0),3000)</f>
        <v>50</v>
      </c>
      <c r="K96" s="2906">
        <f>IF(AND(OR(H96&gt;0,I96&gt;0),J96&lt;2000),COUNTIF($B$2:B96,B96),0)</f>
        <v>1</v>
      </c>
      <c r="L96" s="1300"/>
      <c r="M96" s="1375"/>
      <c r="O96" s="1375"/>
    </row>
    <row r="97" spans="1:15" s="1208" customFormat="1" ht="25.2" customHeight="1">
      <c r="A97" s="2897">
        <f>COUNTIF($K$1:K97,1)</f>
        <v>77</v>
      </c>
      <c r="B97" s="2898" t="str">
        <f>chitiet!B879</f>
        <v>B16550v</v>
      </c>
      <c r="C97" s="2899" t="str">
        <f>chitiet!C879</f>
        <v>x</v>
      </c>
      <c r="D97" s="2900">
        <f>chitiet!D879</f>
        <v>2</v>
      </c>
      <c r="E97" s="2901">
        <f>chitiet!E879</f>
        <v>0</v>
      </c>
      <c r="F97" s="2902" t="str">
        <f>chitiet!F879</f>
        <v>Boulon 16x550VRS+ 4 long đền vuông D18-50x50x3/Zn</v>
      </c>
      <c r="G97" s="2921" t="str">
        <f>chitiet!G879</f>
        <v>bộ</v>
      </c>
      <c r="H97" s="2922">
        <f>chitiet!H879</f>
        <v>6</v>
      </c>
      <c r="I97" s="2922">
        <f>chitiet!P879</f>
        <v>6</v>
      </c>
      <c r="J97" s="2905">
        <f>IFERROR(VLOOKUP(B97,DG!A:F,6,0),3000)</f>
        <v>50</v>
      </c>
      <c r="K97" s="2906">
        <f>IF(AND(OR(H97&gt;0,I97&gt;0),J97&lt;2000),COUNTIF($B$2:B97,B97),0)</f>
        <v>1</v>
      </c>
      <c r="L97" s="1300"/>
      <c r="M97" s="1375"/>
      <c r="O97" s="1375"/>
    </row>
    <row r="98" spans="1:15" s="1208" customFormat="1" ht="25.2" customHeight="1">
      <c r="A98" s="2897">
        <f>COUNTIF($K$1:K98,1)</f>
        <v>77</v>
      </c>
      <c r="B98" s="2898" t="str">
        <f>chitiet!B880</f>
        <v>B1650</v>
      </c>
      <c r="C98" s="2899" t="str">
        <f>chitiet!C880</f>
        <v>x</v>
      </c>
      <c r="D98" s="2900">
        <f>chitiet!D880</f>
        <v>4</v>
      </c>
      <c r="E98" s="2901">
        <f>chitiet!E880</f>
        <v>0</v>
      </c>
      <c r="F98" s="2902" t="str">
        <f>chitiet!F880</f>
        <v>Boulon 16x50+ 2 long đền vuông D18-50x50x3/Zn</v>
      </c>
      <c r="G98" s="2903" t="str">
        <f>chitiet!G880</f>
        <v>bộ</v>
      </c>
      <c r="H98" s="2904">
        <f>chitiet!H880</f>
        <v>12</v>
      </c>
      <c r="I98" s="2904">
        <f>chitiet!P880</f>
        <v>12</v>
      </c>
      <c r="J98" s="2905">
        <f>IFERROR(VLOOKUP(B98,DG!A:F,6,0),3000)</f>
        <v>50</v>
      </c>
      <c r="K98" s="2906">
        <f>IF(AND(OR(H98&gt;0,I98&gt;0),J98&lt;2000),COUNTIF($B$2:B98,B98),0)</f>
        <v>3</v>
      </c>
      <c r="L98" s="1300"/>
      <c r="M98" s="1375"/>
      <c r="O98" s="1375"/>
    </row>
    <row r="99" spans="1:15" s="1208" customFormat="1" ht="25.2" customHeight="1">
      <c r="A99" s="2897">
        <f>COUNTIF($K$1:K99,1)</f>
        <v>78</v>
      </c>
      <c r="B99" s="2898" t="str">
        <f>chitiet!B953</f>
        <v>SL75-2100</v>
      </c>
      <c r="C99" s="2899" t="str">
        <f>chitiet!C953</f>
        <v>x</v>
      </c>
      <c r="D99" s="2900">
        <f>chitiet!D953</f>
        <v>1</v>
      </c>
      <c r="E99" s="2907">
        <f>chitiet!E953</f>
        <v>0</v>
      </c>
      <c r="F99" s="2898" t="str">
        <f>chitiet!F953</f>
        <v>Sắt góc L75 x75 x8-2100</v>
      </c>
      <c r="G99" s="2908" t="str">
        <f>chitiet!G953</f>
        <v>cái</v>
      </c>
      <c r="H99" s="2908">
        <f>chitiet!H953</f>
        <v>3</v>
      </c>
      <c r="I99" s="2908">
        <f>chitiet!P953</f>
        <v>3</v>
      </c>
      <c r="J99" s="2905">
        <f>IFERROR(VLOOKUP(B99,DG!A:F,6,0),3000)</f>
        <v>50</v>
      </c>
      <c r="K99" s="2906">
        <f>IF(AND(OR(H99&gt;0,I99&gt;0),J99&lt;2000),COUNTIF($B$2:B99,B99),0)</f>
        <v>1</v>
      </c>
      <c r="L99" s="1300"/>
      <c r="M99" s="1375"/>
      <c r="O99" s="1375"/>
    </row>
    <row r="100" spans="1:15" s="1208" customFormat="1" ht="25.2" customHeight="1">
      <c r="A100" s="2897">
        <f>COUNTIF($K$1:K100,1)</f>
        <v>79</v>
      </c>
      <c r="B100" s="2898" t="str">
        <f>chitiet!B954</f>
        <v>SL50-1190</v>
      </c>
      <c r="C100" s="2899" t="str">
        <f>chitiet!C954</f>
        <v>x</v>
      </c>
      <c r="D100" s="2900">
        <f>chitiet!D954</f>
        <v>1</v>
      </c>
      <c r="E100" s="2901">
        <f>chitiet!E954</f>
        <v>0</v>
      </c>
      <c r="F100" s="2902" t="str">
        <f>chitiet!F954</f>
        <v>Sắt góc L50 x50 x5 x</v>
      </c>
      <c r="G100" s="2903" t="str">
        <f>chitiet!G954</f>
        <v>cái</v>
      </c>
      <c r="H100" s="2904">
        <f>chitiet!H954</f>
        <v>3</v>
      </c>
      <c r="I100" s="2904">
        <f>chitiet!P954</f>
        <v>3</v>
      </c>
      <c r="J100" s="2905">
        <f>IFERROR(VLOOKUP(B100,DG!A:F,6,0),3000)</f>
        <v>50</v>
      </c>
      <c r="K100" s="2906">
        <f>IF(AND(OR(H100&gt;0,I100&gt;0),J100&lt;2000),COUNTIF($B$2:B100,B100),0)</f>
        <v>1</v>
      </c>
      <c r="L100" s="1300"/>
      <c r="M100" s="1375"/>
      <c r="O100" s="1375"/>
    </row>
    <row r="101" spans="1:15" s="1208" customFormat="1" ht="25.2" customHeight="1">
      <c r="A101" s="2897">
        <f>COUNTIF($K$1:K101,1)</f>
        <v>79</v>
      </c>
      <c r="B101" s="2898" t="str">
        <f>chitiet!B956</f>
        <v>B16300</v>
      </c>
      <c r="C101" s="2899" t="str">
        <f>chitiet!C956</f>
        <v>x</v>
      </c>
      <c r="D101" s="2900">
        <f>chitiet!D956</f>
        <v>2</v>
      </c>
      <c r="E101" s="2901">
        <f>chitiet!E956</f>
        <v>0</v>
      </c>
      <c r="F101" s="2902" t="str">
        <f>chitiet!F956</f>
        <v>Boulon 16x300+ 2 long đền vuông D18-50x50x3/Zn</v>
      </c>
      <c r="G101" s="2903" t="str">
        <f>chitiet!G956</f>
        <v>bộ</v>
      </c>
      <c r="H101" s="2904">
        <f>chitiet!H956</f>
        <v>6</v>
      </c>
      <c r="I101" s="2904">
        <f>chitiet!P956</f>
        <v>6</v>
      </c>
      <c r="J101" s="2905">
        <f>IFERROR(VLOOKUP(B101,DG!A:F,6,0),3000)</f>
        <v>50</v>
      </c>
      <c r="K101" s="2906">
        <f>IF(AND(OR(H101&gt;0,I101&gt;0),J101&lt;2000),COUNTIF($B$2:B101,B101),0)</f>
        <v>3</v>
      </c>
      <c r="L101" s="1297"/>
      <c r="M101" s="1375"/>
      <c r="O101" s="1375"/>
    </row>
    <row r="102" spans="1:15" s="1208" customFormat="1" ht="25.2" customHeight="1">
      <c r="A102" s="2897">
        <f>COUNTIF($K$1:K102,1)</f>
        <v>79</v>
      </c>
      <c r="B102" s="2898" t="str">
        <f>chitiet!B957</f>
        <v>B1650</v>
      </c>
      <c r="C102" s="2899" t="str">
        <f>chitiet!C957</f>
        <v>x</v>
      </c>
      <c r="D102" s="2900">
        <f>chitiet!D957</f>
        <v>1</v>
      </c>
      <c r="E102" s="2901">
        <f>chitiet!E957</f>
        <v>0</v>
      </c>
      <c r="F102" s="2902" t="str">
        <f>chitiet!F957</f>
        <v>Boulon 16x50+ 2 long đền vuông D18-50x50x3/Zn</v>
      </c>
      <c r="G102" s="2903" t="str">
        <f>chitiet!G957</f>
        <v>bộ</v>
      </c>
      <c r="H102" s="2904">
        <f>chitiet!H957</f>
        <v>3</v>
      </c>
      <c r="I102" s="2928">
        <f>chitiet!P957</f>
        <v>3</v>
      </c>
      <c r="J102" s="2905">
        <f>IFERROR(VLOOKUP(B102,DG!A:F,6,0),3000)</f>
        <v>50</v>
      </c>
      <c r="K102" s="2906">
        <f>IF(AND(OR(H102&gt;0,I102&gt;0),J102&lt;2000),COUNTIF($B$2:B102,B102),0)</f>
        <v>4</v>
      </c>
      <c r="L102" s="1300"/>
      <c r="M102" s="1375"/>
      <c r="O102" s="1375"/>
    </row>
    <row r="103" spans="1:15" s="1208" customFormat="1" ht="25.2" customHeight="1">
      <c r="A103" s="2897">
        <f>COUNTIF($K$1:K103,1)</f>
        <v>79</v>
      </c>
      <c r="B103" s="2898" t="str">
        <f>chitiet!B963</f>
        <v>SL75-2100</v>
      </c>
      <c r="C103" s="2899" t="str">
        <f>chitiet!C963</f>
        <v>x</v>
      </c>
      <c r="D103" s="2900">
        <f>chitiet!D963</f>
        <v>2</v>
      </c>
      <c r="E103" s="2901">
        <f>chitiet!E963</f>
        <v>0</v>
      </c>
      <c r="F103" s="2902" t="str">
        <f>chitiet!F963</f>
        <v>Sắt góc L75 x75 x8-2100</v>
      </c>
      <c r="G103" s="2903" t="str">
        <f>chitiet!G963</f>
        <v>cái</v>
      </c>
      <c r="H103" s="2904">
        <f>chitiet!H963</f>
        <v>2</v>
      </c>
      <c r="I103" s="2904">
        <f>chitiet!P963</f>
        <v>2</v>
      </c>
      <c r="J103" s="2905">
        <f>IFERROR(VLOOKUP(B103,DG!A:F,6,0),3000)</f>
        <v>50</v>
      </c>
      <c r="K103" s="2906">
        <f>IF(AND(OR(H103&gt;0,I103&gt;0),J103&lt;2000),COUNTIF($B$2:B103,B103),0)</f>
        <v>2</v>
      </c>
      <c r="L103" s="1752"/>
      <c r="M103" s="1375"/>
      <c r="O103" s="1375"/>
    </row>
    <row r="104" spans="1:15" s="1208" customFormat="1" ht="25.2" customHeight="1">
      <c r="A104" s="2897">
        <f>COUNTIF($K$1:K104,1)</f>
        <v>79</v>
      </c>
      <c r="B104" s="2898" t="str">
        <f>chitiet!B964</f>
        <v>SL50-1190</v>
      </c>
      <c r="C104" s="2899" t="str">
        <f>chitiet!C964</f>
        <v>x</v>
      </c>
      <c r="D104" s="2900">
        <f>chitiet!D964</f>
        <v>2</v>
      </c>
      <c r="E104" s="2901">
        <f>chitiet!E964</f>
        <v>0</v>
      </c>
      <c r="F104" s="2902" t="str">
        <f>chitiet!F964</f>
        <v>Sắt góc L50 x50 x5 x</v>
      </c>
      <c r="G104" s="2903" t="str">
        <f>chitiet!G964</f>
        <v>cái</v>
      </c>
      <c r="H104" s="2904">
        <f>chitiet!H964</f>
        <v>2</v>
      </c>
      <c r="I104" s="2904">
        <f>chitiet!P964</f>
        <v>2</v>
      </c>
      <c r="J104" s="2905">
        <f>IFERROR(VLOOKUP(B104,DG!A:F,6,0),3000)</f>
        <v>50</v>
      </c>
      <c r="K104" s="2906">
        <f>IF(AND(OR(H104&gt;0,I104&gt;0),J104&lt;2000),COUNTIF($B$2:B104,B104),0)</f>
        <v>2</v>
      </c>
      <c r="L104" s="1752"/>
      <c r="M104" s="1753"/>
      <c r="N104" s="1754"/>
      <c r="O104" s="1753"/>
    </row>
    <row r="105" spans="1:15" s="1208" customFormat="1" ht="25.2" customHeight="1">
      <c r="A105" s="2897">
        <f>COUNTIF($K$1:K105,1)</f>
        <v>79</v>
      </c>
      <c r="B105" s="2898" t="str">
        <f>chitiet!B966</f>
        <v>B16300v</v>
      </c>
      <c r="C105" s="2899" t="str">
        <f>chitiet!C966</f>
        <v>x</v>
      </c>
      <c r="D105" s="2900">
        <f>chitiet!D966</f>
        <v>3</v>
      </c>
      <c r="E105" s="2901">
        <f>chitiet!E966</f>
        <v>0</v>
      </c>
      <c r="F105" s="2902" t="str">
        <f>chitiet!F966</f>
        <v>Boulon 16x300VRS+ 4 long đền vuông D18-50x50x3/Zn</v>
      </c>
      <c r="G105" s="2903" t="str">
        <f>chitiet!G966</f>
        <v>bộ</v>
      </c>
      <c r="H105" s="2904">
        <f>chitiet!H966</f>
        <v>3</v>
      </c>
      <c r="I105" s="2904">
        <f>chitiet!P966</f>
        <v>3</v>
      </c>
      <c r="J105" s="2905">
        <f>IFERROR(VLOOKUP(B105,DG!A:F,6,0),3000)</f>
        <v>50</v>
      </c>
      <c r="K105" s="2906">
        <f>IF(AND(OR(H105&gt;0,I105&gt;0),J105&lt;2000),COUNTIF($B$2:B105,B105),0)</f>
        <v>3</v>
      </c>
      <c r="L105" s="1300"/>
      <c r="M105" s="1375"/>
      <c r="O105" s="1375"/>
    </row>
    <row r="106" spans="1:15" s="1208" customFormat="1" ht="25.2" customHeight="1">
      <c r="A106" s="2897">
        <f>COUNTIF($K$1:K106,1)</f>
        <v>79</v>
      </c>
      <c r="B106" s="2898" t="str">
        <f>chitiet!B967</f>
        <v>B16300</v>
      </c>
      <c r="C106" s="2899" t="str">
        <f>chitiet!C967</f>
        <v>x</v>
      </c>
      <c r="D106" s="2900">
        <f>chitiet!D967</f>
        <v>2</v>
      </c>
      <c r="E106" s="2901">
        <f>chitiet!E967</f>
        <v>0</v>
      </c>
      <c r="F106" s="2902" t="str">
        <f>chitiet!F967</f>
        <v>Boulon 16x300+ 2 long đền vuông D18-50x50x3/Zn</v>
      </c>
      <c r="G106" s="2903" t="str">
        <f>chitiet!G967</f>
        <v>bộ</v>
      </c>
      <c r="H106" s="2904">
        <f>chitiet!H967</f>
        <v>2</v>
      </c>
      <c r="I106" s="2904">
        <f>chitiet!P967</f>
        <v>2</v>
      </c>
      <c r="J106" s="2905">
        <f>IFERROR(VLOOKUP(B106,DG!A:F,6,0),3000)</f>
        <v>50</v>
      </c>
      <c r="K106" s="2906">
        <f>IF(AND(OR(H106&gt;0,I106&gt;0),J106&lt;2000),COUNTIF($B$2:B106,B106),0)</f>
        <v>4</v>
      </c>
      <c r="L106" s="1300"/>
      <c r="M106" s="1375"/>
      <c r="O106" s="1375"/>
    </row>
    <row r="107" spans="1:15" s="1208" customFormat="1" ht="25.2" customHeight="1">
      <c r="A107" s="2897">
        <f>COUNTIF($K$1:K107,1)</f>
        <v>80</v>
      </c>
      <c r="B107" s="2898" t="str">
        <f>chitiet!B968</f>
        <v>B1635</v>
      </c>
      <c r="C107" s="2899" t="str">
        <f>chitiet!C968</f>
        <v>x</v>
      </c>
      <c r="D107" s="2900">
        <f>chitiet!D968</f>
        <v>2</v>
      </c>
      <c r="E107" s="2901">
        <f>chitiet!E968</f>
        <v>0</v>
      </c>
      <c r="F107" s="2902" t="str">
        <f>chitiet!F968</f>
        <v>Boulon 16x35+ 2 long đền vuông D18-50x50x3/Zn</v>
      </c>
      <c r="G107" s="2903" t="str">
        <f>chitiet!G968</f>
        <v>bộ</v>
      </c>
      <c r="H107" s="2904">
        <f>chitiet!H968</f>
        <v>2</v>
      </c>
      <c r="I107" s="2904">
        <f>chitiet!P968</f>
        <v>2</v>
      </c>
      <c r="J107" s="2905">
        <f>IFERROR(VLOOKUP(B107,DG!A:F,6,0),3000)</f>
        <v>50</v>
      </c>
      <c r="K107" s="2906">
        <f>IF(AND(OR(H107&gt;0,I107&gt;0),J107&lt;2000),COUNTIF($B$2:B107,B107),0)</f>
        <v>1</v>
      </c>
      <c r="L107" s="1300"/>
      <c r="M107" s="1375"/>
      <c r="O107" s="1375"/>
    </row>
    <row r="108" spans="1:15" s="1208" customFormat="1" ht="25.2" customHeight="1">
      <c r="A108" s="2897">
        <f>COUNTIF($K$1:K108,1)</f>
        <v>81</v>
      </c>
      <c r="B108" s="2898" t="str">
        <f>chitiet!B1108</f>
        <v>com800</v>
      </c>
      <c r="C108" s="2899" t="str">
        <f>chitiet!C1108</f>
        <v>x</v>
      </c>
      <c r="D108" s="2900">
        <f>chitiet!D1108</f>
        <v>1</v>
      </c>
      <c r="E108" s="2901">
        <f>chitiet!E1108</f>
        <v>0</v>
      </c>
      <c r="F108" s="2902" t="str">
        <f>chitiet!F1108</f>
        <v>Đà composite 0,8m</v>
      </c>
      <c r="G108" s="2903" t="str">
        <f>chitiet!G1108</f>
        <v>cây</v>
      </c>
      <c r="H108" s="2904">
        <f>chitiet!H1108</f>
        <v>1</v>
      </c>
      <c r="I108" s="2904">
        <f>chitiet!P1108</f>
        <v>1</v>
      </c>
      <c r="J108" s="2905">
        <f>IFERROR(VLOOKUP(B108,DG!A:F,6,0),3000)</f>
        <v>50</v>
      </c>
      <c r="K108" s="2906">
        <f>IF(AND(OR(H108&gt;0,I108&gt;0),J108&lt;2000),COUNTIF($B$2:B108,B108),0)</f>
        <v>1</v>
      </c>
      <c r="L108" s="1300"/>
      <c r="M108" s="1375"/>
      <c r="O108" s="1375"/>
    </row>
    <row r="109" spans="1:15" s="1208" customFormat="1" ht="25.2" customHeight="1">
      <c r="A109" s="2897">
        <f>COUNTIF($K$1:K109,1)</f>
        <v>81</v>
      </c>
      <c r="B109" s="2898" t="str">
        <f>chitiet!B1109</f>
        <v>com40x10x920</v>
      </c>
      <c r="C109" s="2899" t="str">
        <f>chitiet!C1109</f>
        <v>x</v>
      </c>
      <c r="D109" s="2900">
        <f>chitiet!D1109</f>
        <v>1</v>
      </c>
      <c r="E109" s="2901">
        <f>chitiet!E1109</f>
        <v>0</v>
      </c>
      <c r="F109" s="2902" t="str">
        <f>chitiet!F1109</f>
        <v>Chống composite 40x10x920</v>
      </c>
      <c r="G109" s="2903" t="str">
        <f>chitiet!G1109</f>
        <v>cái</v>
      </c>
      <c r="H109" s="2904">
        <f>chitiet!H1109</f>
        <v>1</v>
      </c>
      <c r="I109" s="2904">
        <f>chitiet!P1109</f>
        <v>1</v>
      </c>
      <c r="J109" s="2905">
        <f>IFERROR(VLOOKUP(B109,DG!A:F,6,0),3000)</f>
        <v>50</v>
      </c>
      <c r="K109" s="2906">
        <f>IF(AND(OR(H109&gt;0,I109&gt;0),J109&lt;2000),COUNTIF($B$2:B109,B109),0)</f>
        <v>2</v>
      </c>
      <c r="L109" s="1300"/>
      <c r="M109" s="1375"/>
      <c r="O109" s="1375"/>
    </row>
    <row r="110" spans="1:15" s="1208" customFormat="1" ht="25.2" customHeight="1">
      <c r="A110" s="2897">
        <f>COUNTIF($K$1:K110,1)</f>
        <v>82</v>
      </c>
      <c r="B110" s="2912" t="str">
        <f>chitiet!B1111</f>
        <v>B16150</v>
      </c>
      <c r="C110" s="2913" t="str">
        <f>chitiet!C1111</f>
        <v>x</v>
      </c>
      <c r="D110" s="2914">
        <f>chitiet!D1111</f>
        <v>2</v>
      </c>
      <c r="E110" s="2926">
        <f>chitiet!E1111</f>
        <v>0</v>
      </c>
      <c r="F110" s="2912" t="str">
        <f>chitiet!F1111</f>
        <v>Boulon 16x150+ 2 long đền vuông D18-50x50x3/Zn</v>
      </c>
      <c r="G110" s="2927" t="str">
        <f>chitiet!G1111</f>
        <v>bộ</v>
      </c>
      <c r="H110" s="2927">
        <f>chitiet!H1111</f>
        <v>2</v>
      </c>
      <c r="I110" s="2908">
        <f>chitiet!P1111</f>
        <v>2</v>
      </c>
      <c r="J110" s="2905">
        <f>IFERROR(VLOOKUP(B110,DG!A:F,6,0),3000)</f>
        <v>50</v>
      </c>
      <c r="K110" s="2906">
        <f>IF(AND(OR(H110&gt;0,I110&gt;0),J110&lt;2000),COUNTIF($B$2:B110,B110),0)</f>
        <v>1</v>
      </c>
      <c r="L110" s="1297"/>
      <c r="M110" s="1375"/>
      <c r="O110" s="1375"/>
    </row>
    <row r="111" spans="1:15" s="1208" customFormat="1" ht="25.2" customHeight="1">
      <c r="A111" s="2897">
        <f>COUNTIF($K$1:K111,1)</f>
        <v>83</v>
      </c>
      <c r="B111" s="2898" t="str">
        <f>chitiet!B1112</f>
        <v>B16400</v>
      </c>
      <c r="C111" s="2899" t="str">
        <f>chitiet!C1112</f>
        <v>x</v>
      </c>
      <c r="D111" s="2900">
        <f>chitiet!D1112</f>
        <v>2</v>
      </c>
      <c r="E111" s="2901">
        <f>chitiet!E1112</f>
        <v>0</v>
      </c>
      <c r="F111" s="2902" t="str">
        <f>chitiet!F1112</f>
        <v>Boulon 16x400+ 2 long đền vuông D18-50x50x3/Zn</v>
      </c>
      <c r="G111" s="2903" t="str">
        <f>chitiet!G1112</f>
        <v>bộ</v>
      </c>
      <c r="H111" s="2904">
        <f>chitiet!H1112</f>
        <v>2</v>
      </c>
      <c r="I111" s="2904">
        <f>chitiet!P1112</f>
        <v>2</v>
      </c>
      <c r="J111" s="2905">
        <f>IFERROR(VLOOKUP(B111,DG!A:F,6,0),3000)</f>
        <v>50</v>
      </c>
      <c r="K111" s="2906">
        <f>IF(AND(OR(H111&gt;0,I111&gt;0),J111&lt;2000),COUNTIF($B$2:B111,B111),0)</f>
        <v>1</v>
      </c>
      <c r="L111" s="1300"/>
      <c r="M111" s="1375"/>
      <c r="O111" s="1375"/>
    </row>
    <row r="112" spans="1:15" s="1208" customFormat="1" ht="25.2" customHeight="1">
      <c r="A112" s="2897">
        <f>COUNTIF($K$1:K112,1)</f>
        <v>83</v>
      </c>
      <c r="B112" s="2917" t="str">
        <f>chitiet!B1115</f>
        <v>COM110x800x5-2,4</v>
      </c>
      <c r="C112" s="2918" t="str">
        <f>chitiet!C1115</f>
        <v>x</v>
      </c>
      <c r="D112" s="2919">
        <f>chitiet!D1115</f>
        <v>1</v>
      </c>
      <c r="E112" s="2920">
        <f>chitiet!E1115</f>
        <v>0</v>
      </c>
      <c r="F112" s="2917" t="str">
        <f>chitiet!F1115</f>
        <v>Xà composite 110x800x5 dài 2,4m</v>
      </c>
      <c r="G112" s="2909" t="str">
        <f>chitiet!G1115</f>
        <v>cái</v>
      </c>
      <c r="H112" s="2909">
        <f>chitiet!H1115</f>
        <v>1</v>
      </c>
      <c r="I112" s="2909">
        <f>chitiet!P1115</f>
        <v>1</v>
      </c>
      <c r="J112" s="2905">
        <f>IFERROR(VLOOKUP(B112,DG!A:F,6,0),3000)</f>
        <v>50</v>
      </c>
      <c r="K112" s="2906">
        <f>IF(AND(OR(H112&gt;0,I112&gt;0),J112&lt;2000),COUNTIF($B$2:B112,B112),0)</f>
        <v>2</v>
      </c>
      <c r="L112" s="1297"/>
      <c r="M112" s="1375"/>
      <c r="O112" s="1375"/>
    </row>
    <row r="113" spans="1:15" s="1208" customFormat="1" ht="25.2" customHeight="1">
      <c r="A113" s="2897">
        <f>COUNTIF($K$1:K113,1)</f>
        <v>83</v>
      </c>
      <c r="B113" s="2898" t="str">
        <f>chitiet!B1117</f>
        <v>com40x10x920</v>
      </c>
      <c r="C113" s="2899" t="str">
        <f>chitiet!C1117</f>
        <v>x</v>
      </c>
      <c r="D113" s="2900">
        <f>chitiet!D1117</f>
        <v>2</v>
      </c>
      <c r="E113" s="2907">
        <f>chitiet!E1117</f>
        <v>0</v>
      </c>
      <c r="F113" s="2898" t="str">
        <f>chitiet!F1117</f>
        <v>Chống composite 40x10x920</v>
      </c>
      <c r="G113" s="2908" t="str">
        <f>chitiet!G1117</f>
        <v>cái</v>
      </c>
      <c r="H113" s="2908">
        <f>chitiet!H1117</f>
        <v>2</v>
      </c>
      <c r="I113" s="2908">
        <f>chitiet!P1117</f>
        <v>2</v>
      </c>
      <c r="J113" s="2905">
        <f>IFERROR(VLOOKUP(B113,DG!A:F,6,0),3000)</f>
        <v>50</v>
      </c>
      <c r="K113" s="2906">
        <f>IF(AND(OR(H113&gt;0,I113&gt;0),J113&lt;2000),COUNTIF($B$2:B113,B113),0)</f>
        <v>3</v>
      </c>
      <c r="L113" s="1300"/>
      <c r="M113" s="1375"/>
      <c r="O113" s="1375"/>
    </row>
    <row r="114" spans="1:15" s="1208" customFormat="1" ht="25.2" customHeight="1">
      <c r="A114" s="2897">
        <f>COUNTIF($K$1:K114,1)</f>
        <v>83</v>
      </c>
      <c r="B114" s="2912" t="str">
        <f>chitiet!B1118</f>
        <v>B16150</v>
      </c>
      <c r="C114" s="2913" t="str">
        <f>chitiet!C1118</f>
        <v>x</v>
      </c>
      <c r="D114" s="2914">
        <f>chitiet!D1118</f>
        <v>2</v>
      </c>
      <c r="E114" s="2915">
        <f>chitiet!E1118</f>
        <v>0</v>
      </c>
      <c r="F114" s="2916" t="str">
        <f>chitiet!F1118</f>
        <v>Boulon 16x150+ 2 long đền vuông D18-50x50x3/Zn</v>
      </c>
      <c r="G114" s="2910" t="str">
        <f>chitiet!G1118</f>
        <v>bộ</v>
      </c>
      <c r="H114" s="2911">
        <f>chitiet!H1118</f>
        <v>2</v>
      </c>
      <c r="I114" s="2925">
        <f>chitiet!P1118</f>
        <v>2</v>
      </c>
      <c r="J114" s="2905">
        <f>IFERROR(VLOOKUP(B114,DG!A:F,6,0),3000)</f>
        <v>50</v>
      </c>
      <c r="K114" s="2906">
        <f>IF(AND(OR(H114&gt;0,I114&gt;0),J114&lt;2000),COUNTIF($B$2:B114,B114),0)</f>
        <v>2</v>
      </c>
      <c r="L114" s="1300"/>
      <c r="M114" s="1753"/>
      <c r="N114" s="1754"/>
      <c r="O114" s="1753"/>
    </row>
    <row r="115" spans="1:15" s="1208" customFormat="1" ht="25.2" customHeight="1">
      <c r="A115" s="2897">
        <f>COUNTIF($K$1:K115,1)</f>
        <v>83</v>
      </c>
      <c r="B115" s="2898" t="str">
        <f>chitiet!B1119</f>
        <v>B16250</v>
      </c>
      <c r="C115" s="2899" t="str">
        <f>chitiet!C1119</f>
        <v>x</v>
      </c>
      <c r="D115" s="2900">
        <f>chitiet!D1119</f>
        <v>1</v>
      </c>
      <c r="E115" s="2901">
        <f>chitiet!E1119</f>
        <v>0</v>
      </c>
      <c r="F115" s="2902" t="str">
        <f>chitiet!F1119</f>
        <v>Boulon 16x250+ 2 long đền vuông D18-50x50x3/Zn</v>
      </c>
      <c r="G115" s="2903" t="str">
        <f>chitiet!G1119</f>
        <v>bộ</v>
      </c>
      <c r="H115" s="2904">
        <f>chitiet!H1119</f>
        <v>1</v>
      </c>
      <c r="I115" s="2904">
        <f>chitiet!P1119</f>
        <v>1</v>
      </c>
      <c r="J115" s="2905">
        <f>IFERROR(VLOOKUP(B115,DG!A:F,6,0),3000)</f>
        <v>50</v>
      </c>
      <c r="K115" s="2906">
        <f>IF(AND(OR(H115&gt;0,I115&gt;0),J115&lt;2000),COUNTIF($B$2:B115,B115),0)</f>
        <v>2</v>
      </c>
      <c r="L115" s="1300"/>
      <c r="M115" s="1375"/>
      <c r="O115" s="1375"/>
    </row>
    <row r="116" spans="1:15" s="1208" customFormat="1" ht="25.2" customHeight="1">
      <c r="A116" s="2897">
        <f>COUNTIF($K$1:K116,1)</f>
        <v>83</v>
      </c>
      <c r="B116" s="2912" t="str">
        <f>chitiet!B1120</f>
        <v>B16350</v>
      </c>
      <c r="C116" s="2913" t="str">
        <f>chitiet!C1120</f>
        <v>x</v>
      </c>
      <c r="D116" s="2914">
        <f>chitiet!D1120</f>
        <v>1</v>
      </c>
      <c r="E116" s="2926">
        <f>chitiet!E1120</f>
        <v>0</v>
      </c>
      <c r="F116" s="2912" t="str">
        <f>chitiet!F1120</f>
        <v>Boulon 16x350+ 2 long đền vuông D18-50x50x3/Zn</v>
      </c>
      <c r="G116" s="2927" t="str">
        <f>chitiet!G1120</f>
        <v>bộ</v>
      </c>
      <c r="H116" s="2927">
        <f>chitiet!H1120</f>
        <v>1</v>
      </c>
      <c r="I116" s="2908">
        <f>chitiet!P1120</f>
        <v>1</v>
      </c>
      <c r="J116" s="2905">
        <f>IFERROR(VLOOKUP(B116,DG!A:F,6,0),3000)</f>
        <v>50</v>
      </c>
      <c r="K116" s="2906">
        <f>IF(AND(OR(H116&gt;0,I116&gt;0),J116&lt;2000),COUNTIF($B$2:B116,B116),0)</f>
        <v>2</v>
      </c>
      <c r="L116" s="1297"/>
      <c r="M116" s="1753"/>
      <c r="N116" s="1754"/>
      <c r="O116" s="1753"/>
    </row>
    <row r="117" spans="1:15" s="1208" customFormat="1" ht="25.2" customHeight="1">
      <c r="A117" s="2897">
        <f>COUNTIF($K$1:K117,1)</f>
        <v>84</v>
      </c>
      <c r="B117" s="2898" t="str">
        <f>chitiet!B1794</f>
        <v>R1</v>
      </c>
      <c r="C117" s="2899" t="str">
        <f>chitiet!C1794</f>
        <v>x</v>
      </c>
      <c r="D117" s="2900">
        <f>chitiet!D1794</f>
        <v>1</v>
      </c>
      <c r="E117" s="2901">
        <f>chitiet!E1794</f>
        <v>0</v>
      </c>
      <c r="F117" s="2902" t="str">
        <f>chitiet!F1794</f>
        <v>Uclevis + sứ ống chỉ</v>
      </c>
      <c r="G117" s="2903" t="str">
        <f>chitiet!G1794</f>
        <v>bộ</v>
      </c>
      <c r="H117" s="2904">
        <f>chitiet!H1794</f>
        <v>4</v>
      </c>
      <c r="I117" s="2904">
        <f>chitiet!P1794</f>
        <v>4</v>
      </c>
      <c r="J117" s="2905">
        <f>IFERROR(VLOOKUP(B117,DG!A:F,6,0),3000)</f>
        <v>50</v>
      </c>
      <c r="K117" s="2906">
        <f>IF(AND(OR(H117&gt;0,I117&gt;0),J117&lt;2000),COUNTIF($B$2:B117,B117),0)</f>
        <v>1</v>
      </c>
      <c r="L117" s="1300"/>
      <c r="M117" s="1375"/>
      <c r="O117" s="1375"/>
    </row>
    <row r="118" spans="1:15" s="1208" customFormat="1" ht="25.2" customHeight="1">
      <c r="A118" s="2897">
        <f>COUNTIF($K$1:K118,1)</f>
        <v>84</v>
      </c>
      <c r="B118" s="2898" t="str">
        <f>chitiet!B1795</f>
        <v>B16300</v>
      </c>
      <c r="C118" s="2899" t="str">
        <f>chitiet!C1795</f>
        <v>x</v>
      </c>
      <c r="D118" s="2900">
        <f>chitiet!D1795</f>
        <v>1</v>
      </c>
      <c r="E118" s="2901">
        <f>chitiet!E1795</f>
        <v>0</v>
      </c>
      <c r="F118" s="2902" t="str">
        <f>chitiet!F1795</f>
        <v>Boulon 16x300+ 2 long đền vuông D18-50x50x3/Zn</v>
      </c>
      <c r="G118" s="2903" t="str">
        <f>chitiet!G1795</f>
        <v>bộ</v>
      </c>
      <c r="H118" s="2904">
        <f>chitiet!H1795</f>
        <v>4</v>
      </c>
      <c r="I118" s="2904">
        <f>chitiet!P1795</f>
        <v>4</v>
      </c>
      <c r="J118" s="2905">
        <f>IFERROR(VLOOKUP(B118,DG!A:F,6,0),3000)</f>
        <v>50</v>
      </c>
      <c r="K118" s="2906">
        <f>IF(AND(OR(H118&gt;0,I118&gt;0),J118&lt;2000),COUNTIF($B$2:B118,B118),0)</f>
        <v>5</v>
      </c>
      <c r="L118" s="1300"/>
      <c r="M118" s="1375"/>
      <c r="O118" s="1375"/>
    </row>
    <row r="119" spans="1:15" s="1208" customFormat="1" ht="25.2" customHeight="1">
      <c r="A119" s="2897">
        <f>COUNTIF($K$1:K119,1)</f>
        <v>85</v>
      </c>
      <c r="B119" s="2898" t="str">
        <f>chitiet!B1807</f>
        <v>kn50</v>
      </c>
      <c r="C119" s="2899" t="str">
        <f>chitiet!C1807</f>
        <v>x</v>
      </c>
      <c r="D119" s="2900">
        <f>chitiet!D1807</f>
        <v>1</v>
      </c>
      <c r="E119" s="2901">
        <f>chitiet!E1807</f>
        <v>0</v>
      </c>
      <c r="F119" s="2902" t="str">
        <f>chitiet!F1807</f>
        <v>Khóa néo dây cỡ dây 50</v>
      </c>
      <c r="G119" s="2903" t="str">
        <f>chitiet!G1807</f>
        <v>cái</v>
      </c>
      <c r="H119" s="2904">
        <f>chitiet!H1807</f>
        <v>1</v>
      </c>
      <c r="I119" s="2904">
        <f>chitiet!P1807</f>
        <v>1</v>
      </c>
      <c r="J119" s="2905">
        <f>IFERROR(VLOOKUP(B119,DG!A:F,6,0),3000)</f>
        <v>50</v>
      </c>
      <c r="K119" s="2906">
        <f>IF(AND(OR(H119&gt;0,I119&gt;0),J119&lt;2000),COUNTIF($B$2:B119,B119),0)</f>
        <v>1</v>
      </c>
      <c r="L119" s="1300"/>
      <c r="M119" s="1375"/>
      <c r="O119" s="1375"/>
    </row>
    <row r="120" spans="1:15" s="1208" customFormat="1" ht="25.2" customHeight="1">
      <c r="A120" s="2897">
        <f>COUNTIF($K$1:K120,1)</f>
        <v>86</v>
      </c>
      <c r="B120" s="2898" t="str">
        <f>chitiet!B1808</f>
        <v>BM16300</v>
      </c>
      <c r="C120" s="2899" t="str">
        <f>chitiet!C1808</f>
        <v>x</v>
      </c>
      <c r="D120" s="2900">
        <f>chitiet!D1808</f>
        <v>1</v>
      </c>
      <c r="E120" s="2901">
        <f>chitiet!E1808</f>
        <v>0</v>
      </c>
      <c r="F120" s="2902" t="str">
        <f>chitiet!F1808</f>
        <v>Boulon mắt 16x300+ 2 long đền vuông D18-50x50x3/Zn</v>
      </c>
      <c r="G120" s="2903" t="str">
        <f>chitiet!G1808</f>
        <v>bộ</v>
      </c>
      <c r="H120" s="2904">
        <f>chitiet!H1808</f>
        <v>1</v>
      </c>
      <c r="I120" s="2904">
        <f>chitiet!P1808</f>
        <v>1</v>
      </c>
      <c r="J120" s="2905">
        <f>IFERROR(VLOOKUP(B120,DG!A:F,6,0),3000)</f>
        <v>50</v>
      </c>
      <c r="K120" s="2906">
        <f>IF(AND(OR(H120&gt;0,I120&gt;0),J120&lt;2000),COUNTIF($B$2:B120,B120),0)</f>
        <v>1</v>
      </c>
      <c r="L120" s="1300"/>
      <c r="M120" s="1375"/>
      <c r="O120" s="1375"/>
    </row>
    <row r="121" spans="1:15" s="1208" customFormat="1" ht="25.2" customHeight="1">
      <c r="A121" s="2897">
        <f>COUNTIF($K$1:K121,1)</f>
        <v>87</v>
      </c>
      <c r="B121" s="2898" t="str">
        <f>chitiet!B1811</f>
        <v>kn70</v>
      </c>
      <c r="C121" s="2899" t="str">
        <f>chitiet!C1811</f>
        <v>x</v>
      </c>
      <c r="D121" s="2900">
        <f>chitiet!D1811</f>
        <v>2</v>
      </c>
      <c r="E121" s="2901">
        <f>chitiet!E1811</f>
        <v>0</v>
      </c>
      <c r="F121" s="2902" t="str">
        <f>chitiet!F1811</f>
        <v>Khóa néo dây cỡ dây 70</v>
      </c>
      <c r="G121" s="2903" t="str">
        <f>chitiet!G1811</f>
        <v>cái</v>
      </c>
      <c r="H121" s="2904">
        <f>chitiet!H1811</f>
        <v>10</v>
      </c>
      <c r="I121" s="2904">
        <f>chitiet!P1811</f>
        <v>10</v>
      </c>
      <c r="J121" s="2905">
        <f>IFERROR(VLOOKUP(B121,DG!A:F,6,0),3000)</f>
        <v>50</v>
      </c>
      <c r="K121" s="2906">
        <f>IF(AND(OR(H121&gt;0,I121&gt;0),J121&lt;2000),COUNTIF($B$2:B121,B121),0)</f>
        <v>1</v>
      </c>
      <c r="L121" s="1300"/>
      <c r="M121" s="1375"/>
      <c r="O121" s="1375"/>
    </row>
    <row r="122" spans="1:15" s="1208" customFormat="1" ht="25.2" customHeight="1">
      <c r="A122" s="2897">
        <f>COUNTIF($K$1:K122,1)</f>
        <v>88</v>
      </c>
      <c r="B122" s="2898" t="str">
        <f>chitiet!B1812</f>
        <v>BM16550</v>
      </c>
      <c r="C122" s="2899" t="str">
        <f>chitiet!C1812</f>
        <v>x</v>
      </c>
      <c r="D122" s="2900">
        <f>chitiet!D1812</f>
        <v>1</v>
      </c>
      <c r="E122" s="2901">
        <f>chitiet!E1812</f>
        <v>0</v>
      </c>
      <c r="F122" s="2902" t="str">
        <f>chitiet!F1812</f>
        <v>Boulon mắt 16x550+ 1 long đền vuông D18-50x50x3/Zn</v>
      </c>
      <c r="G122" s="2903" t="str">
        <f>chitiet!G1812</f>
        <v>bộ</v>
      </c>
      <c r="H122" s="2904">
        <f>chitiet!H1812</f>
        <v>1</v>
      </c>
      <c r="I122" s="2904">
        <f>chitiet!P1812</f>
        <v>1</v>
      </c>
      <c r="J122" s="2905">
        <f>IFERROR(VLOOKUP(B122,DG!A:F,6,0),3000)</f>
        <v>50</v>
      </c>
      <c r="K122" s="2906">
        <f>IF(AND(OR(H122&gt;0,I122&gt;0),J122&lt;2000),COUNTIF($B$2:B122,B122),0)</f>
        <v>1</v>
      </c>
      <c r="L122" s="1300"/>
      <c r="M122" s="1375"/>
      <c r="O122" s="1375"/>
    </row>
    <row r="123" spans="1:15" s="1208" customFormat="1" ht="25.2" customHeight="1">
      <c r="A123" s="2897">
        <f>COUNTIF($K$1:K123,1)</f>
        <v>88</v>
      </c>
      <c r="B123" s="2898" t="str">
        <f>chitiet!B1820</f>
        <v>CSD</v>
      </c>
      <c r="C123" s="2899" t="str">
        <f>chitiet!C1820</f>
        <v>x</v>
      </c>
      <c r="D123" s="2900">
        <f>chitiet!D1820</f>
        <v>1</v>
      </c>
      <c r="E123" s="2907">
        <f>chitiet!E1820</f>
        <v>0</v>
      </c>
      <c r="F123" s="2898" t="str">
        <f>chitiet!F1820</f>
        <v>Chân sứ đứng D20</v>
      </c>
      <c r="G123" s="2908" t="str">
        <f>chitiet!G1820</f>
        <v>cái</v>
      </c>
      <c r="H123" s="2908">
        <f>chitiet!H1820</f>
        <v>27</v>
      </c>
      <c r="I123" s="2908">
        <f>chitiet!P1820</f>
        <v>27</v>
      </c>
      <c r="J123" s="2905">
        <f>IFERROR(VLOOKUP(B123,DG!A:F,6,0),3000)</f>
        <v>50</v>
      </c>
      <c r="K123" s="2906">
        <f>IF(AND(OR(H123&gt;0,I123&gt;0),J123&lt;2000),COUNTIF($B$2:B123,B123),0)</f>
        <v>2</v>
      </c>
      <c r="L123" s="1297"/>
      <c r="M123" s="1375"/>
      <c r="O123" s="1375"/>
    </row>
    <row r="124" spans="1:15" s="1208" customFormat="1" ht="25.2" customHeight="1">
      <c r="A124" s="2897">
        <f>COUNTIF($K$1:K124,1)</f>
        <v>89</v>
      </c>
      <c r="B124" s="2912" t="str">
        <f>chitiet!B1840</f>
        <v>MT</v>
      </c>
      <c r="C124" s="2913" t="str">
        <f>chitiet!C1840</f>
        <v>x</v>
      </c>
      <c r="D124" s="2914">
        <f>chitiet!D1840</f>
        <v>2</v>
      </c>
      <c r="E124" s="2926">
        <f>chitiet!E1840</f>
        <v>0</v>
      </c>
      <c r="F124" s="2912" t="str">
        <f>chitiet!F1840</f>
        <v xml:space="preserve">Móc treo chữ U </v>
      </c>
      <c r="G124" s="2927" t="str">
        <f>chitiet!G1840</f>
        <v>cái</v>
      </c>
      <c r="H124" s="2927">
        <f>chitiet!H1840</f>
        <v>44</v>
      </c>
      <c r="I124" s="2908">
        <f>chitiet!P1840</f>
        <v>44</v>
      </c>
      <c r="J124" s="2905">
        <f>IFERROR(VLOOKUP(B124,DG!A:F,6,0),3000)</f>
        <v>50</v>
      </c>
      <c r="K124" s="2906">
        <f>IF(AND(OR(H124&gt;0,I124&gt;0),J124&lt;2000),COUNTIF($B$2:B124,B124),0)</f>
        <v>1</v>
      </c>
      <c r="L124" s="1297"/>
      <c r="M124" s="1375"/>
      <c r="O124" s="1375"/>
    </row>
    <row r="125" spans="1:15" s="1208" customFormat="1" ht="25.2" customHeight="1">
      <c r="A125" s="2897">
        <f>COUNTIF($K$1:K125,1)</f>
        <v>90</v>
      </c>
      <c r="B125" s="2898" t="str">
        <f>chitiet!B1843</f>
        <v>GNIU95b</v>
      </c>
      <c r="C125" s="2899" t="str">
        <f>chitiet!C1843</f>
        <v>x</v>
      </c>
      <c r="D125" s="2900">
        <f>chitiet!D1843</f>
        <v>1</v>
      </c>
      <c r="E125" s="2901">
        <f>chitiet!E1843</f>
        <v>0</v>
      </c>
      <c r="F125" s="2902" t="str">
        <f>chitiet!F1843</f>
        <v>Giáp níu dừng dây bọc (70-95mm2)</v>
      </c>
      <c r="G125" s="2903" t="str">
        <f>chitiet!G1843</f>
        <v>cái</v>
      </c>
      <c r="H125" s="2904">
        <f>chitiet!H1843</f>
        <v>22</v>
      </c>
      <c r="I125" s="2928">
        <f>chitiet!$P$1843</f>
        <v>22</v>
      </c>
      <c r="J125" s="2905">
        <f>IFERROR(VLOOKUP(B125,DG!A:F,6,0),3000)</f>
        <v>50</v>
      </c>
      <c r="K125" s="2906">
        <f>IF(AND(OR(H125&gt;0,I125&gt;0),J125&lt;2000),COUNTIF($B$2:B125,B125),0)</f>
        <v>1</v>
      </c>
      <c r="L125" s="1300"/>
      <c r="M125" s="1375"/>
      <c r="O125" s="1375"/>
    </row>
    <row r="126" spans="1:15" s="1208" customFormat="1" ht="25.2" customHeight="1">
      <c r="A126" s="2897">
        <f>COUNTIF($K$1:K126,1)</f>
        <v>90</v>
      </c>
      <c r="B126" s="2898" t="str">
        <f>chitiet!B1863</f>
        <v>TTf-50</v>
      </c>
      <c r="C126" s="2899" t="str">
        <f>chitiet!C1863</f>
        <v>x</v>
      </c>
      <c r="D126" s="2900">
        <f>chitiet!D1863</f>
        <v>0</v>
      </c>
      <c r="E126" s="2907">
        <f>chitiet!E1863</f>
        <v>0</v>
      </c>
      <c r="F126" s="2898" t="str">
        <f>chitiet!F1863</f>
        <v>Dây buộc đầu sứ cỡ dây 50mm2</v>
      </c>
      <c r="G126" s="2908" t="str">
        <f>chitiet!G1863</f>
        <v>cái</v>
      </c>
      <c r="H126" s="2908">
        <f>chitiet!H1863</f>
        <v>21</v>
      </c>
      <c r="I126" s="2908">
        <f>chitiet!P1863</f>
        <v>21</v>
      </c>
      <c r="J126" s="2905">
        <f>IFERROR(VLOOKUP(B126,DG!A:F,6,0),3000)</f>
        <v>50</v>
      </c>
      <c r="K126" s="2906">
        <f>IF(AND(OR(H126&gt;0,I126&gt;0),J126&lt;2000),COUNTIF($B$2:B126,B126),0)</f>
        <v>2</v>
      </c>
      <c r="L126" s="1297"/>
      <c r="M126" s="1375"/>
      <c r="O126" s="1375"/>
    </row>
    <row r="127" spans="1:15" s="1208" customFormat="1" ht="25.2" customHeight="1">
      <c r="A127" s="2897">
        <f>COUNTIF($K$1:K127,1)</f>
        <v>91</v>
      </c>
      <c r="B127" s="2898" t="str">
        <f>chitiet!B1864</f>
        <v>ssf-50-2</v>
      </c>
      <c r="C127" s="2899" t="str">
        <f>chitiet!C1864</f>
        <v>x</v>
      </c>
      <c r="D127" s="2900">
        <f>chitiet!D1864</f>
        <v>0</v>
      </c>
      <c r="E127" s="2907">
        <f>chitiet!E1864</f>
        <v>0</v>
      </c>
      <c r="F127" s="2898" t="str">
        <f>chitiet!F1864</f>
        <v>Dây buộc cổ sứ đôi cỡ dây 50 mm2</v>
      </c>
      <c r="G127" s="2908" t="str">
        <f>chitiet!G1864</f>
        <v>cái</v>
      </c>
      <c r="H127" s="2908">
        <f>chitiet!H1864</f>
        <v>6</v>
      </c>
      <c r="I127" s="2908">
        <f>chitiet!P1864</f>
        <v>6</v>
      </c>
      <c r="J127" s="2905">
        <f>IFERROR(VLOOKUP(B127,DG!A:F,6,0),3000)</f>
        <v>50</v>
      </c>
      <c r="K127" s="2906">
        <f>IF(AND(OR(H127&gt;0,I127&gt;0),J127&lt;2000),COUNTIF($B$2:B127,B127),0)</f>
        <v>1</v>
      </c>
      <c r="L127" s="1297"/>
      <c r="M127" s="1375"/>
      <c r="O127" s="1375"/>
    </row>
    <row r="128" spans="1:15" s="1208" customFormat="1" ht="25.2" customHeight="1">
      <c r="A128" s="2897">
        <f>COUNTIF($K$1:K128,1)</f>
        <v>92</v>
      </c>
      <c r="B128" s="2898" t="str">
        <f>chitiet!B1865</f>
        <v>KQ2/0</v>
      </c>
      <c r="C128" s="2899" t="str">
        <f>chitiet!C1865</f>
        <v>x</v>
      </c>
      <c r="D128" s="2900">
        <f>chitiet!D1865</f>
        <v>0</v>
      </c>
      <c r="E128" s="2901">
        <f>chitiet!E1865</f>
        <v>0</v>
      </c>
      <c r="F128" s="2902" t="str">
        <f>chitiet!F1865</f>
        <v>Kẹp quai 2/0</v>
      </c>
      <c r="G128" s="2903" t="str">
        <f>chitiet!G1865</f>
        <v>cái</v>
      </c>
      <c r="H128" s="2904">
        <f>chitiet!H1865</f>
        <v>7</v>
      </c>
      <c r="I128" s="2904">
        <f>chitiet!P1865</f>
        <v>7</v>
      </c>
      <c r="J128" s="2905">
        <f>IFERROR(VLOOKUP(B128,DG!A:F,6,0),3000)</f>
        <v>50</v>
      </c>
      <c r="K128" s="2906">
        <f>IF(AND(OR(H128&gt;0,I128&gt;0),J128&lt;2000),COUNTIF($B$2:B128,B128),0)</f>
        <v>1</v>
      </c>
      <c r="L128" s="1300"/>
      <c r="M128" s="1375"/>
      <c r="O128" s="1375"/>
    </row>
    <row r="129" spans="1:15" s="1208" customFormat="1" ht="25.2" customHeight="1">
      <c r="A129" s="2897">
        <f>COUNTIF($K$1:K129,1)</f>
        <v>93</v>
      </c>
      <c r="B129" s="2912" t="str">
        <f>chitiet!B1866</f>
        <v>KH2/0</v>
      </c>
      <c r="C129" s="2913" t="str">
        <f>chitiet!C1866</f>
        <v>x</v>
      </c>
      <c r="D129" s="2914">
        <f>chitiet!D1866</f>
        <v>0</v>
      </c>
      <c r="E129" s="2926">
        <f>chitiet!E1866</f>
        <v>0</v>
      </c>
      <c r="F129" s="2912" t="str">
        <f>chitiet!F1866</f>
        <v>Kẹp hotline 2/0</v>
      </c>
      <c r="G129" s="2927" t="str">
        <f>chitiet!G1866</f>
        <v>cái</v>
      </c>
      <c r="H129" s="2927">
        <f>chitiet!H1866</f>
        <v>7</v>
      </c>
      <c r="I129" s="2908">
        <f>chitiet!P1866</f>
        <v>7</v>
      </c>
      <c r="J129" s="2905">
        <f>IFERROR(VLOOKUP(B129,DG!A:F,6,0),3000)</f>
        <v>50</v>
      </c>
      <c r="K129" s="2906">
        <f>IF(AND(OR(H129&gt;0,I129&gt;0),J129&lt;2000),COUNTIF($B$2:B129,B129),0)</f>
        <v>1</v>
      </c>
      <c r="L129" s="1952"/>
      <c r="M129" s="1375"/>
      <c r="O129" s="1375"/>
    </row>
    <row r="130" spans="1:15" s="1208" customFormat="1" ht="25.2" customHeight="1">
      <c r="A130" s="2897">
        <f>COUNTIF($K$1:K130,1)</f>
        <v>93</v>
      </c>
      <c r="B130" s="2912" t="str">
        <f>chitiet!B1867</f>
        <v>KE50</v>
      </c>
      <c r="C130" s="2913" t="str">
        <f>chitiet!C1867</f>
        <v>x</v>
      </c>
      <c r="D130" s="2914">
        <f>chitiet!D1867</f>
        <v>0</v>
      </c>
      <c r="E130" s="2926">
        <f>chitiet!E1867</f>
        <v>0</v>
      </c>
      <c r="F130" s="2912" t="str">
        <f>chitiet!F1867</f>
        <v>Kẹp ép WR cỡ dây 50mm2</v>
      </c>
      <c r="G130" s="2927" t="str">
        <f>chitiet!G1867</f>
        <v>cái</v>
      </c>
      <c r="H130" s="2927">
        <f>chitiet!H1867</f>
        <v>28</v>
      </c>
      <c r="I130" s="2908">
        <f>chitiet!P1867</f>
        <v>28</v>
      </c>
      <c r="J130" s="2905">
        <f>IFERROR(VLOOKUP(B130,DG!A:F,6,0),3000)</f>
        <v>50</v>
      </c>
      <c r="K130" s="2906">
        <f>IF(AND(OR(H130&gt;0,I130&gt;0),J130&lt;2000),COUNTIF($B$2:B130,B130),0)</f>
        <v>3</v>
      </c>
      <c r="L130" s="1297"/>
      <c r="M130" s="1375"/>
      <c r="O130" s="1375"/>
    </row>
    <row r="131" spans="1:15" s="1208" customFormat="1" ht="25.2" customHeight="1">
      <c r="A131" s="2897">
        <f>COUNTIF($K$1:K131,1)</f>
        <v>94</v>
      </c>
      <c r="B131" s="2898" t="str">
        <f>chitiet!B1868</f>
        <v>COSe50</v>
      </c>
      <c r="C131" s="2899" t="str">
        <f>chitiet!C1868</f>
        <v>x</v>
      </c>
      <c r="D131" s="2900">
        <f>chitiet!D1868</f>
        <v>0</v>
      </c>
      <c r="E131" s="2907">
        <f>chitiet!E1868</f>
        <v>0</v>
      </c>
      <c r="F131" s="2898" t="str">
        <f>chitiet!F1868</f>
        <v>Đầu cosse ép Cu-Al 50mm2</v>
      </c>
      <c r="G131" s="2908" t="str">
        <f>chitiet!G1868</f>
        <v>cái</v>
      </c>
      <c r="H131" s="2908">
        <f>chitiet!H1868</f>
        <v>3</v>
      </c>
      <c r="I131" s="2908">
        <f>chitiet!P1868</f>
        <v>3</v>
      </c>
      <c r="J131" s="2905">
        <f>IFERROR(VLOOKUP(B131,DG!A:F,6,0),3000)</f>
        <v>50</v>
      </c>
      <c r="K131" s="2906">
        <f>IF(AND(OR(H131&gt;0,I131&gt;0),J131&lt;2000),COUNTIF($B$2:B131,B131),0)</f>
        <v>1</v>
      </c>
      <c r="L131" s="1297"/>
      <c r="M131" s="1375"/>
      <c r="O131" s="1375"/>
    </row>
    <row r="132" spans="1:15" s="1208" customFormat="1" ht="25.2" customHeight="1">
      <c r="A132" s="2897">
        <f>COUNTIF($K$1:K132,1)</f>
        <v>95</v>
      </c>
      <c r="B132" s="2898" t="str">
        <f>chitiet!B1869</f>
        <v>COS50</v>
      </c>
      <c r="C132" s="2899" t="str">
        <f>chitiet!C1869</f>
        <v>x</v>
      </c>
      <c r="D132" s="2900">
        <f>chitiet!D1869</f>
        <v>0</v>
      </c>
      <c r="E132" s="2901">
        <f>chitiet!E1869</f>
        <v>0</v>
      </c>
      <c r="F132" s="2929" t="str">
        <f>chitiet!F1869</f>
        <v>Đầu cosse ép Cu 50mm2</v>
      </c>
      <c r="G132" s="2930" t="str">
        <f>chitiet!G1869</f>
        <v>cái</v>
      </c>
      <c r="H132" s="2930">
        <f>chitiet!H1869</f>
        <v>3</v>
      </c>
      <c r="I132" s="2930">
        <f>chitiet!P1869</f>
        <v>3</v>
      </c>
      <c r="J132" s="2905">
        <f>IFERROR(VLOOKUP(B132,DG!A:F,6,0),3000)</f>
        <v>50</v>
      </c>
      <c r="K132" s="2906">
        <f>IF(AND(OR(H132&gt;0,I132&gt;0),J132&lt;2000),COUNTIF($B$2:B132,B132),0)</f>
        <v>1</v>
      </c>
      <c r="L132" s="1300"/>
      <c r="M132" s="1375"/>
      <c r="O132" s="1375"/>
    </row>
    <row r="133" spans="1:15" s="1208" customFormat="1" ht="25.2" customHeight="1">
      <c r="A133" s="2897">
        <f>COUNTIF($K$1:K133,1)</f>
        <v>96</v>
      </c>
      <c r="B133" s="2898" t="str">
        <f>chitiet!B1870</f>
        <v>COS25</v>
      </c>
      <c r="C133" s="2899" t="str">
        <f>chitiet!C1870</f>
        <v>x</v>
      </c>
      <c r="D133" s="2900">
        <f>chitiet!D1870</f>
        <v>0</v>
      </c>
      <c r="E133" s="2901">
        <f>chitiet!E1870</f>
        <v>0</v>
      </c>
      <c r="F133" s="2902" t="str">
        <f>chitiet!F1870</f>
        <v>Đầu cosse ép Cu 25mm2</v>
      </c>
      <c r="G133" s="2903" t="str">
        <f>chitiet!G1870</f>
        <v>cái</v>
      </c>
      <c r="H133" s="2904">
        <f>chitiet!H1870</f>
        <v>6</v>
      </c>
      <c r="I133" s="2904">
        <f>chitiet!P1870</f>
        <v>6</v>
      </c>
      <c r="J133" s="2905">
        <f>IFERROR(VLOOKUP(B133,DG!A:F,6,0),3000)</f>
        <v>50</v>
      </c>
      <c r="K133" s="2906">
        <f>IF(AND(OR(H133&gt;0,I133&gt;0),J133&lt;2000),COUNTIF($B$2:B133,B133),0)</f>
        <v>1</v>
      </c>
      <c r="L133" s="1300"/>
      <c r="M133" s="1375"/>
      <c r="O133" s="1375"/>
    </row>
    <row r="134" spans="1:15" s="1208" customFormat="1" ht="25.2" customHeight="1">
      <c r="A134" s="2897">
        <f>COUNTIF($K$1:K134,1)</f>
        <v>97</v>
      </c>
      <c r="B134" s="2898" t="str">
        <f>chitiet!B1871</f>
        <v>OCN</v>
      </c>
      <c r="C134" s="2899" t="str">
        <f>chitiet!C1871</f>
        <v>x</v>
      </c>
      <c r="D134" s="2900">
        <f>chitiet!D1871</f>
        <v>0</v>
      </c>
      <c r="E134" s="2901">
        <f>chitiet!E1871</f>
        <v>0</v>
      </c>
      <c r="F134" s="2902" t="str">
        <f>chitiet!F1871</f>
        <v>Ống co nhiệt</v>
      </c>
      <c r="G134" s="2903" t="str">
        <f>chitiet!G1871</f>
        <v>m</v>
      </c>
      <c r="H134" s="2904">
        <f>chitiet!H1871</f>
        <v>6</v>
      </c>
      <c r="I134" s="2904">
        <f>chitiet!P1871</f>
        <v>6</v>
      </c>
      <c r="J134" s="2905">
        <f>IFERROR(VLOOKUP(B134,DG!A:F,6,0),3000)</f>
        <v>50</v>
      </c>
      <c r="K134" s="2906">
        <f>IF(AND(OR(H134&gt;0,I134&gt;0),J134&lt;2000),COUNTIF($B$2:B134,B134),0)</f>
        <v>1</v>
      </c>
      <c r="L134" s="1300"/>
      <c r="M134" s="1375"/>
      <c r="O134" s="1375"/>
    </row>
    <row r="135" spans="1:15" s="1208" customFormat="1" ht="25.2" customHeight="1">
      <c r="A135" s="2897">
        <f>COUNTIF($K$1:K135,1)</f>
        <v>98</v>
      </c>
      <c r="B135" s="2898" t="str">
        <f>chitiet!B1872</f>
        <v>BANGKEOTT</v>
      </c>
      <c r="C135" s="2899" t="str">
        <f>chitiet!C1872</f>
        <v>x</v>
      </c>
      <c r="D135" s="2900">
        <f>chitiet!D1872</f>
        <v>0</v>
      </c>
      <c r="E135" s="2907">
        <f>chitiet!E1872</f>
        <v>0</v>
      </c>
      <c r="F135" s="2898" t="str">
        <f>chitiet!F1872</f>
        <v>Băng keo cách điện trung thế</v>
      </c>
      <c r="G135" s="2908" t="str">
        <f>chitiet!G1872</f>
        <v>cuộn</v>
      </c>
      <c r="H135" s="2908">
        <f>chitiet!H1872</f>
        <v>4</v>
      </c>
      <c r="I135" s="2908">
        <f>chitiet!P1872</f>
        <v>4</v>
      </c>
      <c r="J135" s="2905">
        <f>IFERROR(VLOOKUP(B135,DG!A:F,6,0),3000)</f>
        <v>50</v>
      </c>
      <c r="K135" s="2906">
        <f>IF(AND(OR(H135&gt;0,I135&gt;0),J135&lt;2000),COUNTIF($B$2:B135,B135),0)</f>
        <v>1</v>
      </c>
      <c r="L135" s="1297"/>
      <c r="M135" s="1375"/>
      <c r="O135" s="1375"/>
    </row>
    <row r="136" spans="1:15" s="1208" customFormat="1" ht="25.2" customHeight="1">
      <c r="A136" s="2897">
        <f>COUNTIF($K$1:K136,1)</f>
        <v>99</v>
      </c>
      <c r="B136" s="2898" t="str">
        <f>chitiet!B1873</f>
        <v>batlA</v>
      </c>
      <c r="C136" s="2899" t="str">
        <f>chitiet!C1873</f>
        <v>x</v>
      </c>
      <c r="D136" s="2900">
        <f>chitiet!D1873</f>
        <v>10</v>
      </c>
      <c r="E136" s="2901">
        <f>chitiet!E1873</f>
        <v>0</v>
      </c>
      <c r="F136" s="2902" t="str">
        <f>chitiet!F1873</f>
        <v>Bass LI bắt LA</v>
      </c>
      <c r="G136" s="2903" t="str">
        <f>chitiet!G1873</f>
        <v>Bộ</v>
      </c>
      <c r="H136" s="2904">
        <f>chitiet!H1873</f>
        <v>10</v>
      </c>
      <c r="I136" s="2904">
        <f>chitiet!P1873</f>
        <v>10</v>
      </c>
      <c r="J136" s="2905">
        <f>IFERROR(VLOOKUP(B136,DG!A:F,6,0),3000)</f>
        <v>50</v>
      </c>
      <c r="K136" s="2906">
        <f>IF(AND(OR(H136&gt;0,I136&gt;0),J136&lt;2000),COUNTIF($B$2:B136,B136),0)</f>
        <v>1</v>
      </c>
      <c r="L136" s="1300"/>
      <c r="M136" s="1375"/>
      <c r="O136" s="1375"/>
    </row>
    <row r="137" spans="1:15" s="1208" customFormat="1" ht="25.2" customHeight="1">
      <c r="A137" s="2897">
        <f>COUNTIF($K$1:K137,1)</f>
        <v>100</v>
      </c>
      <c r="B137" s="2898" t="str">
        <f>chitiet!B1874</f>
        <v>CHUPKQ</v>
      </c>
      <c r="C137" s="2899" t="str">
        <f>chitiet!C1874</f>
        <v>x</v>
      </c>
      <c r="D137" s="2900">
        <f>chitiet!D1874</f>
        <v>7</v>
      </c>
      <c r="E137" s="2907">
        <f>chitiet!E1874</f>
        <v>0</v>
      </c>
      <c r="F137" s="2898" t="str">
        <f>chitiet!F1874</f>
        <v>Chụp cách điện kẹp quai</v>
      </c>
      <c r="G137" s="2908" t="str">
        <f>chitiet!G1874</f>
        <v>Cái</v>
      </c>
      <c r="H137" s="2908">
        <f>chitiet!H1874</f>
        <v>7</v>
      </c>
      <c r="I137" s="2908">
        <f>chitiet!P1874</f>
        <v>7</v>
      </c>
      <c r="J137" s="2905">
        <f>IFERROR(VLOOKUP(B137,DG!A:F,6,0),3000)</f>
        <v>50</v>
      </c>
      <c r="K137" s="2906">
        <f>IF(AND(OR(H137&gt;0,I137&gt;0),J137&lt;2000),COUNTIF($B$2:B137,B137),0)</f>
        <v>1</v>
      </c>
      <c r="L137" s="1297"/>
      <c r="M137" s="1375"/>
      <c r="O137" s="1375"/>
    </row>
    <row r="138" spans="1:15" s="1208" customFormat="1" ht="25.2" customHeight="1">
      <c r="A138" s="2897">
        <f>COUNTIF($K$1:K138,1)</f>
        <v>101</v>
      </c>
      <c r="B138" s="2898" t="str">
        <f>chitiet!B1875</f>
        <v>CHUPLBS</v>
      </c>
      <c r="C138" s="2899" t="str">
        <f>chitiet!C1875</f>
        <v>x</v>
      </c>
      <c r="D138" s="2900">
        <f>chitiet!D1875</f>
        <v>6</v>
      </c>
      <c r="E138" s="2907">
        <f>chitiet!E1875</f>
        <v>0</v>
      </c>
      <c r="F138" s="2898" t="str">
        <f>chitiet!F1875</f>
        <v>Nắp che đầu sứ LBS (Recloser)</v>
      </c>
      <c r="G138" s="2908" t="str">
        <f>chitiet!G1875</f>
        <v>cái</v>
      </c>
      <c r="H138" s="2908">
        <f>chitiet!H1875</f>
        <v>6</v>
      </c>
      <c r="I138" s="2908">
        <f>chitiet!P1875</f>
        <v>6</v>
      </c>
      <c r="J138" s="2905">
        <f>IFERROR(VLOOKUP(B138,DG!A:F,6,0),3000)</f>
        <v>50</v>
      </c>
      <c r="K138" s="2906">
        <f>IF(AND(OR(H138&gt;0,I138&gt;0),J138&lt;2000),COUNTIF($B$2:B138,B138),0)</f>
        <v>1</v>
      </c>
      <c r="L138" s="1297"/>
      <c r="M138" s="1375"/>
      <c r="O138" s="1375"/>
    </row>
    <row r="139" spans="1:15" s="1208" customFormat="1" ht="25.2" customHeight="1">
      <c r="A139" s="2897">
        <f>COUNTIF($K$1:K139,1)</f>
        <v>102</v>
      </c>
      <c r="B139" s="2912" t="str">
        <f>chitiet!B1876</f>
        <v>CHUPFCO</v>
      </c>
      <c r="C139" s="2913" t="str">
        <f>chitiet!C1876</f>
        <v>x</v>
      </c>
      <c r="D139" s="2914">
        <f>chitiet!D1876</f>
        <v>4</v>
      </c>
      <c r="E139" s="2915">
        <f>chitiet!E1876</f>
        <v>0</v>
      </c>
      <c r="F139" s="2916" t="str">
        <f>chitiet!F1876</f>
        <v>Nắp che đầu cực FCO</v>
      </c>
      <c r="G139" s="2910" t="str">
        <f>chitiet!G1876</f>
        <v>cái</v>
      </c>
      <c r="H139" s="2911">
        <f>chitiet!H1876</f>
        <v>4</v>
      </c>
      <c r="I139" s="2904">
        <f>chitiet!P1876</f>
        <v>4</v>
      </c>
      <c r="J139" s="2905">
        <f>IFERROR(VLOOKUP(B139,DG!A:F,6,0),3000)</f>
        <v>50</v>
      </c>
      <c r="K139" s="2906">
        <f>IF(AND(OR(H139&gt;0,I139&gt;0),J139&lt;2000),COUNTIF($B$2:B139,B139),0)</f>
        <v>1</v>
      </c>
      <c r="L139" s="1752"/>
      <c r="M139" s="1375"/>
      <c r="O139" s="1375"/>
    </row>
    <row r="140" spans="1:15" s="1208" customFormat="1" ht="25.2" customHeight="1">
      <c r="A140" s="2897">
        <f>COUNTIF($K$1:K140,1)</f>
        <v>103</v>
      </c>
      <c r="B140" s="2898" t="str">
        <f>chitiet!B1877</f>
        <v>CHUPLA</v>
      </c>
      <c r="C140" s="2899" t="str">
        <f>chitiet!C1877</f>
        <v>x</v>
      </c>
      <c r="D140" s="2900">
        <f>chitiet!D1877</f>
        <v>6</v>
      </c>
      <c r="E140" s="2901">
        <f>chitiet!E1877</f>
        <v>0</v>
      </c>
      <c r="F140" s="2902" t="str">
        <f>chitiet!F1877</f>
        <v>Nắp che đầu cực LA</v>
      </c>
      <c r="G140" s="2910" t="str">
        <f>chitiet!G1877</f>
        <v>cái</v>
      </c>
      <c r="H140" s="2904">
        <f>chitiet!H1877</f>
        <v>6</v>
      </c>
      <c r="I140" s="2904">
        <f>chitiet!P1877</f>
        <v>6</v>
      </c>
      <c r="J140" s="2905">
        <f>IFERROR(VLOOKUP(B140,DG!A:F,6,0),3000)</f>
        <v>50</v>
      </c>
      <c r="K140" s="2906">
        <f>IF(AND(OR(H140&gt;0,I140&gt;0),J140&lt;2000),COUNTIF($B$2:B140,B140),0)</f>
        <v>1</v>
      </c>
      <c r="L140" s="1300"/>
      <c r="M140" s="1375"/>
      <c r="O140" s="1375"/>
    </row>
    <row r="141" spans="1:15" s="1208" customFormat="1" ht="25.2" customHeight="1">
      <c r="A141" s="2897">
        <f>COUNTIF($K$1:K141,1)</f>
        <v>103</v>
      </c>
      <c r="B141" s="2898" t="str">
        <f>chitiet!B1878</f>
        <v>PVC60</v>
      </c>
      <c r="C141" s="2899" t="str">
        <f>chitiet!C1878</f>
        <v>x</v>
      </c>
      <c r="D141" s="2900">
        <f>chitiet!D1878</f>
        <v>6</v>
      </c>
      <c r="E141" s="2907">
        <f>chitiet!E1878</f>
        <v>0</v>
      </c>
      <c r="F141" s="2898" t="str">
        <f>chitiet!F1878</f>
        <v>Ống PVC D60x2,8mm</v>
      </c>
      <c r="G141" s="2908" t="str">
        <f>chitiet!G1878</f>
        <v>m</v>
      </c>
      <c r="H141" s="2908">
        <f>chitiet!H1878</f>
        <v>6</v>
      </c>
      <c r="I141" s="2908">
        <f>chitiet!P1878</f>
        <v>6</v>
      </c>
      <c r="J141" s="2905">
        <f>IFERROR(VLOOKUP(B141,DG!A:F,6,0),3000)</f>
        <v>50</v>
      </c>
      <c r="K141" s="2906">
        <f>IF(AND(OR(H141&gt;0,I141&gt;0),J141&lt;2000),COUNTIF($B$2:B141,B141),0)</f>
        <v>2</v>
      </c>
      <c r="L141" s="1297"/>
      <c r="M141" s="1375"/>
      <c r="O141" s="1375"/>
    </row>
    <row r="142" spans="1:15" s="1208" customFormat="1" ht="25.2" customHeight="1">
      <c r="A142" s="2897">
        <f>COUNTIF($K$1:K142,1)</f>
        <v>104</v>
      </c>
      <c r="B142" s="2898" t="str">
        <f>chitiet!B1879</f>
        <v>PVC42</v>
      </c>
      <c r="C142" s="2899" t="str">
        <f>chitiet!C1879</f>
        <v>x</v>
      </c>
      <c r="D142" s="2900">
        <f>chitiet!D1879</f>
        <v>7</v>
      </c>
      <c r="E142" s="2901">
        <f>chitiet!E1879</f>
        <v>0</v>
      </c>
      <c r="F142" s="2902" t="str">
        <f>chitiet!F1879</f>
        <v>Ống PVC D42x2,1mm</v>
      </c>
      <c r="G142" s="2903" t="str">
        <f>chitiet!G1879</f>
        <v>m</v>
      </c>
      <c r="H142" s="2904">
        <f>chitiet!H1879</f>
        <v>7</v>
      </c>
      <c r="I142" s="2904">
        <f>chitiet!P1879</f>
        <v>7</v>
      </c>
      <c r="J142" s="2905">
        <f>IFERROR(VLOOKUP(B142,DG!A:F,6,0),3000)</f>
        <v>50</v>
      </c>
      <c r="K142" s="2906">
        <f>IF(AND(OR(H142&gt;0,I142&gt;0),J142&lt;2000),COUNTIF($B$2:B142,B142),0)</f>
        <v>1</v>
      </c>
      <c r="L142" s="1300"/>
      <c r="M142" s="1375"/>
      <c r="O142" s="1375"/>
    </row>
    <row r="143" spans="1:15" s="1208" customFormat="1" ht="25.2" customHeight="1">
      <c r="A143" s="2897">
        <f>COUNTIF($K$1:K143,1)</f>
        <v>105</v>
      </c>
      <c r="B143" s="2917" t="str">
        <f>chitiet!B1880</f>
        <v>CD25x2</v>
      </c>
      <c r="C143" s="2918" t="str">
        <f>chitiet!C1880</f>
        <v>x</v>
      </c>
      <c r="D143" s="2919">
        <f>chitiet!D1880</f>
        <v>6</v>
      </c>
      <c r="E143" s="2920">
        <f>chitiet!E1880</f>
        <v>0</v>
      </c>
      <c r="F143" s="2917" t="str">
        <f>chitiet!F1880</f>
        <v>Côllier 25x2</v>
      </c>
      <c r="G143" s="2909" t="str">
        <f>chitiet!G1880</f>
        <v>bộ</v>
      </c>
      <c r="H143" s="2909">
        <f>chitiet!H1880</f>
        <v>6</v>
      </c>
      <c r="I143" s="2909">
        <f>chitiet!P1880</f>
        <v>6</v>
      </c>
      <c r="J143" s="2905">
        <f>IFERROR(VLOOKUP(B143,DG!A:F,6,0),3000)</f>
        <v>50</v>
      </c>
      <c r="K143" s="2906">
        <f>IF(AND(OR(H143&gt;0,I143&gt;0),J143&lt;2000),COUNTIF($B$2:B143,B143),0)</f>
        <v>1</v>
      </c>
      <c r="L143" s="1297"/>
      <c r="M143" s="1375"/>
      <c r="O143" s="1375"/>
    </row>
    <row r="144" spans="1:15" s="1208" customFormat="1" ht="25.2" customHeight="1">
      <c r="A144" s="2897">
        <f>COUNTIF($K$1:K144,1)</f>
        <v>105</v>
      </c>
      <c r="B144" s="2898" t="str">
        <f>chitiet!B1881</f>
        <v>CUT60</v>
      </c>
      <c r="C144" s="2899" t="str">
        <f>chitiet!C1881</f>
        <v>x</v>
      </c>
      <c r="D144" s="2900">
        <f>chitiet!D1881</f>
        <v>2</v>
      </c>
      <c r="E144" s="2901">
        <f>chitiet!E1881</f>
        <v>0</v>
      </c>
      <c r="F144" s="2902" t="str">
        <f>chitiet!F1881</f>
        <v>Co 90 độ PVC 60</v>
      </c>
      <c r="G144" s="2903" t="str">
        <f>chitiet!G1881</f>
        <v>cái</v>
      </c>
      <c r="H144" s="2904">
        <f>chitiet!H1881</f>
        <v>2</v>
      </c>
      <c r="I144" s="2904">
        <f>chitiet!P1881</f>
        <v>2</v>
      </c>
      <c r="J144" s="2905">
        <f>IFERROR(VLOOKUP(B144,DG!A:F,6,0),3000)</f>
        <v>50</v>
      </c>
      <c r="K144" s="2906">
        <f>IF(AND(OR(H144&gt;0,I144&gt;0),J144&lt;2000),COUNTIF($B$2:B144,B144),0)</f>
        <v>2</v>
      </c>
      <c r="L144" s="1300"/>
      <c r="M144" s="1375"/>
      <c r="O144" s="1375"/>
    </row>
    <row r="145" spans="1:15" s="1208" customFormat="1" ht="25.2" customHeight="1">
      <c r="A145" s="2897">
        <f>COUNTIF($K$1:K145,1)</f>
        <v>106</v>
      </c>
      <c r="B145" s="2898" t="str">
        <f>chitiet!B1882</f>
        <v>CUT42</v>
      </c>
      <c r="C145" s="2899" t="str">
        <f>chitiet!C1882</f>
        <v>x</v>
      </c>
      <c r="D145" s="2900">
        <f>chitiet!D1882</f>
        <v>2</v>
      </c>
      <c r="E145" s="2901">
        <f>chitiet!E1882</f>
        <v>0</v>
      </c>
      <c r="F145" s="2902" t="str">
        <f>chitiet!F1882</f>
        <v>Co 90 độ PVC 42</v>
      </c>
      <c r="G145" s="2903" t="str">
        <f>chitiet!G1882</f>
        <v>cái</v>
      </c>
      <c r="H145" s="2904">
        <f>chitiet!H1882</f>
        <v>2</v>
      </c>
      <c r="I145" s="2904">
        <f>chitiet!P1882</f>
        <v>2</v>
      </c>
      <c r="J145" s="2905">
        <f>IFERROR(VLOOKUP(B145,DG!A:F,6,0),3000)</f>
        <v>50</v>
      </c>
      <c r="K145" s="2906">
        <f>IF(AND(OR(H145&gt;0,I145&gt;0),J145&lt;2000),COUNTIF($B$2:B145,B145),0)</f>
        <v>1</v>
      </c>
      <c r="L145" s="1300"/>
      <c r="M145" s="1375"/>
      <c r="O145" s="1375"/>
    </row>
    <row r="146" spans="1:15" s="1208" customFormat="1" ht="25.2" customHeight="1">
      <c r="A146" s="2897">
        <f>COUNTIF($K$1:K146,1)</f>
        <v>107</v>
      </c>
      <c r="B146" s="2898" t="str">
        <f>chitiet!B1883</f>
        <v>CD6x60</v>
      </c>
      <c r="C146" s="2899" t="str">
        <f>chitiet!C1883</f>
        <v>x</v>
      </c>
      <c r="D146" s="2900">
        <f>chitiet!D1883</f>
        <v>1</v>
      </c>
      <c r="E146" s="2901">
        <f>chitiet!E1883</f>
        <v>0</v>
      </c>
      <c r="F146" s="2902" t="str">
        <f>chitiet!F1883</f>
        <v>Cổ dê bắt tủ trạm trụ ghép D320/60x6</v>
      </c>
      <c r="G146" s="2903" t="str">
        <f>chitiet!G1883</f>
        <v>bộ</v>
      </c>
      <c r="H146" s="2904">
        <f>chitiet!H1883</f>
        <v>1</v>
      </c>
      <c r="I146" s="2904">
        <f>chitiet!P1883</f>
        <v>1</v>
      </c>
      <c r="J146" s="2905">
        <f>IFERROR(VLOOKUP(B146,DG!A:F,6,0),3000)</f>
        <v>50</v>
      </c>
      <c r="K146" s="2906">
        <f>IF(AND(OR(H146&gt;0,I146&gt;0),J146&lt;2000),COUNTIF($B$2:B146,B146),0)</f>
        <v>1</v>
      </c>
      <c r="L146" s="1300"/>
      <c r="M146" s="1375"/>
      <c r="O146" s="1375"/>
    </row>
    <row r="147" spans="1:15" s="1208" customFormat="1" ht="25.2" customHeight="1">
      <c r="A147" s="2897">
        <f>COUNTIF($K$1:K147,1)</f>
        <v>107</v>
      </c>
      <c r="B147" s="2917" t="str">
        <f>chitiet!B1884</f>
        <v>KEOBIT</v>
      </c>
      <c r="C147" s="2918" t="str">
        <f>chitiet!C1884</f>
        <v>x</v>
      </c>
      <c r="D147" s="2919">
        <f>chitiet!D1884</f>
        <v>2</v>
      </c>
      <c r="E147" s="2920">
        <f>chitiet!E1884</f>
        <v>0</v>
      </c>
      <c r="F147" s="2917" t="str">
        <f>chitiet!F1884</f>
        <v>Keo silicon bít miệng ống</v>
      </c>
      <c r="G147" s="2909" t="str">
        <f>chitiet!G1884</f>
        <v>ống</v>
      </c>
      <c r="H147" s="2909">
        <f>chitiet!H1884</f>
        <v>2</v>
      </c>
      <c r="I147" s="2909">
        <f>chitiet!P1884</f>
        <v>2</v>
      </c>
      <c r="J147" s="2905">
        <f>IFERROR(VLOOKUP(B147,DG!A:F,6,0),3000)</f>
        <v>50</v>
      </c>
      <c r="K147" s="2906">
        <f>IF(AND(OR(H147&gt;0,I147&gt;0),J147&lt;2000),COUNTIF($B$2:B147,B147),0)</f>
        <v>3</v>
      </c>
      <c r="L147" s="1297"/>
      <c r="M147" s="1375"/>
      <c r="O147" s="1375"/>
    </row>
    <row r="148" spans="1:15" s="1208" customFormat="1" ht="25.2" customHeight="1">
      <c r="A148" s="2897">
        <f>COUNTIF($K$1:K148,1)</f>
        <v>107</v>
      </c>
      <c r="B148" s="2898" t="str">
        <f>chitiet!B1885</f>
        <v>B16350</v>
      </c>
      <c r="C148" s="2899" t="str">
        <f>chitiet!C1885</f>
        <v>x</v>
      </c>
      <c r="D148" s="2900">
        <f>chitiet!D1885</f>
        <v>3</v>
      </c>
      <c r="E148" s="2901">
        <f>chitiet!E1885</f>
        <v>0</v>
      </c>
      <c r="F148" s="2902" t="str">
        <f>chitiet!F1885</f>
        <v>Boulon 16x350+ 2 long đền vuông D18-50x50x3/Zn</v>
      </c>
      <c r="G148" s="2903" t="str">
        <f>chitiet!G1885</f>
        <v>bộ</v>
      </c>
      <c r="H148" s="2904">
        <f>chitiet!H1885</f>
        <v>3</v>
      </c>
      <c r="I148" s="2904">
        <f>chitiet!P1885</f>
        <v>3</v>
      </c>
      <c r="J148" s="2905">
        <f>IFERROR(VLOOKUP(B148,DG!A:F,6,0),3000)</f>
        <v>50</v>
      </c>
      <c r="K148" s="2906">
        <f>IF(AND(OR(H148&gt;0,I148&gt;0),J148&lt;2000),COUNTIF($B$2:B148,B148),0)</f>
        <v>3</v>
      </c>
      <c r="L148" s="1300"/>
      <c r="M148" s="1375"/>
      <c r="O148" s="1375"/>
    </row>
    <row r="149" spans="1:15" s="1208" customFormat="1" ht="25.2" customHeight="1">
      <c r="A149" s="2897">
        <f>COUNTIF($K$1:K149,1)</f>
        <v>108</v>
      </c>
      <c r="B149" s="2898" t="str">
        <f>chitiet!B2331</f>
        <v>chi3K</v>
      </c>
      <c r="C149" s="2899" t="str">
        <f>chitiet!C2331</f>
        <v>x</v>
      </c>
      <c r="D149" s="2900">
        <f>chitiet!D2331</f>
        <v>1</v>
      </c>
      <c r="E149" s="2907">
        <f>chitiet!E2331</f>
        <v>0</v>
      </c>
      <c r="F149" s="2898" t="str">
        <f>chitiet!F2331</f>
        <v>Dây chảy 3K</v>
      </c>
      <c r="G149" s="2908" t="str">
        <f>chitiet!G2331</f>
        <v>Sợi</v>
      </c>
      <c r="H149" s="2908">
        <f>chitiet!H2331</f>
        <v>1</v>
      </c>
      <c r="I149" s="2908">
        <f>chitiet!$P$2331</f>
        <v>1</v>
      </c>
      <c r="J149" s="2905">
        <f>IFERROR(VLOOKUP(B149,DG!A:F,6,0),3000)</f>
        <v>50</v>
      </c>
      <c r="K149" s="2906">
        <f>IF(AND(OR(H149&gt;0,I149&gt;0),J149&lt;2000),COUNTIF($B$2:B149,B149),0)</f>
        <v>1</v>
      </c>
      <c r="L149" s="1297"/>
      <c r="M149" s="1375"/>
      <c r="O149" s="1375"/>
    </row>
    <row r="150" spans="1:15" s="1208" customFormat="1" ht="25.2" customHeight="1">
      <c r="A150" s="2897">
        <f>COUNTIF($K$1:K150,1)</f>
        <v>109</v>
      </c>
      <c r="B150" s="2912" t="str">
        <f>chitiet!B2333</f>
        <v>chi100K</v>
      </c>
      <c r="C150" s="2913" t="str">
        <f>chitiet!C2333</f>
        <v>x</v>
      </c>
      <c r="D150" s="2914">
        <f>chitiet!D2333</f>
        <v>3</v>
      </c>
      <c r="E150" s="2915">
        <f>chitiet!E2333</f>
        <v>0</v>
      </c>
      <c r="F150" s="2916" t="str">
        <f>chitiet!F2333</f>
        <v>Dây chảy 100K</v>
      </c>
      <c r="G150" s="2910" t="str">
        <f>chitiet!G2333</f>
        <v>Sợi</v>
      </c>
      <c r="H150" s="2904">
        <f>chitiet!H2333</f>
        <v>3</v>
      </c>
      <c r="I150" s="2904">
        <f>chitiet!P2333</f>
        <v>3</v>
      </c>
      <c r="J150" s="2905">
        <f>IFERROR(VLOOKUP(B150,DG!A:F,6,0),3000)</f>
        <v>50</v>
      </c>
      <c r="K150" s="2906">
        <f>IF(AND(OR(H150&gt;0,I150&gt;0),J150&lt;2000),COUNTIF($B$2:B150,B150),0)</f>
        <v>1</v>
      </c>
      <c r="L150" s="1300"/>
      <c r="M150" s="1375"/>
      <c r="O150" s="1375"/>
    </row>
    <row r="151" spans="1:15" s="1208" customFormat="1" ht="25.2" customHeight="1">
      <c r="A151" s="2897">
        <f>COUNTIF($K$1:K151,1)</f>
        <v>110</v>
      </c>
      <c r="B151" s="2898" t="str">
        <f>chitiet!B357</f>
        <v>XM</v>
      </c>
      <c r="C151" s="2899" t="str">
        <f>chitiet!C357</f>
        <v>x</v>
      </c>
      <c r="D151" s="2900">
        <f>chitiet!D357</f>
        <v>323.63</v>
      </c>
      <c r="E151" s="2901">
        <f>chitiet!E357</f>
        <v>0</v>
      </c>
      <c r="F151" s="2902" t="str">
        <f>chitiet!F357</f>
        <v>Ximăng (PC40)</v>
      </c>
      <c r="G151" s="2910" t="str">
        <f>chitiet!G357</f>
        <v>kg</v>
      </c>
      <c r="H151" s="2911">
        <f>chitiet!H357</f>
        <v>1294.52</v>
      </c>
      <c r="I151" s="2904">
        <f>chitiet!P357</f>
        <v>1294.52</v>
      </c>
      <c r="J151" s="2905">
        <f>IFERROR(VLOOKUP(B151,DG!A:F,6,0),3000)</f>
        <v>996</v>
      </c>
      <c r="K151" s="2906">
        <f>IF(AND(OR(H151&gt;0,I151&gt;0),J151&lt;2000),COUNTIF($B$2:B151,B151),0)</f>
        <v>1</v>
      </c>
      <c r="L151" s="1300"/>
      <c r="M151" s="1375"/>
      <c r="O151" s="1375"/>
    </row>
    <row r="152" spans="1:15" s="1208" customFormat="1" ht="25.2" customHeight="1">
      <c r="A152" s="2897">
        <f>COUNTIF($K$1:K152,1)</f>
        <v>111</v>
      </c>
      <c r="B152" s="2912" t="str">
        <f>chitiet!B358</f>
        <v>Cat</v>
      </c>
      <c r="C152" s="2913" t="str">
        <f>chitiet!C358</f>
        <v>x</v>
      </c>
      <c r="D152" s="2914">
        <f>chitiet!D358</f>
        <v>0.75900000000000001</v>
      </c>
      <c r="E152" s="2915">
        <f>chitiet!E358</f>
        <v>0</v>
      </c>
      <c r="F152" s="2916" t="str">
        <f>chitiet!F358</f>
        <v>Cát vàng</v>
      </c>
      <c r="G152" s="2910" t="str">
        <f>chitiet!G358</f>
        <v>m3</v>
      </c>
      <c r="H152" s="2911">
        <f>chitiet!H358</f>
        <v>3.036</v>
      </c>
      <c r="I152" s="2925">
        <f>chitiet!P358</f>
        <v>3.036</v>
      </c>
      <c r="J152" s="2905">
        <f>IFERROR(VLOOKUP(B152,DG!A:F,6,0),3000)</f>
        <v>997</v>
      </c>
      <c r="K152" s="2906">
        <f>IF(AND(OR(H152&gt;0,I152&gt;0),J152&lt;2000),COUNTIF($B$2:B152,B152),0)</f>
        <v>1</v>
      </c>
      <c r="L152" s="1752"/>
      <c r="M152" s="1375"/>
      <c r="O152" s="1375"/>
    </row>
    <row r="153" spans="1:15" s="1208" customFormat="1" ht="25.2" customHeight="1">
      <c r="A153" s="2897">
        <f>COUNTIF($K$1:K153,1)</f>
        <v>112</v>
      </c>
      <c r="B153" s="2898" t="str">
        <f>chitiet!B359</f>
        <v>D1X2</v>
      </c>
      <c r="C153" s="2899" t="str">
        <f>chitiet!C359</f>
        <v>x</v>
      </c>
      <c r="D153" s="2900">
        <f>chitiet!D359</f>
        <v>1.252</v>
      </c>
      <c r="E153" s="2907">
        <f>chitiet!E359</f>
        <v>0</v>
      </c>
      <c r="F153" s="2898" t="str">
        <f>chitiet!F359</f>
        <v>Đá 1x2</v>
      </c>
      <c r="G153" s="2908" t="str">
        <f>chitiet!G359</f>
        <v>m3</v>
      </c>
      <c r="H153" s="2908">
        <f>chitiet!H359</f>
        <v>5.008</v>
      </c>
      <c r="I153" s="2908">
        <f>chitiet!P359</f>
        <v>5.008</v>
      </c>
      <c r="J153" s="2905">
        <f>IFERROR(VLOOKUP(B153,DG!A:F,6,0),3000)</f>
        <v>999</v>
      </c>
      <c r="K153" s="2906">
        <f>IF(AND(OR(H153&gt;0,I153&gt;0),J153&lt;2000),COUNTIF($B$2:B153,B153),0)</f>
        <v>1</v>
      </c>
      <c r="L153" s="1300"/>
      <c r="M153" s="1375"/>
      <c r="O153" s="1375"/>
    </row>
    <row r="154" spans="1:15" s="1208" customFormat="1" ht="25.2" customHeight="1">
      <c r="A154" s="2897">
        <f>COUNTIF($K$1:K154,1)</f>
        <v>113</v>
      </c>
      <c r="B154" s="2898" t="str">
        <f>CT_tram!B2572</f>
        <v>gachong</v>
      </c>
      <c r="C154" s="2899">
        <f>CT_tram!C2572</f>
        <v>350</v>
      </c>
      <c r="D154" s="2900">
        <f>CT_tram!D2572</f>
        <v>0</v>
      </c>
      <c r="E154" s="2901">
        <f>CT_tram!E2572</f>
        <v>0</v>
      </c>
      <c r="F154" s="2902" t="str">
        <f>CT_tram!F2572</f>
        <v>Gạch ống</v>
      </c>
      <c r="G154" s="2910" t="str">
        <f>CT_tram!G2572</f>
        <v>viên</v>
      </c>
      <c r="H154" s="2911">
        <f>CT_tram!H2572</f>
        <v>350</v>
      </c>
      <c r="I154" s="2925">
        <f>CT_tram!I2572</f>
        <v>350</v>
      </c>
      <c r="J154" s="2905">
        <f>IFERROR(VLOOKUP(B154,DG!A:F,6,0),3000)</f>
        <v>1000</v>
      </c>
      <c r="K154" s="2906">
        <f>IF(AND(OR(H154&gt;0,I154&gt;0),J154&lt;2000),COUNTIF($B$2:B154,B154),0)</f>
        <v>1</v>
      </c>
      <c r="L154" s="1300"/>
      <c r="M154" s="1753"/>
      <c r="N154" s="1754"/>
      <c r="O154" s="1753"/>
    </row>
    <row r="155" spans="1:15" s="1208" customFormat="1" ht="25.2" customHeight="1">
      <c r="A155" s="2897">
        <f>COUNTIF($K$1:K155,1)</f>
        <v>113</v>
      </c>
      <c r="B155" s="2898" t="str">
        <f>CT_tram!B2383</f>
        <v>tubu400</v>
      </c>
      <c r="C155" s="2899">
        <f>CT_tram!C2383</f>
        <v>1</v>
      </c>
      <c r="D155" s="2900">
        <f>CT_tram!D2383</f>
        <v>6</v>
      </c>
      <c r="E155" s="2901" t="str">
        <f>CT_tram!E2383</f>
        <v>02.8534</v>
      </c>
      <c r="F155" s="2902" t="str">
        <f>CT_tram!F2383</f>
        <v>Tủ tụ bù hạ thế 400kVAr</v>
      </c>
      <c r="G155" s="2903" t="str">
        <f>CT_tram!G2383</f>
        <v>tủ</v>
      </c>
      <c r="H155" s="2904">
        <f>CT_tram!H2383</f>
        <v>1</v>
      </c>
      <c r="I155" s="2904">
        <f>CT_tram!I2383</f>
        <v>1</v>
      </c>
      <c r="J155" s="2905">
        <f>IFERROR(VLOOKUP(B155,DG!A:F,6,0),3000)</f>
        <v>2000</v>
      </c>
      <c r="K155" s="2906">
        <f>IF(AND(OR(H155&gt;0,I155&gt;0),J155&lt;2000),COUNTIF($B$2:B155,B155),0)</f>
        <v>0</v>
      </c>
      <c r="L155" s="1300"/>
      <c r="M155" s="1375"/>
      <c r="O155" s="1375"/>
    </row>
    <row r="156" spans="1:15" s="1208" customFormat="1" ht="25.2" customHeight="1">
      <c r="A156" s="2897">
        <f>COUNTIF($K$1:K156,1)</f>
        <v>113</v>
      </c>
      <c r="B156" s="2898" t="str">
        <f>CT_tram!B2384</f>
        <v>TI30</v>
      </c>
      <c r="C156" s="2899">
        <f>CT_tram!C2384</f>
        <v>3</v>
      </c>
      <c r="D156" s="2900">
        <f>CT_tram!D2384</f>
        <v>6</v>
      </c>
      <c r="E156" s="2901" t="str">
        <f>CT_tram!E2384</f>
        <v>02.1124</v>
      </c>
      <c r="F156" s="2902" t="str">
        <f>CT_tram!F2384</f>
        <v>Biến dòng 24kV  30/5A</v>
      </c>
      <c r="G156" s="2903" t="str">
        <f>CT_tram!G2384</f>
        <v>cái</v>
      </c>
      <c r="H156" s="2904">
        <f>CT_tram!H2384</f>
        <v>3</v>
      </c>
      <c r="I156" s="2904">
        <f>CT_tram!I2384</f>
        <v>3</v>
      </c>
      <c r="J156" s="2905">
        <f>IFERROR(VLOOKUP(B156,DG!A:F,6,0),3000)</f>
        <v>2000</v>
      </c>
      <c r="K156" s="2906">
        <f>IF(AND(OR(H156&gt;0,I156&gt;0),J156&lt;2000),COUNTIF($B$2:B156,B156),0)</f>
        <v>0</v>
      </c>
      <c r="L156" s="1300"/>
      <c r="M156" s="1375"/>
      <c r="O156" s="1375"/>
    </row>
    <row r="157" spans="1:15" s="1208" customFormat="1" ht="25.2" customHeight="1">
      <c r="A157" s="2897">
        <f>COUNTIF($K$1:K157,1)</f>
        <v>113</v>
      </c>
      <c r="B157" s="2898" t="str">
        <f>CT_tram!B2386</f>
        <v>tu22</v>
      </c>
      <c r="C157" s="2899">
        <f>CT_tram!C2386</f>
        <v>3</v>
      </c>
      <c r="D157" s="2900">
        <f>CT_tram!D2386</f>
        <v>7</v>
      </c>
      <c r="E157" s="2907" t="str">
        <f>CT_tram!E2386</f>
        <v>02.1114</v>
      </c>
      <c r="F157" s="2898" t="str">
        <f>CT_tram!F2386</f>
        <v>Biến điện áp 22000/√3/100/√3 V</v>
      </c>
      <c r="G157" s="2908" t="str">
        <f>CT_tram!G2386</f>
        <v>cái</v>
      </c>
      <c r="H157" s="2908">
        <f>CT_tram!H2386</f>
        <v>3</v>
      </c>
      <c r="I157" s="2909">
        <f>CT_tram!I2386</f>
        <v>3</v>
      </c>
      <c r="J157" s="2905">
        <f>IFERROR(VLOOKUP(B157,DG!A:F,6,0),3000)</f>
        <v>2000</v>
      </c>
      <c r="K157" s="2906">
        <f>IF(AND(OR(H157&gt;0,I157&gt;0),J157&lt;2000),COUNTIF($B$2:B157,B157),0)</f>
        <v>0</v>
      </c>
      <c r="L157" s="1297"/>
      <c r="M157" s="1375"/>
      <c r="O157" s="1375"/>
    </row>
    <row r="158" spans="1:15" s="1208" customFormat="1" ht="25.2" customHeight="1">
      <c r="A158" s="2897">
        <f>COUNTIF($K$1:K158,1)</f>
        <v>113</v>
      </c>
      <c r="B158" s="2898" t="str">
        <f>CT_tram!B2387</f>
        <v>DK3DT</v>
      </c>
      <c r="C158" s="2899">
        <f>CT_tram!C2387</f>
        <v>1</v>
      </c>
      <c r="D158" s="2900">
        <f>CT_tram!D2387</f>
        <v>8</v>
      </c>
      <c r="E158" s="2901">
        <f>CT_tram!E2387</f>
        <v>0</v>
      </c>
      <c r="F158" s="2902" t="str">
        <f>CT_tram!F2387</f>
        <v>Điện kế 3 pha điện tử 600V-5A</v>
      </c>
      <c r="G158" s="2903" t="str">
        <f>CT_tram!G2387</f>
        <v>cái</v>
      </c>
      <c r="H158" s="2904">
        <f>CT_tram!H2387</f>
        <v>1</v>
      </c>
      <c r="I158" s="2904">
        <f>CT_tram!I2387</f>
        <v>1</v>
      </c>
      <c r="J158" s="2905">
        <f>IFERROR(VLOOKUP(B158,DG!A:F,6,0),3000)</f>
        <v>2000</v>
      </c>
      <c r="K158" s="2906">
        <f>IF(AND(OR(H158&gt;0,I158&gt;0),J158&lt;2000),COUNTIF($B$2:B158,B158),0)</f>
        <v>0</v>
      </c>
      <c r="L158" s="1752"/>
      <c r="M158" s="1375"/>
      <c r="O158" s="1375"/>
    </row>
    <row r="159" spans="1:15" s="1208" customFormat="1" ht="25.2" customHeight="1">
      <c r="A159" s="2897">
        <f>COUNTIF($K$1:K159,1)</f>
        <v>113</v>
      </c>
      <c r="B159" s="2898" t="str">
        <f>CT_tram!B2550</f>
        <v>M-TBA</v>
      </c>
      <c r="C159" s="2899">
        <f>CT_tram!C2550</f>
        <v>0</v>
      </c>
      <c r="D159" s="2900">
        <f>CT_tram!D2550</f>
        <v>1</v>
      </c>
      <c r="E159" s="2907">
        <f>CT_tram!E2550</f>
        <v>0</v>
      </c>
      <c r="F159" s="2898" t="str">
        <f>CT_tram!F2550</f>
        <v>Bê tông đỡ máy biến áp + Tủ</v>
      </c>
      <c r="G159" s="2908" t="str">
        <f>CT_tram!G2550</f>
        <v>Bộ</v>
      </c>
      <c r="H159" s="2908">
        <f>CT_tram!H2550</f>
        <v>1</v>
      </c>
      <c r="I159" s="2908">
        <f>CT_tram!I2550</f>
        <v>1</v>
      </c>
      <c r="J159" s="2905">
        <f>IFERROR(VLOOKUP(B159,DG!A:F,6,0),3000)</f>
        <v>2000</v>
      </c>
      <c r="K159" s="2906">
        <f>IF(AND(OR(H159&gt;0,I159&gt;0),J159&lt;2000),COUNTIF($B$2:B159,B159),0)</f>
        <v>0</v>
      </c>
      <c r="L159" s="1297"/>
      <c r="M159" s="1375"/>
      <c r="O159" s="1375"/>
    </row>
    <row r="160" spans="1:15" s="1208" customFormat="1" ht="25.2" customHeight="1">
      <c r="A160" s="2897">
        <f>COUNTIF($K$1:K160,1)</f>
        <v>113</v>
      </c>
      <c r="B160" s="2898" t="str">
        <f>chitiet!B244</f>
        <v>M12</v>
      </c>
      <c r="C160" s="2899" t="str">
        <f>chitiet!C244</f>
        <v>x</v>
      </c>
      <c r="D160" s="2900">
        <f>chitiet!D244</f>
        <v>0</v>
      </c>
      <c r="E160" s="2901">
        <f>chitiet!E244</f>
        <v>0</v>
      </c>
      <c r="F160" s="2902" t="str">
        <f>chitiet!F244</f>
        <v>Móng M12</v>
      </c>
      <c r="G160" s="2903" t="str">
        <f>chitiet!G244</f>
        <v>Móng</v>
      </c>
      <c r="H160" s="2904">
        <f>chitiet!H244</f>
        <v>4</v>
      </c>
      <c r="I160" s="2904">
        <f>chitiet!P244</f>
        <v>4</v>
      </c>
      <c r="J160" s="2905">
        <f>IFERROR(VLOOKUP(B160,DG!A:F,6,0),3000)</f>
        <v>2000</v>
      </c>
      <c r="K160" s="2906">
        <f>IF(AND(OR(H160&gt;0,I160&gt;0),J160&lt;2000),COUNTIF($B$2:B160,B160),0)</f>
        <v>0</v>
      </c>
      <c r="L160" s="1752"/>
      <c r="M160" s="1375"/>
      <c r="O160" s="1375"/>
    </row>
    <row r="161" spans="1:15" s="1208" customFormat="1" ht="25.2" customHeight="1">
      <c r="A161" s="2897">
        <f>COUNTIF($K$1:K161,1)</f>
        <v>113</v>
      </c>
      <c r="B161" s="2898" t="str">
        <f>chitiet!B356</f>
        <v>M12BT ĐÔI</v>
      </c>
      <c r="C161" s="2899" t="str">
        <f>chitiet!C356</f>
        <v>x</v>
      </c>
      <c r="D161" s="2900">
        <f>chitiet!D356</f>
        <v>0</v>
      </c>
      <c r="E161" s="2907">
        <f>chitiet!E356</f>
        <v>0</v>
      </c>
      <c r="F161" s="2898" t="str">
        <f>chitiet!F356</f>
        <v>Móng bê tông trụ đôi 12m</v>
      </c>
      <c r="G161" s="2908" t="str">
        <f>chitiet!G356</f>
        <v>Móng</v>
      </c>
      <c r="H161" s="2908">
        <f>chitiet!H356</f>
        <v>4</v>
      </c>
      <c r="I161" s="2908">
        <f>chitiet!P356</f>
        <v>4</v>
      </c>
      <c r="J161" s="2905">
        <f>IFERROR(VLOOKUP(B161,DG!A:F,6,0),3000)</f>
        <v>2000</v>
      </c>
      <c r="K161" s="2906">
        <f>IF(AND(OR(H161&gt;0,I161&gt;0),J161&lt;2000),COUNTIF($B$2:B161,B161),0)</f>
        <v>0</v>
      </c>
      <c r="L161" s="1297"/>
      <c r="M161" s="1375"/>
      <c r="O161" s="1375"/>
    </row>
    <row r="162" spans="1:15" s="1208" customFormat="1" ht="25.2" customHeight="1">
      <c r="A162" s="2897">
        <f>COUNTIF($K$1:K162,1)</f>
        <v>113</v>
      </c>
      <c r="B162" s="2898" t="str">
        <f>chitiet!B640</f>
        <v>TDLL12</v>
      </c>
      <c r="C162" s="2899" t="str">
        <f>chitiet!C640</f>
        <v>x</v>
      </c>
      <c r="D162" s="2900">
        <f>chitiet!D640</f>
        <v>0</v>
      </c>
      <c r="E162" s="2901">
        <f>chitiet!E640</f>
        <v>0</v>
      </c>
      <c r="F162" s="2902" t="str">
        <f>chitiet!F640</f>
        <v>Tiếp địa lặp lại trụ 12m</v>
      </c>
      <c r="G162" s="2903" t="str">
        <f>chitiet!G640</f>
        <v>Bộ</v>
      </c>
      <c r="H162" s="2904">
        <f>chitiet!H640</f>
        <v>1</v>
      </c>
      <c r="I162" s="2904">
        <f>chitiet!P640</f>
        <v>1</v>
      </c>
      <c r="J162" s="2905">
        <f>IFERROR(VLOOKUP(B162,DG!A:F,6,0),3000)</f>
        <v>2000</v>
      </c>
      <c r="K162" s="2906">
        <f>IF(AND(OR(H162&gt;0,I162&gt;0),J162&lt;2000),COUNTIF($B$2:B162,B162),0)</f>
        <v>0</v>
      </c>
      <c r="L162" s="1300"/>
      <c r="M162" s="1375"/>
      <c r="O162" s="1375"/>
    </row>
    <row r="163" spans="1:15" s="1208" customFormat="1" ht="25.2" customHeight="1">
      <c r="A163" s="2897">
        <f>COUNTIF($K$1:K163,1)</f>
        <v>113</v>
      </c>
      <c r="B163" s="2898" t="str">
        <f>chitiet!B663</f>
        <v>TDtb</v>
      </c>
      <c r="C163" s="2899" t="str">
        <f>chitiet!C663</f>
        <v>x</v>
      </c>
      <c r="D163" s="2900">
        <f>chitiet!D663</f>
        <v>0</v>
      </c>
      <c r="E163" s="2907">
        <f>chitiet!E663</f>
        <v>0</v>
      </c>
      <c r="F163" s="2898" t="str">
        <f>chitiet!F663</f>
        <v>Tiếp địa trụ Recloser, LBS</v>
      </c>
      <c r="G163" s="2908" t="str">
        <f>chitiet!G663</f>
        <v>Bộ</v>
      </c>
      <c r="H163" s="2908">
        <f>chitiet!H663</f>
        <v>1</v>
      </c>
      <c r="I163" s="2908">
        <f>chitiet!P663</f>
        <v>1</v>
      </c>
      <c r="J163" s="2905">
        <f>IFERROR(VLOOKUP(B163,DG!A:F,6,0),3000)</f>
        <v>2000</v>
      </c>
      <c r="K163" s="2906">
        <f>IF(AND(OR(H163&gt;0,I163&gt;0),J163&lt;2000),COUNTIF($B$2:B163,B163),0)</f>
        <v>0</v>
      </c>
      <c r="L163" s="1297"/>
      <c r="M163" s="1375"/>
      <c r="O163" s="1375"/>
    </row>
    <row r="164" spans="1:15" s="1208" customFormat="1" ht="25.2" customHeight="1">
      <c r="A164" s="2897">
        <f>COUNTIF($K$1:K164,1)</f>
        <v>113</v>
      </c>
      <c r="B164" s="2917" t="str">
        <f>chitiet!B772</f>
        <v>BTLT 12</v>
      </c>
      <c r="C164" s="2918" t="str">
        <f>chitiet!C772</f>
        <v>x</v>
      </c>
      <c r="D164" s="2919">
        <f>chitiet!D772</f>
        <v>0</v>
      </c>
      <c r="E164" s="2920">
        <f>chitiet!E772</f>
        <v>0</v>
      </c>
      <c r="F164" s="2917" t="str">
        <f>chitiet!F772</f>
        <v>Trụ bê tông ly tâm 12m trồng thủ công+cơ giới</v>
      </c>
      <c r="G164" s="2909" t="str">
        <f>chitiet!G772</f>
        <v>Trụ</v>
      </c>
      <c r="H164" s="2909">
        <f>chitiet!H772</f>
        <v>12</v>
      </c>
      <c r="I164" s="2909">
        <f>chitiet!P772</f>
        <v>12</v>
      </c>
      <c r="J164" s="2905">
        <f>IFERROR(VLOOKUP(B164,DG!A:F,6,0),3000)</f>
        <v>2000</v>
      </c>
      <c r="K164" s="2906">
        <f>IF(AND(OR(H164&gt;0,I164&gt;0),J164&lt;2000),COUNTIF($B$2:B164,B164),0)</f>
        <v>0</v>
      </c>
      <c r="L164" s="1297"/>
      <c r="M164" s="1375"/>
      <c r="O164" s="1375"/>
    </row>
    <row r="165" spans="1:15" s="1208" customFormat="1" ht="25.2" customHeight="1">
      <c r="A165" s="2897">
        <f>COUNTIF($K$1:K165,1)</f>
        <v>113</v>
      </c>
      <c r="B165" s="2898" t="str">
        <f>chitiet!B863</f>
        <v>X-22K-Đ</v>
      </c>
      <c r="C165" s="2899" t="str">
        <f>chitiet!C863</f>
        <v>x</v>
      </c>
      <c r="D165" s="2900">
        <f>chitiet!D863</f>
        <v>0</v>
      </c>
      <c r="E165" s="2901">
        <f>chitiet!E863</f>
        <v>0</v>
      </c>
      <c r="F165" s="2902" t="str">
        <f>chitiet!F863</f>
        <v>Bộ xà kép L75x75x8 dài 2.2m: X-22K-Đ - C810 (lắp trụ đơn)</v>
      </c>
      <c r="G165" s="2903" t="str">
        <f>chitiet!G863</f>
        <v>Bộ</v>
      </c>
      <c r="H165" s="2904">
        <f>chitiet!H863</f>
        <v>3</v>
      </c>
      <c r="I165" s="2904">
        <f>chitiet!P863</f>
        <v>3</v>
      </c>
      <c r="J165" s="2905">
        <f>IFERROR(VLOOKUP(B165,DG!A:F,6,0),3000)</f>
        <v>2000</v>
      </c>
      <c r="K165" s="2906">
        <f>IF(AND(OR(H165&gt;0,I165&gt;0),J165&lt;2000),COUNTIF($B$2:B165,B165),0)</f>
        <v>0</v>
      </c>
      <c r="L165" s="1752"/>
      <c r="M165" s="1375"/>
      <c r="O165" s="1375"/>
    </row>
    <row r="166" spans="1:15" s="1208" customFormat="1" ht="25.2" customHeight="1">
      <c r="A166" s="2897">
        <f>COUNTIF($K$1:K166,1)</f>
        <v>113</v>
      </c>
      <c r="B166" s="2912" t="str">
        <f>chitiet!B874</f>
        <v>X-22K-K</v>
      </c>
      <c r="C166" s="2913" t="str">
        <f>chitiet!C874</f>
        <v>x</v>
      </c>
      <c r="D166" s="2914">
        <f>chitiet!D874</f>
        <v>0</v>
      </c>
      <c r="E166" s="2915">
        <f>chitiet!E874</f>
        <v>0</v>
      </c>
      <c r="F166" s="2916" t="str">
        <f>chitiet!F874</f>
        <v>Bộ xà kép L75x75x8 dài 2.2m: X-22K-K - C810 (lắp theo hướng trụ ghép)</v>
      </c>
      <c r="G166" s="2910" t="str">
        <f>chitiet!G874</f>
        <v>Bộ</v>
      </c>
      <c r="H166" s="2911">
        <f>chitiet!H874</f>
        <v>3</v>
      </c>
      <c r="I166" s="2904">
        <f>chitiet!P874</f>
        <v>3</v>
      </c>
      <c r="J166" s="2905">
        <f>IFERROR(VLOOKUP(B166,DG!A:F,6,0),3000)</f>
        <v>2000</v>
      </c>
      <c r="K166" s="2906">
        <f>IF(AND(OR(H166&gt;0,I166&gt;0),J166&lt;2000),COUNTIF($B$2:B166,B166),0)</f>
        <v>0</v>
      </c>
      <c r="L166" s="1300"/>
      <c r="M166" s="1753"/>
      <c r="N166" s="1754"/>
      <c r="O166" s="1753"/>
    </row>
    <row r="167" spans="1:15" s="1208" customFormat="1" ht="25.2" customHeight="1">
      <c r="A167" s="2897">
        <f>COUNTIF($K$1:K167,1)</f>
        <v>113</v>
      </c>
      <c r="B167" s="2898" t="str">
        <f>chitiet!B952</f>
        <v>X-21ĐL</v>
      </c>
      <c r="C167" s="2899" t="str">
        <f>chitiet!C952</f>
        <v>x</v>
      </c>
      <c r="D167" s="2900">
        <f>chitiet!D952</f>
        <v>0</v>
      </c>
      <c r="E167" s="2901">
        <f>chitiet!E952</f>
        <v>0</v>
      </c>
      <c r="F167" s="2902" t="str">
        <f>chitiet!F952</f>
        <v>Bộ xà lệch đơn L75x75x8 dài 2,1m: X-21ĐL</v>
      </c>
      <c r="G167" s="2903" t="str">
        <f>chitiet!G952</f>
        <v>Bộ</v>
      </c>
      <c r="H167" s="2904">
        <f>chitiet!H952</f>
        <v>3</v>
      </c>
      <c r="I167" s="2904">
        <f>chitiet!P952</f>
        <v>3</v>
      </c>
      <c r="J167" s="2905">
        <f>IFERROR(VLOOKUP(B167,DG!A:F,6,0),3000)</f>
        <v>2000</v>
      </c>
      <c r="K167" s="2906">
        <f>IF(AND(OR(H167&gt;0,I167&gt;0),J167&lt;2000),COUNTIF($B$2:B167,B167),0)</f>
        <v>0</v>
      </c>
      <c r="L167" s="1752"/>
      <c r="M167" s="1375"/>
      <c r="O167" s="1375"/>
    </row>
    <row r="168" spans="1:15" s="1208" customFormat="1" ht="25.2" customHeight="1">
      <c r="A168" s="2897">
        <f>COUNTIF($K$1:K168,1)</f>
        <v>113</v>
      </c>
      <c r="B168" s="2898" t="str">
        <f>chitiet!B962</f>
        <v>X-21KL</v>
      </c>
      <c r="C168" s="2899" t="str">
        <f>chitiet!C962</f>
        <v>x</v>
      </c>
      <c r="D168" s="2900">
        <f>chitiet!D962</f>
        <v>0</v>
      </c>
      <c r="E168" s="2907">
        <f>chitiet!E962</f>
        <v>0</v>
      </c>
      <c r="F168" s="2898" t="str">
        <f>chitiet!F962</f>
        <v>Bộ xà lệch kép L75x75x8 dài 2,1m: X-21KL</v>
      </c>
      <c r="G168" s="2908" t="str">
        <f>chitiet!G962</f>
        <v>Bộ</v>
      </c>
      <c r="H168" s="2908">
        <f>chitiet!H962</f>
        <v>1</v>
      </c>
      <c r="I168" s="2908">
        <f>chitiet!P962</f>
        <v>1</v>
      </c>
      <c r="J168" s="2905">
        <f>IFERROR(VLOOKUP(B168,DG!A:F,6,0),3000)</f>
        <v>2000</v>
      </c>
      <c r="K168" s="2906">
        <f>IF(AND(OR(H168&gt;0,I168&gt;0),J168&lt;2000),COUNTIF($B$2:B168,B168),0)</f>
        <v>0</v>
      </c>
      <c r="L168" s="1297"/>
      <c r="M168" s="1375"/>
      <c r="O168" s="1375"/>
    </row>
    <row r="169" spans="1:15" s="1208" customFormat="1" ht="25.2" customHeight="1">
      <c r="A169" s="2897">
        <f>COUNTIF($K$1:K169,1)</f>
        <v>113</v>
      </c>
      <c r="B169" s="2898" t="str">
        <f>chitiet!B1107</f>
        <v>X-com800</v>
      </c>
      <c r="C169" s="2899" t="str">
        <f>chitiet!C1107</f>
        <v>x</v>
      </c>
      <c r="D169" s="2900">
        <f>chitiet!D1107</f>
        <v>0</v>
      </c>
      <c r="E169" s="2901">
        <f>chitiet!E1107</f>
        <v>0</v>
      </c>
      <c r="F169" s="2902" t="str">
        <f>chitiet!F1107</f>
        <v>Bộ xà composite 0,8m bắt FCO</v>
      </c>
      <c r="G169" s="2903" t="str">
        <f>chitiet!G1107</f>
        <v>Bộ</v>
      </c>
      <c r="H169" s="2904">
        <f>chitiet!H1107</f>
        <v>1</v>
      </c>
      <c r="I169" s="2904">
        <f>chitiet!P1107</f>
        <v>1</v>
      </c>
      <c r="J169" s="2905">
        <f>IFERROR(VLOOKUP(B169,DG!A:F,6,0),3000)</f>
        <v>2000</v>
      </c>
      <c r="K169" s="2906">
        <f>IF(AND(OR(H169&gt;0,I169&gt;0),J169&lt;2000),COUNTIF($B$2:B169,B169),0)</f>
        <v>0</v>
      </c>
      <c r="L169" s="1300"/>
      <c r="M169" s="1375"/>
      <c r="O169" s="1375"/>
    </row>
    <row r="170" spans="1:15" s="1208" customFormat="1" ht="25.2" customHeight="1">
      <c r="A170" s="2897">
        <f>COUNTIF($K$1:K170,1)</f>
        <v>113</v>
      </c>
      <c r="B170" s="2898" t="str">
        <f>chitiet!B1114</f>
        <v>X-24COMPOSITE</v>
      </c>
      <c r="C170" s="2899" t="str">
        <f>chitiet!C1114</f>
        <v>x</v>
      </c>
      <c r="D170" s="2900">
        <f>chitiet!D1114</f>
        <v>0</v>
      </c>
      <c r="E170" s="2901">
        <f>chitiet!E1114</f>
        <v>0</v>
      </c>
      <c r="F170" s="2902" t="str">
        <f>chitiet!F1114</f>
        <v>Bộ xà composite 2,4m bắt FCO</v>
      </c>
      <c r="G170" s="2903" t="str">
        <f>chitiet!G1114</f>
        <v>Bộ</v>
      </c>
      <c r="H170" s="2904">
        <f>chitiet!H1114</f>
        <v>1</v>
      </c>
      <c r="I170" s="2904">
        <f>chitiet!P1114</f>
        <v>1</v>
      </c>
      <c r="J170" s="2905">
        <f>IFERROR(VLOOKUP(B170,DG!A:F,6,0),3000)</f>
        <v>2000</v>
      </c>
      <c r="K170" s="2906">
        <f>IF(AND(OR(H170&gt;0,I170&gt;0),J170&lt;2000),COUNTIF($B$2:B170,B170),0)</f>
        <v>0</v>
      </c>
      <c r="L170" s="1752"/>
      <c r="M170" s="1375"/>
      <c r="O170" s="1375"/>
    </row>
    <row r="171" spans="1:15" s="1208" customFormat="1" ht="25.2" customHeight="1">
      <c r="A171" s="2897">
        <f>COUNTIF($K$1:K171,1)</f>
        <v>113</v>
      </c>
      <c r="B171" s="2912" t="str">
        <f>chitiet!B1769</f>
        <v>DDTT3P1m-m</v>
      </c>
      <c r="C171" s="2913" t="str">
        <f>chitiet!C1769</f>
        <v>x</v>
      </c>
      <c r="D171" s="2914">
        <f>chitiet!D1769</f>
        <v>1</v>
      </c>
      <c r="E171" s="2915">
        <f>chitiet!E1769</f>
        <v>1</v>
      </c>
      <c r="F171" s="2916" t="str">
        <f>chitiet!F1769</f>
        <v>Phần trung thế 3 pha xây dựng mới</v>
      </c>
      <c r="G171" s="2910" t="str">
        <f>chitiet!G1769</f>
        <v>Tbộ</v>
      </c>
      <c r="H171" s="2911">
        <f>chitiet!H1769</f>
        <v>0</v>
      </c>
      <c r="I171" s="2925">
        <f>chitiet!$P$1769</f>
        <v>0</v>
      </c>
      <c r="J171" s="2905">
        <f>IFERROR(VLOOKUP(B171,DG!A:F,6,0),3000)</f>
        <v>2000</v>
      </c>
      <c r="K171" s="2906">
        <f>IF(AND(OR(H171&gt;0,I171&gt;0),J171&lt;2000),COUNTIF($B$2:B171,B171),0)</f>
        <v>0</v>
      </c>
      <c r="L171" s="1300"/>
      <c r="M171" s="1375"/>
      <c r="O171" s="1375"/>
    </row>
    <row r="172" spans="1:15" s="1208" customFormat="1" ht="25.2" customHeight="1">
      <c r="A172" s="2897">
        <f>COUNTIF($K$1:K172,1)</f>
        <v>113</v>
      </c>
      <c r="B172" s="2898" t="str">
        <f>chitiet!B1793</f>
        <v>Đth-U</v>
      </c>
      <c r="C172" s="2899" t="str">
        <f>chitiet!C1793</f>
        <v>x</v>
      </c>
      <c r="D172" s="2900">
        <f>chitiet!D1793</f>
        <v>4</v>
      </c>
      <c r="E172" s="2907">
        <f>chitiet!E1793</f>
        <v>0</v>
      </c>
      <c r="F172" s="2898" t="str">
        <f>chitiet!F1793</f>
        <v>Bộ Uclevis đỡ dây trung hòa</v>
      </c>
      <c r="G172" s="2908" t="str">
        <f>chitiet!G1793</f>
        <v>bộ</v>
      </c>
      <c r="H172" s="2908">
        <f>chitiet!H1793</f>
        <v>4</v>
      </c>
      <c r="I172" s="2934">
        <f>chitiet!P1793</f>
        <v>4</v>
      </c>
      <c r="J172" s="2905">
        <f>IFERROR(VLOOKUP(B172,DG!A:F,6,0),3000)</f>
        <v>2000</v>
      </c>
      <c r="K172" s="2906">
        <f>IF(AND(OR(H172&gt;0,I172&gt;0),J172&lt;2000),COUNTIF($B$2:B172,B172),0)</f>
        <v>0</v>
      </c>
      <c r="L172" s="1297"/>
      <c r="M172" s="1375"/>
      <c r="O172" s="1375"/>
    </row>
    <row r="173" spans="1:15" s="1208" customFormat="1" ht="25.2" customHeight="1">
      <c r="A173" s="2897">
        <f>COUNTIF($K$1:K173,1)</f>
        <v>113</v>
      </c>
      <c r="B173" s="2898" t="str">
        <f>chitiet!B1806</f>
        <v>Nth-T</v>
      </c>
      <c r="C173" s="2899" t="str">
        <f>chitiet!C1806</f>
        <v>x</v>
      </c>
      <c r="D173" s="2900">
        <f>chitiet!D1806</f>
        <v>0</v>
      </c>
      <c r="E173" s="2901">
        <f>chitiet!E1806</f>
        <v>0</v>
      </c>
      <c r="F173" s="2902" t="str">
        <f>chitiet!F1806</f>
        <v>Bộ khóa néo dây trung hòa vào trụ đơn</v>
      </c>
      <c r="G173" s="2903" t="str">
        <f>chitiet!G1806</f>
        <v>bộ</v>
      </c>
      <c r="H173" s="2904">
        <f>chitiet!H1806</f>
        <v>1</v>
      </c>
      <c r="I173" s="2904">
        <f>chitiet!P1806</f>
        <v>1</v>
      </c>
      <c r="J173" s="2905">
        <f>IFERROR(VLOOKUP(B173,DG!A:F,6,0),3000)</f>
        <v>2000</v>
      </c>
      <c r="K173" s="2906">
        <f>IF(AND(OR(H173&gt;0,I173&gt;0),J173&lt;2000),COUNTIF($B$2:B173,B173),0)</f>
        <v>0</v>
      </c>
      <c r="L173" s="1300"/>
      <c r="M173" s="1375"/>
      <c r="O173" s="1375"/>
    </row>
    <row r="174" spans="1:15" s="1208" customFormat="1" ht="25.2" customHeight="1">
      <c r="A174" s="2897">
        <f>COUNTIF($K$1:K174,1)</f>
        <v>113</v>
      </c>
      <c r="B174" s="2898" t="str">
        <f>chitiet!B1810</f>
        <v>Nth-T-g</v>
      </c>
      <c r="C174" s="2899" t="str">
        <f>chitiet!C1810</f>
        <v>x</v>
      </c>
      <c r="D174" s="2900">
        <f>chitiet!D1810</f>
        <v>0</v>
      </c>
      <c r="E174" s="2901">
        <f>chitiet!E1810</f>
        <v>0</v>
      </c>
      <c r="F174" s="2902" t="str">
        <f>chitiet!F1810</f>
        <v>Bộ khóa néo dây trung hòa vào trụ ghép</v>
      </c>
      <c r="G174" s="2903" t="str">
        <f>chitiet!G1810</f>
        <v>bộ</v>
      </c>
      <c r="H174" s="2904">
        <f>chitiet!H1810</f>
        <v>5</v>
      </c>
      <c r="I174" s="2904">
        <f>chitiet!P1810</f>
        <v>5</v>
      </c>
      <c r="J174" s="2905">
        <f>IFERROR(VLOOKUP(B174,DG!A:F,6,0),3000)</f>
        <v>2000</v>
      </c>
      <c r="K174" s="2906">
        <f>IF(AND(OR(H174&gt;0,I174&gt;0),J174&lt;2000),COUNTIF($B$2:B174,B174),0)</f>
        <v>0</v>
      </c>
      <c r="L174" s="1300"/>
      <c r="M174" s="1375"/>
      <c r="O174" s="1375"/>
    </row>
    <row r="175" spans="1:15" s="1208" customFormat="1" ht="25.2" customHeight="1">
      <c r="A175" s="2897">
        <f>COUNTIF($K$1:K175,1)</f>
        <v>113</v>
      </c>
      <c r="B175" s="2898" t="str">
        <f>chitiet!B1818</f>
        <v>SĐU</v>
      </c>
      <c r="C175" s="2899" t="str">
        <f>chitiet!C1818</f>
        <v>x</v>
      </c>
      <c r="D175" s="2900">
        <f>chitiet!D1818</f>
        <v>0</v>
      </c>
      <c r="E175" s="2901">
        <f>chitiet!E1818</f>
        <v>0</v>
      </c>
      <c r="F175" s="2902" t="str">
        <f>chitiet!F1818</f>
        <v>Bộ cách điện đứng+ty sứ : SĐU</v>
      </c>
      <c r="G175" s="2903" t="str">
        <f>chitiet!G1818</f>
        <v>bộ</v>
      </c>
      <c r="H175" s="2904">
        <f>chitiet!H1818</f>
        <v>27</v>
      </c>
      <c r="I175" s="2904">
        <f>chitiet!P1818</f>
        <v>27</v>
      </c>
      <c r="J175" s="2905">
        <f>IFERROR(VLOOKUP(B175,DG!A:F,6,0),3000)</f>
        <v>2000</v>
      </c>
      <c r="K175" s="2906">
        <f>IF(AND(OR(H175&gt;0,I175&gt;0),J175&lt;2000),COUNTIF($B$2:B175,B175),0)</f>
        <v>0</v>
      </c>
      <c r="L175" s="1300"/>
      <c r="M175" s="1375"/>
      <c r="O175" s="1375"/>
    </row>
    <row r="176" spans="1:15" s="1208" customFormat="1" ht="25.2" customHeight="1">
      <c r="A176" s="2897">
        <f>COUNTIF($K$1:K176,1)</f>
        <v>113</v>
      </c>
      <c r="B176" s="2898" t="str">
        <f>chitiet!B1838</f>
        <v>CĐT ply-X</v>
      </c>
      <c r="C176" s="2899" t="str">
        <f>chitiet!C1838</f>
        <v>x</v>
      </c>
      <c r="D176" s="2900">
        <f>chitiet!D1838</f>
        <v>22</v>
      </c>
      <c r="E176" s="2901">
        <f>chitiet!E1838</f>
        <v>0</v>
      </c>
      <c r="F176" s="2902" t="str">
        <f>chitiet!F1838</f>
        <v>Chuỗi sứ treo Polymer 25kV lắp vào xà</v>
      </c>
      <c r="G176" s="2903" t="str">
        <f>chitiet!G1838</f>
        <v>chuỗi</v>
      </c>
      <c r="H176" s="2904">
        <f>chitiet!H1838</f>
        <v>22</v>
      </c>
      <c r="I176" s="2904">
        <f>chitiet!P1838</f>
        <v>22</v>
      </c>
      <c r="J176" s="2905">
        <f>IFERROR(VLOOKUP(B176,DG!A:F,6,0),3000)</f>
        <v>2000</v>
      </c>
      <c r="K176" s="2906">
        <f>IF(AND(OR(H176&gt;0,I176&gt;0),J176&lt;2000),COUNTIF($B$2:B176,B176),0)</f>
        <v>0</v>
      </c>
      <c r="L176" s="1300"/>
      <c r="M176" s="1375"/>
      <c r="O176" s="1375"/>
    </row>
    <row r="177" spans="1:15" s="1208" customFormat="1" ht="25.2" customHeight="1">
      <c r="A177" s="2897">
        <f>COUNTIF($K$1:K177,1)</f>
        <v>113</v>
      </c>
      <c r="B177" s="2898" t="str">
        <f>chitiet!B2328</f>
        <v>TBDD3p1m</v>
      </c>
      <c r="C177" s="2899" t="str">
        <f>chitiet!C2328</f>
        <v>x</v>
      </c>
      <c r="D177" s="2900">
        <f>chitiet!D2328</f>
        <v>1</v>
      </c>
      <c r="E177" s="2901" t="str">
        <f>chitiet!E2328</f>
        <v>V</v>
      </c>
      <c r="F177" s="2902" t="str">
        <f>chitiet!F2328</f>
        <v>Phần thiết bị đường dây 3 pha 1 mạch</v>
      </c>
      <c r="G177" s="2921">
        <f>chitiet!G2328</f>
        <v>0</v>
      </c>
      <c r="H177" s="2922">
        <f>chitiet!H2328</f>
        <v>11</v>
      </c>
      <c r="I177" s="2922">
        <f>chitiet!$P$2328</f>
        <v>0</v>
      </c>
      <c r="J177" s="2905">
        <f>IFERROR(VLOOKUP(B177,DG!A:F,6,0),3000)</f>
        <v>2000</v>
      </c>
      <c r="K177" s="2906">
        <f>IF(AND(OR(H177&gt;0,I177&gt;0),J177&lt;2000),COUNTIF($B$2:B177,B177),0)</f>
        <v>0</v>
      </c>
      <c r="L177" s="1300"/>
      <c r="M177" s="1375"/>
      <c r="O177" s="1375"/>
    </row>
    <row r="178" spans="1:15" s="1208" customFormat="1" ht="25.2" customHeight="1">
      <c r="A178" s="2897">
        <f>COUNTIF($K$1:K178,1)</f>
        <v>113</v>
      </c>
      <c r="B178" s="2898">
        <f>CT_tram!B2389</f>
        <v>0</v>
      </c>
      <c r="C178" s="2899">
        <f>CT_tram!C2389</f>
        <v>0</v>
      </c>
      <c r="D178" s="2900">
        <f>CT_tram!D2389</f>
        <v>0</v>
      </c>
      <c r="E178" s="2901">
        <f>CT_tram!E2389</f>
        <v>0</v>
      </c>
      <c r="F178" s="2902" t="str">
        <f>CT_tram!F2389</f>
        <v>B. PHẦN VẬT LIỆU</v>
      </c>
      <c r="G178" s="2903">
        <f>CT_tram!G2389</f>
        <v>0</v>
      </c>
      <c r="H178" s="2904">
        <f>CT_tram!H2389</f>
        <v>0</v>
      </c>
      <c r="I178" s="2904">
        <f>CT_tram!I2389</f>
        <v>0</v>
      </c>
      <c r="J178" s="2905">
        <f>IFERROR(VLOOKUP(B178,DG!A:F,6,0),3000)</f>
        <v>3000</v>
      </c>
      <c r="K178" s="2906">
        <f>IF(AND(OR(H178&gt;0,I178&gt;0),J178&lt;2000),COUNTIF($B$2:B178,B178),0)</f>
        <v>0</v>
      </c>
      <c r="L178" s="1952"/>
      <c r="M178" s="1375"/>
      <c r="O178" s="1375"/>
    </row>
    <row r="179" spans="1:15" s="1208" customFormat="1" ht="25.2" customHeight="1">
      <c r="A179" s="2897">
        <f>COUNTIF($K$1:K179,1)</f>
        <v>113</v>
      </c>
      <c r="B179" s="2898">
        <f>CT_tram!B2416</f>
        <v>0</v>
      </c>
      <c r="C179" s="2899">
        <f>CT_tram!C2416</f>
        <v>0</v>
      </c>
      <c r="D179" s="2900">
        <f>CT_tram!D2416</f>
        <v>1</v>
      </c>
      <c r="E179" s="2901">
        <f>CT_tram!E2416</f>
        <v>0</v>
      </c>
      <c r="F179" s="2902" t="str">
        <f>CT_tram!F2416</f>
        <v>Xà composit bắt  LA, FCO</v>
      </c>
      <c r="G179" s="2903" t="str">
        <f>CT_tram!G2416</f>
        <v>Bộ</v>
      </c>
      <c r="H179" s="2904">
        <f>CT_tram!H2416</f>
        <v>1</v>
      </c>
      <c r="I179" s="2904">
        <f>CT_tram!I2416</f>
        <v>1</v>
      </c>
      <c r="J179" s="2905">
        <f>IFERROR(VLOOKUP(B179,DG!A:F,6,0),3000)</f>
        <v>3000</v>
      </c>
      <c r="K179" s="2906">
        <f>IF(AND(OR(H179&gt;0,I179&gt;0),J179&lt;2000),COUNTIF($B$2:B179,B179),0)</f>
        <v>0</v>
      </c>
      <c r="L179" s="1300"/>
      <c r="M179" s="1375"/>
      <c r="O179" s="1375"/>
    </row>
    <row r="180" spans="1:15" s="1208" customFormat="1" ht="25.2" customHeight="1">
      <c r="A180" s="2897">
        <f>COUNTIF($K$1:K180,1)</f>
        <v>113</v>
      </c>
      <c r="B180" s="2898" t="str">
        <f>CT_tram!B2424</f>
        <v>LXHN1</v>
      </c>
      <c r="C180" s="2899">
        <f>CT_tram!C2424</f>
        <v>1</v>
      </c>
      <c r="D180" s="2900">
        <f>CT_tram!D2424</f>
        <v>0</v>
      </c>
      <c r="E180" s="2901" t="str">
        <f>CT_tram!E2424</f>
        <v>05.6043</v>
      </c>
      <c r="F180" s="2902" t="str">
        <f>CT_tram!F2424</f>
        <v>Lắp xà cột Pi loại ≤140kg/xà</v>
      </c>
      <c r="G180" s="2903" t="str">
        <f>CT_tram!G2424</f>
        <v>bộ</v>
      </c>
      <c r="H180" s="2904">
        <f>CT_tram!H2424</f>
        <v>1</v>
      </c>
      <c r="I180" s="2904">
        <f>CT_tram!I2424</f>
        <v>1</v>
      </c>
      <c r="J180" s="2905">
        <f>IFERROR(VLOOKUP(B180,DG!A:F,6,0),3000)</f>
        <v>3000</v>
      </c>
      <c r="K180" s="2906">
        <f>IF(AND(OR(H180&gt;0,I180&gt;0),J180&lt;2000),COUNTIF($B$2:B180,B180),0)</f>
        <v>0</v>
      </c>
      <c r="L180" s="1300"/>
      <c r="M180" s="1375"/>
      <c r="O180" s="1375"/>
    </row>
    <row r="181" spans="1:15" s="1208" customFormat="1" ht="25.2" customHeight="1">
      <c r="A181" s="2897">
        <f>COUNTIF($K$1:K181,1)</f>
        <v>113</v>
      </c>
      <c r="B181" s="2912">
        <f>CT_tram!B2432</f>
        <v>0</v>
      </c>
      <c r="C181" s="2913">
        <f>CT_tram!C2432</f>
        <v>0</v>
      </c>
      <c r="D181" s="2914">
        <f>CT_tram!D2432</f>
        <v>2</v>
      </c>
      <c r="E181" s="2926">
        <f>CT_tram!E2432</f>
        <v>0</v>
      </c>
      <c r="F181" s="2912" t="str">
        <f>CT_tram!F2432</f>
        <v xml:space="preserve">Xà kép L75x75x8x2400 (4 ốp) đỡ TU, TI </v>
      </c>
      <c r="G181" s="2927" t="str">
        <f>CT_tram!G2432</f>
        <v>Bộ</v>
      </c>
      <c r="H181" s="2927">
        <f>CT_tram!H2432</f>
        <v>1</v>
      </c>
      <c r="I181" s="2908">
        <f>CT_tram!I2432</f>
        <v>1</v>
      </c>
      <c r="J181" s="2905">
        <f>IFERROR(VLOOKUP(B181,DG!A:F,6,0),3000)</f>
        <v>3000</v>
      </c>
      <c r="K181" s="2906">
        <f>IF(AND(OR(H181&gt;0,I181&gt;0),J181&lt;2000),COUNTIF($B$2:B181,B181),0)</f>
        <v>0</v>
      </c>
      <c r="L181" s="1752"/>
      <c r="M181" s="1375"/>
      <c r="O181" s="1375"/>
    </row>
    <row r="182" spans="1:15" s="1208" customFormat="1" ht="25.2" customHeight="1">
      <c r="A182" s="2897">
        <f>COUNTIF($K$1:K182,1)</f>
        <v>113</v>
      </c>
      <c r="B182" s="2912" t="str">
        <f>CT_tram!B2440</f>
        <v>LXINL</v>
      </c>
      <c r="C182" s="2913">
        <f>CT_tram!C2440</f>
        <v>1</v>
      </c>
      <c r="D182" s="2914">
        <f>CT_tram!D2440</f>
        <v>0</v>
      </c>
      <c r="E182" s="2926" t="str">
        <f>CT_tram!E2440</f>
        <v>05.6011</v>
      </c>
      <c r="F182" s="2912" t="str">
        <f>CT_tram!F2440</f>
        <v>Lắp xà néo ≤ 100kg</v>
      </c>
      <c r="G182" s="2927" t="str">
        <f>CT_tram!G2440</f>
        <v>bộ</v>
      </c>
      <c r="H182" s="2927">
        <f>CT_tram!H2440</f>
        <v>1</v>
      </c>
      <c r="I182" s="2908">
        <f>CT_tram!I2440</f>
        <v>1</v>
      </c>
      <c r="J182" s="2905">
        <f>IFERROR(VLOOKUP(B182,DG!A:F,6,0),3000)</f>
        <v>3000</v>
      </c>
      <c r="K182" s="2906">
        <f>IF(AND(OR(H182&gt;0,I182&gt;0),J182&lt;2000),COUNTIF($B$2:B182,B182),0)</f>
        <v>0</v>
      </c>
      <c r="L182" s="1297"/>
      <c r="M182" s="1375"/>
      <c r="O182" s="1375"/>
    </row>
    <row r="183" spans="1:15" s="1208" customFormat="1" ht="25.2" customHeight="1">
      <c r="A183" s="2897">
        <f>COUNTIF($K$1:K183,1)</f>
        <v>113</v>
      </c>
      <c r="B183" s="2898">
        <f>CT_tram!B2450</f>
        <v>0</v>
      </c>
      <c r="C183" s="2899">
        <f>CT_tram!C2450</f>
        <v>0</v>
      </c>
      <c r="D183" s="2900">
        <f>CT_tram!D2450</f>
        <v>3</v>
      </c>
      <c r="E183" s="2901">
        <f>CT_tram!E2450</f>
        <v>0</v>
      </c>
      <c r="F183" s="2902" t="str">
        <f>CT_tram!F2450</f>
        <v>Bộ tiếp địa Trạm 3 pha</v>
      </c>
      <c r="G183" s="2903" t="str">
        <f>CT_tram!G2450</f>
        <v>Bộ</v>
      </c>
      <c r="H183" s="2904">
        <f>CT_tram!H2450</f>
        <v>1</v>
      </c>
      <c r="I183" s="2904">
        <f>CT_tram!I2450</f>
        <v>1</v>
      </c>
      <c r="J183" s="2905">
        <f>IFERROR(VLOOKUP(B183,DG!A:F,6,0),3000)</f>
        <v>3000</v>
      </c>
      <c r="K183" s="2906">
        <f>IF(AND(OR(H183&gt;0,I183&gt;0),J183&lt;2000),COUNTIF($B$2:B183,B183),0)</f>
        <v>0</v>
      </c>
      <c r="L183" s="1300"/>
      <c r="M183" s="1375"/>
      <c r="O183" s="1375"/>
    </row>
    <row r="184" spans="1:15" s="1208" customFormat="1" ht="25.2" customHeight="1">
      <c r="A184" s="2897">
        <f>COUNTIF($K$1:K184,1)</f>
        <v>113</v>
      </c>
      <c r="B184" s="2898" t="str">
        <f>CT_tram!B2464</f>
        <v>DTD3</v>
      </c>
      <c r="C184" s="2899">
        <f>CT_tram!C2464</f>
        <v>6.75</v>
      </c>
      <c r="D184" s="2900">
        <f>CT_tram!D2464</f>
        <v>0</v>
      </c>
      <c r="E184" s="2901" t="str">
        <f>CT_tram!E2464</f>
        <v>03.3123</v>
      </c>
      <c r="F184" s="2902" t="str">
        <f>CT_tram!F2464</f>
        <v>Đào rãnh tiếp địa đất cấp 3</v>
      </c>
      <c r="G184" s="2903" t="str">
        <f>CT_tram!G2464</f>
        <v>m3</v>
      </c>
      <c r="H184" s="2904">
        <f>CT_tram!H2464</f>
        <v>6.75</v>
      </c>
      <c r="I184" s="2904">
        <f>CT_tram!I2464</f>
        <v>6.75</v>
      </c>
      <c r="J184" s="2905">
        <f>IFERROR(VLOOKUP(B184,DG!A:F,6,0),3000)</f>
        <v>3000</v>
      </c>
      <c r="K184" s="2906">
        <f>IF(AND(OR(H184&gt;0,I184&gt;0),J184&lt;2000),COUNTIF($B$2:B184,B184),0)</f>
        <v>0</v>
      </c>
      <c r="L184" s="1300"/>
      <c r="M184" s="1753"/>
      <c r="N184" s="1754"/>
      <c r="O184" s="1753"/>
    </row>
    <row r="185" spans="1:15" s="1208" customFormat="1" ht="25.2" customHeight="1">
      <c r="A185" s="2897">
        <f>COUNTIF($K$1:K185,1)</f>
        <v>113</v>
      </c>
      <c r="B185" s="2912" t="str">
        <f>CT_tram!B2465</f>
        <v>DATD3</v>
      </c>
      <c r="C185" s="2913">
        <f>CT_tram!C2465</f>
        <v>6.75</v>
      </c>
      <c r="D185" s="2914">
        <f>CT_tram!D2465</f>
        <v>0</v>
      </c>
      <c r="E185" s="2915" t="str">
        <f>CT_tram!E2465</f>
        <v>03.4123</v>
      </c>
      <c r="F185" s="2916" t="str">
        <f>CT_tram!F2465</f>
        <v>Đắp đất rãnh tiếp độ chặt k=0,85</v>
      </c>
      <c r="G185" s="2910" t="str">
        <f>CT_tram!G2465</f>
        <v>m3</v>
      </c>
      <c r="H185" s="2904">
        <f>CT_tram!H2465</f>
        <v>6.75</v>
      </c>
      <c r="I185" s="2904">
        <f>CT_tram!I2465</f>
        <v>6.75</v>
      </c>
      <c r="J185" s="2905">
        <f>IFERROR(VLOOKUP(B185,DG!A:F,6,0),3000)</f>
        <v>3000</v>
      </c>
      <c r="K185" s="2906">
        <f>IF(AND(OR(H185&gt;0,I185&gt;0),J185&lt;2000),COUNTIF($B$2:B185,B185),0)</f>
        <v>0</v>
      </c>
      <c r="L185" s="1300"/>
      <c r="M185" s="1375"/>
      <c r="O185" s="1375"/>
    </row>
    <row r="186" spans="1:15" s="1208" customFormat="1" ht="25.2" customHeight="1">
      <c r="A186" s="2897">
        <f>COUNTIF($K$1:K186,1)</f>
        <v>113</v>
      </c>
      <c r="B186" s="2898" t="str">
        <f>CT_tram!B2466</f>
        <v>dctdtba</v>
      </c>
      <c r="C186" s="2899">
        <f>CT_tram!C2466</f>
        <v>10</v>
      </c>
      <c r="D186" s="2900">
        <f>CT_tram!D2466</f>
        <v>0</v>
      </c>
      <c r="E186" s="2901" t="str">
        <f>CT_tram!E2466</f>
        <v>04.7001</v>
      </c>
      <c r="F186" s="2902" t="str">
        <f>CT_tram!F2466</f>
        <v>Đóng cọc tiếp địa trong TBA</v>
      </c>
      <c r="G186" s="2903" t="str">
        <f>CT_tram!G2466</f>
        <v>cọc</v>
      </c>
      <c r="H186" s="2904">
        <f>CT_tram!H2466</f>
        <v>10</v>
      </c>
      <c r="I186" s="2904">
        <f>CT_tram!I2466</f>
        <v>10</v>
      </c>
      <c r="J186" s="2905">
        <f>IFERROR(VLOOKUP(B186,DG!A:F,6,0),3000)</f>
        <v>3000</v>
      </c>
      <c r="K186" s="2906">
        <f>IF(AND(OR(H186&gt;0,I186&gt;0),J186&lt;2000),COUNTIF($B$2:B186,B186),0)</f>
        <v>0</v>
      </c>
      <c r="L186" s="1300"/>
      <c r="M186" s="1375"/>
      <c r="O186" s="1375"/>
    </row>
    <row r="187" spans="1:15" s="1208" customFormat="1" ht="25.2" customHeight="1">
      <c r="A187" s="2897">
        <f>COUNTIF($K$1:K187,1)</f>
        <v>113</v>
      </c>
      <c r="B187" s="2898" t="str">
        <f>CT_tram!B2467</f>
        <v>ktdTBA</v>
      </c>
      <c r="C187" s="2899">
        <f>CT_tram!C2467</f>
        <v>11.87</v>
      </c>
      <c r="D187" s="2900">
        <f>CT_tram!D2467</f>
        <v>0</v>
      </c>
      <c r="E187" s="2907" t="str">
        <f>CT_tram!E2467</f>
        <v>04.7002</v>
      </c>
      <c r="F187" s="2898" t="str">
        <f>CT_tram!F2467</f>
        <v>Kéo dây tiếp địa trong TBA</v>
      </c>
      <c r="G187" s="2908" t="str">
        <f>CT_tram!G2467</f>
        <v>kg</v>
      </c>
      <c r="H187" s="2908">
        <f>CT_tram!H2467</f>
        <v>11.87</v>
      </c>
      <c r="I187" s="2908">
        <f>CT_tram!I2467</f>
        <v>11.87</v>
      </c>
      <c r="J187" s="2905">
        <f>IFERROR(VLOOKUP(B187,DG!A:F,6,0),3000)</f>
        <v>3000</v>
      </c>
      <c r="K187" s="2906">
        <f>IF(AND(OR(H187&gt;0,I187&gt;0),J187&lt;2000),COUNTIF($B$2:B187,B187),0)</f>
        <v>0</v>
      </c>
      <c r="L187" s="1297"/>
      <c r="M187" s="1375"/>
      <c r="O187" s="1375"/>
    </row>
    <row r="188" spans="1:15" s="1208" customFormat="1" ht="25.2" customHeight="1">
      <c r="A188" s="2897">
        <f>COUNTIF($K$1:K188,1)</f>
        <v>113</v>
      </c>
      <c r="B188" s="2898">
        <f>CT_tram!B2474</f>
        <v>0</v>
      </c>
      <c r="C188" s="2899">
        <f>CT_tram!C2474</f>
        <v>0</v>
      </c>
      <c r="D188" s="2900">
        <f>CT_tram!D2474</f>
        <v>4</v>
      </c>
      <c r="E188" s="2901">
        <f>CT_tram!E2474</f>
        <v>0</v>
      </c>
      <c r="F188" s="2902" t="str">
        <f>CT_tram!F2474</f>
        <v>Tủ đóng cắt hạ thế</v>
      </c>
      <c r="G188" s="2903" t="str">
        <f>CT_tram!G2474</f>
        <v>Bộ</v>
      </c>
      <c r="H188" s="2904">
        <f>CT_tram!H2474</f>
        <v>1</v>
      </c>
      <c r="I188" s="2904">
        <f>CT_tram!I2474</f>
        <v>1</v>
      </c>
      <c r="J188" s="2905">
        <f>IFERROR(VLOOKUP(B188,DG!A:F,6,0),3000)</f>
        <v>3000</v>
      </c>
      <c r="K188" s="2906">
        <f>IF(AND(OR(H188&gt;0,I188&gt;0),J188&lt;2000),COUNTIF($B$2:B188,B188),0)</f>
        <v>0</v>
      </c>
      <c r="L188" s="1300"/>
      <c r="M188" s="1375"/>
      <c r="O188" s="1375"/>
    </row>
    <row r="189" spans="1:15" s="1208" customFormat="1" ht="25.2" customHeight="1">
      <c r="A189" s="2897">
        <f>COUNTIF($K$1:K189,1)</f>
        <v>113</v>
      </c>
      <c r="B189" s="2898">
        <f>CT_tram!B2511</f>
        <v>0</v>
      </c>
      <c r="C189" s="2899">
        <f>CT_tram!C2511</f>
        <v>0</v>
      </c>
      <c r="D189" s="2900">
        <f>CT_tram!D2511</f>
        <v>5</v>
      </c>
      <c r="E189" s="2901">
        <f>CT_tram!E2511</f>
        <v>0</v>
      </c>
      <c r="F189" s="2902" t="str">
        <f>CT_tram!F2511</f>
        <v>Bộ dây dẫn trung thế 24kV 3 pha</v>
      </c>
      <c r="G189" s="2903" t="str">
        <f>CT_tram!G2511</f>
        <v>Bộ</v>
      </c>
      <c r="H189" s="2904">
        <f>CT_tram!H2511</f>
        <v>1</v>
      </c>
      <c r="I189" s="2904">
        <f>CT_tram!I2511</f>
        <v>1</v>
      </c>
      <c r="J189" s="2905">
        <f>IFERROR(VLOOKUP(B189,DG!A:F,6,0),3000)</f>
        <v>3000</v>
      </c>
      <c r="K189" s="2906">
        <f>IF(AND(OR(H189&gt;0,I189&gt;0),J189&lt;2000),COUNTIF($B$2:B189,B189),0)</f>
        <v>0</v>
      </c>
      <c r="L189" s="1300"/>
      <c r="M189" s="1375"/>
      <c r="O189" s="1375"/>
    </row>
    <row r="190" spans="1:15" s="1208" customFormat="1" ht="25.2" customHeight="1">
      <c r="A190" s="2897">
        <f>COUNTIF($K$1:K190,1)</f>
        <v>113</v>
      </c>
      <c r="B190" s="2898" t="str">
        <f>CT_tram!B2523</f>
        <v>LSD</v>
      </c>
      <c r="C190" s="2899">
        <f>CT_tram!C2523</f>
        <v>6</v>
      </c>
      <c r="D190" s="2900">
        <f>CT_tram!D2523</f>
        <v>0</v>
      </c>
      <c r="E190" s="2901" t="str">
        <f>CT_tram!E2523</f>
        <v>06.1115</v>
      </c>
      <c r="F190" s="2902" t="str">
        <f>CT_tram!F2523</f>
        <v>Lắp sứ đứng 24KV</v>
      </c>
      <c r="G190" s="2903" t="str">
        <f>CT_tram!G2523</f>
        <v>bộ</v>
      </c>
      <c r="H190" s="2904">
        <f>CT_tram!H2523</f>
        <v>6</v>
      </c>
      <c r="I190" s="2904">
        <f>CT_tram!I2523</f>
        <v>6</v>
      </c>
      <c r="J190" s="2905">
        <f>IFERROR(VLOOKUP(B190,DG!A:F,6,0),3000)</f>
        <v>3000</v>
      </c>
      <c r="K190" s="2906">
        <f>IF(AND(OR(H190&gt;0,I190&gt;0),J190&lt;2000),COUNTIF($B$2:B190,B190),0)</f>
        <v>0</v>
      </c>
      <c r="L190" s="1300"/>
      <c r="M190" s="1375"/>
      <c r="O190" s="1375"/>
    </row>
    <row r="191" spans="1:15" s="1208" customFormat="1" ht="25.2" customHeight="1">
      <c r="A191" s="2897">
        <f>COUNTIF($K$1:K191,1)</f>
        <v>113</v>
      </c>
      <c r="B191" s="2898">
        <f>CT_tram!B2531</f>
        <v>0</v>
      </c>
      <c r="C191" s="2899">
        <f>CT_tram!C2531</f>
        <v>0</v>
      </c>
      <c r="D191" s="2900">
        <f>CT_tram!D2531</f>
        <v>6</v>
      </c>
      <c r="E191" s="2901">
        <f>CT_tram!E2531</f>
        <v>0</v>
      </c>
      <c r="F191" s="2902" t="str">
        <f>CT_tram!F2531</f>
        <v>Bộ dây dẫn cáp xuất MBA vào tủ CB</v>
      </c>
      <c r="G191" s="2903" t="str">
        <f>CT_tram!G2531</f>
        <v>Bộ</v>
      </c>
      <c r="H191" s="2904">
        <f>CT_tram!H2531</f>
        <v>1</v>
      </c>
      <c r="I191" s="2904">
        <f>CT_tram!I2531</f>
        <v>1</v>
      </c>
      <c r="J191" s="2905">
        <f>IFERROR(VLOOKUP(B191,DG!A:F,6,0),3000)</f>
        <v>3000</v>
      </c>
      <c r="K191" s="2906">
        <f>IF(AND(OR(H191&gt;0,I191&gt;0),J191&lt;2000),COUNTIF($B$2:B191,B191),0)</f>
        <v>0</v>
      </c>
      <c r="L191" s="1300"/>
      <c r="M191" s="1375"/>
      <c r="O191" s="1375"/>
    </row>
    <row r="192" spans="1:15" s="1208" customFormat="1" ht="25.2" customHeight="1">
      <c r="A192" s="2897">
        <f>COUNTIF($K$1:K192,1)</f>
        <v>113</v>
      </c>
      <c r="B192" s="2917" t="str">
        <f>CT_tram!B2549</f>
        <v>lcapdongTB240</v>
      </c>
      <c r="C192" s="2918">
        <f>CT_tram!C2549</f>
        <v>72</v>
      </c>
      <c r="D192" s="2919">
        <f>CT_tram!D2549</f>
        <v>0</v>
      </c>
      <c r="E192" s="2923">
        <f>CT_tram!E2549</f>
        <v>0</v>
      </c>
      <c r="F192" s="2924" t="str">
        <f>CT_tram!F2549</f>
        <v>Lắp cáp đồng xuống thiết bị D &gt; 150mm2:</v>
      </c>
      <c r="G192" s="2921" t="str">
        <f>CT_tram!G2549</f>
        <v>m</v>
      </c>
      <c r="H192" s="2922">
        <f>CT_tram!H2549</f>
        <v>72</v>
      </c>
      <c r="I192" s="2922">
        <f>CT_tram!I2549</f>
        <v>72</v>
      </c>
      <c r="J192" s="2905">
        <f>IFERROR(VLOOKUP(B192,DG!A:F,6,0),3000)</f>
        <v>3000</v>
      </c>
      <c r="K192" s="2906">
        <f>IF(AND(OR(H192&gt;0,I192&gt;0),J192&lt;2000),COUNTIF($B$2:B192,B192),0)</f>
        <v>0</v>
      </c>
      <c r="L192" s="1300"/>
      <c r="M192" s="1375"/>
      <c r="O192" s="1375"/>
    </row>
    <row r="193" spans="1:15" s="1208" customFormat="1" ht="25.2" customHeight="1">
      <c r="A193" s="2897">
        <f>COUNTIF($K$1:K193,1)</f>
        <v>113</v>
      </c>
      <c r="B193" s="2898" t="str">
        <f>CT_tram!B2554</f>
        <v>bt200</v>
      </c>
      <c r="C193" s="2899">
        <f>CT_tram!C2554</f>
        <v>1.08</v>
      </c>
      <c r="D193" s="2900">
        <f>CT_tram!D2554</f>
        <v>0</v>
      </c>
      <c r="E193" s="2907">
        <f>CT_tram!E2554</f>
        <v>0</v>
      </c>
      <c r="F193" s="2898" t="str">
        <f>CT_tram!F2554</f>
        <v>Bêtông đá 1x2 mac 200</v>
      </c>
      <c r="G193" s="2908" t="str">
        <f>CT_tram!G2554</f>
        <v>m3</v>
      </c>
      <c r="H193" s="2908">
        <f>CT_tram!H2554</f>
        <v>1.08</v>
      </c>
      <c r="I193" s="2908">
        <f>CT_tram!I2554</f>
        <v>1.08</v>
      </c>
      <c r="J193" s="2905">
        <f>IFERROR(VLOOKUP(B193,DG!A:F,6,0),3000)</f>
        <v>3000</v>
      </c>
      <c r="K193" s="2906">
        <f>IF(AND(OR(H193&gt;0,I193&gt;0),J193&lt;2000),COUNTIF($B$2:B193,B193),0)</f>
        <v>0</v>
      </c>
      <c r="L193" s="1297"/>
      <c r="M193" s="1375"/>
      <c r="O193" s="1375"/>
    </row>
    <row r="194" spans="1:15" s="1208" customFormat="1" ht="25.2" customHeight="1">
      <c r="A194" s="2897">
        <f>COUNTIF($K$1:K194,1)</f>
        <v>113</v>
      </c>
      <c r="B194" s="2898" t="str">
        <f>CT_tram!B2555</f>
        <v>BT10046</v>
      </c>
      <c r="C194" s="2899">
        <f>CT_tram!C2555</f>
        <v>0.17</v>
      </c>
      <c r="D194" s="2900">
        <f>CT_tram!D2555</f>
        <v>0</v>
      </c>
      <c r="E194" s="2901">
        <f>CT_tram!E2555</f>
        <v>0</v>
      </c>
      <c r="F194" s="2902" t="str">
        <f>CT_tram!F2555</f>
        <v>Bêtông đá 4x6 mac 100</v>
      </c>
      <c r="G194" s="2903" t="str">
        <f>CT_tram!G2555</f>
        <v>m3</v>
      </c>
      <c r="H194" s="2904">
        <f>CT_tram!H2555</f>
        <v>0.17</v>
      </c>
      <c r="I194" s="2904">
        <f>CT_tram!I2555</f>
        <v>0.17</v>
      </c>
      <c r="J194" s="2905">
        <f>IFERROR(VLOOKUP(B194,DG!A:F,6,0),3000)</f>
        <v>3000</v>
      </c>
      <c r="K194" s="2906">
        <f>IF(AND(OR(H194&gt;0,I194&gt;0),J194&lt;2000),COUNTIF($B$2:B194,B194),0)</f>
        <v>0</v>
      </c>
      <c r="L194" s="1300"/>
      <c r="M194" s="1375"/>
      <c r="O194" s="1375"/>
    </row>
    <row r="195" spans="1:15" s="1208" customFormat="1" ht="25.2" customHeight="1">
      <c r="A195" s="2897">
        <f>COUNTIF($K$1:K195,1)</f>
        <v>113</v>
      </c>
      <c r="B195" s="2898" t="str">
        <f>CT_tram!B2557</f>
        <v>LCT18</v>
      </c>
      <c r="C195" s="2899">
        <f>CT_tram!C2557</f>
        <v>18.88</v>
      </c>
      <c r="D195" s="2900">
        <f>CT_tram!D2557</f>
        <v>0</v>
      </c>
      <c r="E195" s="2907" t="str">
        <f>CT_tram!E2557</f>
        <v>04.1102</v>
      </c>
      <c r="F195" s="2898" t="str">
        <f>CT_tram!F2557</f>
        <v>Gia công và lắp dựng cốt thép D&lt;=18</v>
      </c>
      <c r="G195" s="2908" t="str">
        <f>CT_tram!G2557</f>
        <v>kg</v>
      </c>
      <c r="H195" s="2908">
        <f>CT_tram!H2557</f>
        <v>18.88</v>
      </c>
      <c r="I195" s="2934">
        <f>CT_tram!I2557</f>
        <v>18.88</v>
      </c>
      <c r="J195" s="2905">
        <f>IFERROR(VLOOKUP(B195,DG!A:F,6,0),3000)</f>
        <v>3000</v>
      </c>
      <c r="K195" s="2906">
        <f>IF(AND(OR(H195&gt;0,I195&gt;0),J195&lt;2000),COUNTIF($B$2:B195,B195),0)</f>
        <v>0</v>
      </c>
      <c r="L195" s="1297"/>
      <c r="M195" s="1375"/>
      <c r="O195" s="1375"/>
    </row>
    <row r="196" spans="1:15" s="1208" customFormat="1" ht="25.2" customHeight="1">
      <c r="A196" s="2897">
        <f>COUNTIF($K$1:K196,1)</f>
        <v>113</v>
      </c>
      <c r="B196" s="2898" t="str">
        <f>CT_tram!B2558</f>
        <v>dbt20012</v>
      </c>
      <c r="C196" s="2899">
        <f>CT_tram!C2558</f>
        <v>1.08</v>
      </c>
      <c r="D196" s="2900">
        <f>CT_tram!D2558</f>
        <v>0</v>
      </c>
      <c r="E196" s="2901" t="str">
        <f>CT_tram!E2558</f>
        <v>04.1203c</v>
      </c>
      <c r="F196" s="2902" t="str">
        <f>CT_tram!F2558</f>
        <v>Đổ bê tông móng trụ &lt;=250cm-M200 đá 1x2</v>
      </c>
      <c r="G196" s="2903" t="str">
        <f>CT_tram!G2558</f>
        <v>m3</v>
      </c>
      <c r="H196" s="2904">
        <f>CT_tram!H2558</f>
        <v>1.08</v>
      </c>
      <c r="I196" s="2904">
        <f>CT_tram!I2558</f>
        <v>1.08</v>
      </c>
      <c r="J196" s="2905">
        <f>IFERROR(VLOOKUP(B196,DG!A:F,6,0),3000)</f>
        <v>3000</v>
      </c>
      <c r="K196" s="2906">
        <f>IF(AND(OR(H196&gt;0,I196&gt;0),J196&lt;2000),COUNTIF($B$2:B196,B196),0)</f>
        <v>0</v>
      </c>
      <c r="L196" s="1297"/>
      <c r="M196" s="1375"/>
      <c r="O196" s="1375"/>
    </row>
    <row r="197" spans="1:15" s="1208" customFormat="1" ht="25.2" customHeight="1">
      <c r="A197" s="2897">
        <f>COUNTIF($K$1:K197,1)</f>
        <v>113</v>
      </c>
      <c r="B197" s="2898" t="str">
        <f>CT_tram!B2559</f>
        <v>DBT10046</v>
      </c>
      <c r="C197" s="2899">
        <f>CT_tram!C2559</f>
        <v>0.17</v>
      </c>
      <c r="D197" s="2900">
        <f>CT_tram!D2559</f>
        <v>0</v>
      </c>
      <c r="E197" s="2901" t="str">
        <f>CT_tram!E2559</f>
        <v>04.3112</v>
      </c>
      <c r="F197" s="2902" t="str">
        <f>CT_tram!F2559</f>
        <v>Đổ bê tông mác M100 đá 4x6</v>
      </c>
      <c r="G197" s="2903" t="str">
        <f>CT_tram!G2559</f>
        <v>m3</v>
      </c>
      <c r="H197" s="2904">
        <f>CT_tram!H2559</f>
        <v>0.17</v>
      </c>
      <c r="I197" s="2904">
        <f>CT_tram!I2559</f>
        <v>0.17</v>
      </c>
      <c r="J197" s="2905">
        <f>IFERROR(VLOOKUP(B197,DG!A:F,6,0),3000)</f>
        <v>3000</v>
      </c>
      <c r="K197" s="2906">
        <f>IF(AND(OR(H197&gt;0,I197&gt;0),J197&lt;2000),COUNTIF($B$2:B197,B197),0)</f>
        <v>0</v>
      </c>
      <c r="L197" s="1300"/>
      <c r="M197" s="1375"/>
      <c r="O197" s="1375"/>
    </row>
    <row r="198" spans="1:15" s="1208" customFormat="1" ht="25.2" customHeight="1">
      <c r="A198" s="2897">
        <f>COUNTIF($K$1:K198,1)</f>
        <v>113</v>
      </c>
      <c r="B198" s="2912">
        <f>CT_tram!B2561</f>
        <v>0</v>
      </c>
      <c r="C198" s="2913">
        <f>CT_tram!C2561</f>
        <v>0</v>
      </c>
      <c r="D198" s="2914">
        <f>CT_tram!D2561</f>
        <v>1</v>
      </c>
      <c r="E198" s="2915">
        <f>CT_tram!E2561</f>
        <v>0</v>
      </c>
      <c r="F198" s="2916" t="str">
        <f>CT_tram!F2561</f>
        <v>Hàng rào TBA</v>
      </c>
      <c r="G198" s="2910" t="str">
        <f>CT_tram!G2561</f>
        <v>Bộ</v>
      </c>
      <c r="H198" s="2904">
        <f>CT_tram!H2561</f>
        <v>1</v>
      </c>
      <c r="I198" s="2904">
        <f>CT_tram!I2561</f>
        <v>1</v>
      </c>
      <c r="J198" s="2905">
        <f>IFERROR(VLOOKUP(B198,DG!A:F,6,0),3000)</f>
        <v>3000</v>
      </c>
      <c r="K198" s="2906">
        <f>IF(AND(OR(H198&gt;0,I198&gt;0),J198&lt;2000),COUNTIF($B$2:B198,B198),0)</f>
        <v>0</v>
      </c>
      <c r="L198" s="1300"/>
      <c r="M198" s="1375"/>
      <c r="O198" s="1375"/>
    </row>
    <row r="199" spans="1:15" s="1208" customFormat="1" ht="25.2" customHeight="1">
      <c r="A199" s="2897">
        <f>COUNTIF($K$1:K199,1)</f>
        <v>113</v>
      </c>
      <c r="B199" s="2898" t="str">
        <f>CT_tram!B2564</f>
        <v>C20mMB</v>
      </c>
      <c r="C199" s="2899">
        <f>CT_tram!C2564</f>
        <v>9</v>
      </c>
      <c r="D199" s="2900">
        <f>CT_tram!D2564</f>
        <v>0</v>
      </c>
      <c r="E199" s="2901" t="str">
        <f>CT_tram!E2564</f>
        <v>AI.53111</v>
      </c>
      <c r="F199" s="2902" t="str">
        <f>CT_tram!F2564</f>
        <v>Mặt bích nối cột bêt tông loại 200x200x5, 04 lỗ D16</v>
      </c>
      <c r="G199" s="2903" t="str">
        <f>CT_tram!G2564</f>
        <v>mối</v>
      </c>
      <c r="H199" s="2904">
        <f>CT_tram!H2564</f>
        <v>9</v>
      </c>
      <c r="I199" s="2904">
        <f>CT_tram!I2564</f>
        <v>9</v>
      </c>
      <c r="J199" s="2905">
        <f>IFERROR(VLOOKUP(B199,DG!A:F,6,0),3000)</f>
        <v>3000</v>
      </c>
      <c r="K199" s="2906">
        <f>IF(AND(OR(H199&gt;0,I199&gt;0),J199&lt;2000),COUNTIF($B$2:B199,B199),0)</f>
        <v>0</v>
      </c>
      <c r="L199" s="1300"/>
      <c r="M199" s="1375"/>
      <c r="O199" s="1375"/>
    </row>
    <row r="200" spans="1:15" s="1208" customFormat="1" ht="25.2" customHeight="1">
      <c r="A200" s="2897">
        <f>COUNTIF($K$1:K200,1)</f>
        <v>113</v>
      </c>
      <c r="B200" s="2898" t="str">
        <f>CT_tram!B2571</f>
        <v>bt200</v>
      </c>
      <c r="C200" s="2899">
        <f>CT_tram!C2571</f>
        <v>0.12</v>
      </c>
      <c r="D200" s="2900">
        <f>CT_tram!D2571</f>
        <v>0</v>
      </c>
      <c r="E200" s="2901">
        <f>CT_tram!E2571</f>
        <v>0</v>
      </c>
      <c r="F200" s="2902" t="str">
        <f>CT_tram!F2571</f>
        <v>Bêtông đá 1x2 mac 200</v>
      </c>
      <c r="G200" s="2903" t="str">
        <f>CT_tram!G2571</f>
        <v>m3</v>
      </c>
      <c r="H200" s="2904">
        <f>CT_tram!H2571</f>
        <v>0.12</v>
      </c>
      <c r="I200" s="2904">
        <f>CT_tram!I2571</f>
        <v>0.12</v>
      </c>
      <c r="J200" s="2905">
        <f>IFERROR(VLOOKUP(B200,DG!A:F,6,0),3000)</f>
        <v>3000</v>
      </c>
      <c r="K200" s="2906">
        <f>IF(AND(OR(H200&gt;0,I200&gt;0),J200&lt;2000),COUNTIF($B$2:B200,B200),0)</f>
        <v>0</v>
      </c>
      <c r="L200" s="1300"/>
      <c r="M200" s="1375"/>
      <c r="O200" s="1375"/>
    </row>
    <row r="201" spans="1:15" ht="25.2" customHeight="1">
      <c r="A201" s="2897">
        <f>COUNTIF($K$1:K201,1)</f>
        <v>113</v>
      </c>
      <c r="B201" s="2912" t="str">
        <f>CT_tram!B2573</f>
        <v>xaytuong</v>
      </c>
      <c r="C201" s="2913">
        <f>CT_tram!C2573</f>
        <v>1.4</v>
      </c>
      <c r="D201" s="2914">
        <f>CT_tram!D2573</f>
        <v>0</v>
      </c>
      <c r="E201" s="2926" t="str">
        <f>CT_tram!E2573</f>
        <v>AE.61210</v>
      </c>
      <c r="F201" s="2912" t="str">
        <f>CT_tram!F2573</f>
        <v>Xây tường gạch ống bề dày &lt;30cm</v>
      </c>
      <c r="G201" s="2927" t="str">
        <f>CT_tram!G2573</f>
        <v>m3</v>
      </c>
      <c r="H201" s="2927">
        <f>CT_tram!H2573</f>
        <v>1.4</v>
      </c>
      <c r="I201" s="2908">
        <f>CT_tram!I2573</f>
        <v>1.4</v>
      </c>
      <c r="J201" s="2905">
        <f>IFERROR(VLOOKUP(B201,DG!A:F,6,0),3000)</f>
        <v>3000</v>
      </c>
      <c r="K201" s="2906">
        <f>IF(AND(OR(H201&gt;0,I201&gt;0),J201&lt;2000),COUNTIF($B$2:B201,B201),0)</f>
        <v>0</v>
      </c>
      <c r="N201" s="1208"/>
    </row>
    <row r="202" spans="1:15" ht="25.2" customHeight="1">
      <c r="A202" s="2897">
        <f>COUNTIF($K$1:K202,1)</f>
        <v>113</v>
      </c>
      <c r="B202" s="2898" t="str">
        <f>CT_tram!B2574</f>
        <v>LCT10</v>
      </c>
      <c r="C202" s="2899">
        <f>CT_tram!C2574</f>
        <v>16</v>
      </c>
      <c r="D202" s="2900">
        <f>CT_tram!D2574</f>
        <v>0</v>
      </c>
      <c r="E202" s="2901" t="str">
        <f>CT_tram!E2574</f>
        <v>04.5101</v>
      </c>
      <c r="F202" s="2902" t="str">
        <f>CT_tram!F2574</f>
        <v>Gia công và lắp dựng cốt thép D&lt;=10</v>
      </c>
      <c r="G202" s="2903" t="str">
        <f>CT_tram!G2574</f>
        <v>kg</v>
      </c>
      <c r="H202" s="2904">
        <f>CT_tram!H2574</f>
        <v>16</v>
      </c>
      <c r="I202" s="2904">
        <f>CT_tram!I2574</f>
        <v>16</v>
      </c>
      <c r="J202" s="2905">
        <f>IFERROR(VLOOKUP(B202,DG!A:F,6,0),3000)</f>
        <v>3000</v>
      </c>
      <c r="K202" s="2906">
        <f>IF(AND(OR(H202&gt;0,I202&gt;0),J202&lt;2000),COUNTIF($B$2:B202,B202),0)</f>
        <v>0</v>
      </c>
      <c r="L202" s="1300"/>
      <c r="M202" s="1753"/>
      <c r="N202" s="1754"/>
      <c r="O202" s="1753"/>
    </row>
    <row r="203" spans="1:15" ht="25.2" customHeight="1">
      <c r="A203" s="2897">
        <f>COUNTIF($K$1:K203,1)</f>
        <v>113</v>
      </c>
      <c r="B203" s="2898" t="str">
        <f>CT_tram!B2575</f>
        <v>dbt20012</v>
      </c>
      <c r="C203" s="2899">
        <f>CT_tram!C2575</f>
        <v>0.12</v>
      </c>
      <c r="D203" s="2900">
        <f>CT_tram!D2575</f>
        <v>0</v>
      </c>
      <c r="E203" s="2901" t="str">
        <f>CT_tram!E2575</f>
        <v>04.1203c</v>
      </c>
      <c r="F203" s="2902" t="str">
        <f>CT_tram!F2575</f>
        <v>Đổ bê tông móng trụ &lt;=250cm-M200 đá 1x2</v>
      </c>
      <c r="G203" s="2903" t="str">
        <f>CT_tram!G2575</f>
        <v>m3</v>
      </c>
      <c r="H203" s="2904">
        <f>CT_tram!H2575</f>
        <v>0.12</v>
      </c>
      <c r="I203" s="2904">
        <f>CT_tram!I2575</f>
        <v>0.12</v>
      </c>
      <c r="J203" s="2905">
        <f>IFERROR(VLOOKUP(B203,DG!A:F,6,0),3000)</f>
        <v>3000</v>
      </c>
      <c r="K203" s="2906">
        <f>IF(AND(OR(H203&gt;0,I203&gt;0),J203&lt;2000),COUNTIF($B$2:B203,B203),0)</f>
        <v>0</v>
      </c>
      <c r="L203" s="1752"/>
    </row>
    <row r="204" spans="1:15" ht="25.2" customHeight="1">
      <c r="A204" s="2897">
        <f>COUNTIF($K$1:K204,1)</f>
        <v>113</v>
      </c>
      <c r="B204" s="2898" t="str">
        <f>CT_tram!B2577</f>
        <v>LDKhungcua</v>
      </c>
      <c r="C204" s="2899">
        <f>CT_tram!C2577</f>
        <v>24</v>
      </c>
      <c r="D204" s="2900">
        <f>CT_tram!D2577</f>
        <v>0</v>
      </c>
      <c r="E204" s="2907" t="str">
        <f>CT_tram!E2577</f>
        <v>AI.63121</v>
      </c>
      <c r="F204" s="2898" t="str">
        <f>CT_tram!F2577</f>
        <v>Gia công và lắp dựng khung cửa sắt</v>
      </c>
      <c r="G204" s="2908" t="str">
        <f>CT_tram!G2577</f>
        <v>m2</v>
      </c>
      <c r="H204" s="2908">
        <f>CT_tram!H2577</f>
        <v>24</v>
      </c>
      <c r="I204" s="2908">
        <f>CT_tram!I2577</f>
        <v>24</v>
      </c>
      <c r="J204" s="2905">
        <f>IFERROR(VLOOKUP(B204,DG!A:F,6,0),3000)</f>
        <v>3000</v>
      </c>
      <c r="K204" s="2906">
        <f>IF(AND(OR(H204&gt;0,I204&gt;0),J204&lt;2000),COUNTIF($B$2:B204,B204),0)</f>
        <v>0</v>
      </c>
      <c r="N204" s="1208"/>
    </row>
    <row r="205" spans="1:15" ht="25.2" customHeight="1">
      <c r="A205" s="2897">
        <f>COUNTIF($K$1:K205,1)</f>
        <v>113</v>
      </c>
      <c r="B205" s="2898">
        <f>CT_tram!B2578</f>
        <v>0</v>
      </c>
      <c r="C205" s="2899">
        <f>CT_tram!C2578</f>
        <v>0</v>
      </c>
      <c r="D205" s="2900">
        <f>CT_tram!D2578</f>
        <v>7</v>
      </c>
      <c r="E205" s="2901">
        <f>CT_tram!E2578</f>
        <v>0</v>
      </c>
      <c r="F205" s="2902" t="str">
        <f>CT_tram!F2578</f>
        <v>Bộ đo đếm:</v>
      </c>
      <c r="G205" s="2903" t="str">
        <f>CT_tram!G2578</f>
        <v>Bộ</v>
      </c>
      <c r="H205" s="2904">
        <f>CT_tram!H2578</f>
        <v>1</v>
      </c>
      <c r="I205" s="2904">
        <f>CT_tram!I2578</f>
        <v>1</v>
      </c>
      <c r="J205" s="2905">
        <f>IFERROR(VLOOKUP(B205,DG!A:F,6,0),3000)</f>
        <v>3000</v>
      </c>
      <c r="K205" s="2906">
        <f>IF(AND(OR(H205&gt;0,I205&gt;0),J205&lt;2000),COUNTIF($B$2:B205,B205),0)</f>
        <v>0</v>
      </c>
      <c r="L205" s="1300"/>
      <c r="N205" s="1208"/>
    </row>
    <row r="206" spans="1:15" ht="25.2" customHeight="1">
      <c r="A206" s="2897">
        <f>COUNTIF($K$1:K206,1)</f>
        <v>113</v>
      </c>
      <c r="B206" s="2898" t="str">
        <f>chitiet!B245</f>
        <v>MDD3</v>
      </c>
      <c r="C206" s="2899" t="str">
        <f>chitiet!C245</f>
        <v>x</v>
      </c>
      <c r="D206" s="2900">
        <f>chitiet!D245</f>
        <v>0.35299999999999998</v>
      </c>
      <c r="E206" s="2901">
        <f>chitiet!E245</f>
        <v>0</v>
      </c>
      <c r="F206" s="2902" t="str">
        <f>chitiet!F245</f>
        <v>Đào hố móng đất cấp 3 sâu &gt;1m</v>
      </c>
      <c r="G206" s="2903" t="str">
        <f>chitiet!G245</f>
        <v>m3</v>
      </c>
      <c r="H206" s="2904">
        <f>chitiet!H245</f>
        <v>1.4119999999999999</v>
      </c>
      <c r="I206" s="2904">
        <f>chitiet!P245</f>
        <v>1.4119999999999999</v>
      </c>
      <c r="J206" s="2905">
        <f>IFERROR(VLOOKUP(B206,DG!A:F,6,0),3000)</f>
        <v>3000</v>
      </c>
      <c r="K206" s="2906">
        <f>IF(AND(OR(H206&gt;0,I206&gt;0),J206&lt;2000),COUNTIF($B$2:B206,B206),0)</f>
        <v>0</v>
      </c>
      <c r="N206" s="1208"/>
    </row>
    <row r="207" spans="1:15" ht="25.2" customHeight="1">
      <c r="A207" s="2897">
        <f>COUNTIF($K$1:K207,1)</f>
        <v>113</v>
      </c>
      <c r="B207" s="2898" t="str">
        <f>chitiet!B246</f>
        <v>MDAP3</v>
      </c>
      <c r="C207" s="2899" t="str">
        <f>chitiet!C246</f>
        <v>x</v>
      </c>
      <c r="D207" s="2900">
        <f>chitiet!D246</f>
        <v>0.18</v>
      </c>
      <c r="E207" s="2901" t="str">
        <f>chitiet!E246</f>
        <v>03.4113</v>
      </c>
      <c r="F207" s="2902" t="str">
        <f>chitiet!F246</f>
        <v>Đắp đất hố móng, độ chặt k=0,95</v>
      </c>
      <c r="G207" s="2903" t="str">
        <f>chitiet!G246</f>
        <v>m3</v>
      </c>
      <c r="H207" s="2904">
        <f>chitiet!H246</f>
        <v>0.72</v>
      </c>
      <c r="I207" s="2904">
        <f>chitiet!P246</f>
        <v>0.72</v>
      </c>
      <c r="J207" s="2905">
        <f>IFERROR(VLOOKUP(B207,DG!A:F,6,0),3000)</f>
        <v>3000</v>
      </c>
      <c r="K207" s="2906">
        <f>IF(AND(OR(H207&gt;0,I207&gt;0),J207&lt;2000),COUNTIF($B$2:B207,B207),0)</f>
        <v>0</v>
      </c>
      <c r="L207" s="1300"/>
      <c r="N207" s="1208"/>
    </row>
    <row r="208" spans="1:15" ht="25.2" customHeight="1">
      <c r="A208" s="2897">
        <f>COUNTIF($K$1:K208,1)</f>
        <v>113</v>
      </c>
      <c r="B208" s="2898" t="str">
        <f>chitiet!B369</f>
        <v>MDAP3</v>
      </c>
      <c r="C208" s="2899" t="str">
        <f>chitiet!C369</f>
        <v>x</v>
      </c>
      <c r="D208" s="2900">
        <f>chitiet!D369</f>
        <v>1.8340000000000001</v>
      </c>
      <c r="E208" s="2901" t="str">
        <f>chitiet!E369</f>
        <v>03.4113</v>
      </c>
      <c r="F208" s="2902" t="str">
        <f>chitiet!F369</f>
        <v>Đắp đất hố móng, độ chặt k=0,95</v>
      </c>
      <c r="G208" s="2903" t="str">
        <f>chitiet!G369</f>
        <v>m3</v>
      </c>
      <c r="H208" s="2904">
        <f>chitiet!H369</f>
        <v>7.3360000000000003</v>
      </c>
      <c r="I208" s="2904">
        <f>chitiet!P369</f>
        <v>7.3360000000000003</v>
      </c>
      <c r="J208" s="2905">
        <f>IFERROR(VLOOKUP(B208,DG!A:F,6,0),3000)</f>
        <v>3000</v>
      </c>
      <c r="K208" s="2906">
        <f>IF(AND(OR(H208&gt;0,I208&gt;0),J208&lt;2000),COUNTIF($B$2:B208,B208),0)</f>
        <v>0</v>
      </c>
      <c r="L208" s="1300"/>
    </row>
    <row r="209" spans="1:15" ht="25.2" customHeight="1">
      <c r="A209" s="2897">
        <f>COUNTIF($K$1:K209,1)</f>
        <v>113</v>
      </c>
      <c r="B209" s="2912" t="str">
        <f>chitiet!B370</f>
        <v>MDD3</v>
      </c>
      <c r="C209" s="2913" t="str">
        <f>chitiet!C370</f>
        <v>x</v>
      </c>
      <c r="D209" s="2914">
        <f>chitiet!D370</f>
        <v>0.157</v>
      </c>
      <c r="E209" s="2926" t="str">
        <f>chitiet!E370</f>
        <v>03.1013</v>
      </c>
      <c r="F209" s="2912" t="str">
        <f>chitiet!F370</f>
        <v>Đào hố móng đất cấp 3 sâu &gt;1m</v>
      </c>
      <c r="G209" s="2927" t="str">
        <f>chitiet!G370</f>
        <v>m3</v>
      </c>
      <c r="H209" s="2927">
        <f>chitiet!H370</f>
        <v>0.628</v>
      </c>
      <c r="I209" s="2908">
        <f>chitiet!P370</f>
        <v>0.628</v>
      </c>
      <c r="J209" s="2905">
        <f>IFERROR(VLOOKUP(B209,DG!A:F,6,0),3000)</f>
        <v>3000</v>
      </c>
      <c r="K209" s="2906">
        <f>IF(AND(OR(H209&gt;0,I209&gt;0),J209&lt;2000),COUNTIF($B$2:B209,B209),0)</f>
        <v>0</v>
      </c>
    </row>
    <row r="210" spans="1:15" ht="25.2" customHeight="1">
      <c r="A210" s="2897">
        <f>COUNTIF($K$1:K210,1)</f>
        <v>113</v>
      </c>
      <c r="B210" s="2898" t="str">
        <f>chitiet!B375</f>
        <v>DBT15012</v>
      </c>
      <c r="C210" s="2899" t="str">
        <f>chitiet!C375</f>
        <v>x</v>
      </c>
      <c r="D210" s="2900">
        <f>chitiet!D375</f>
        <v>1.704</v>
      </c>
      <c r="E210" s="2907" t="str">
        <f>chitiet!E375</f>
        <v>04.1203b</v>
      </c>
      <c r="F210" s="2898" t="str">
        <f>chitiet!F375</f>
        <v>Đổ bê tông mác M150 đá 1x2</v>
      </c>
      <c r="G210" s="2908" t="str">
        <f>chitiet!G375</f>
        <v>m3</v>
      </c>
      <c r="H210" s="2908">
        <f>chitiet!H375</f>
        <v>6.8159999999999998</v>
      </c>
      <c r="I210" s="2908">
        <f>chitiet!$P$375</f>
        <v>6.8159999999999998</v>
      </c>
      <c r="J210" s="2905">
        <f>IFERROR(VLOOKUP(B210,DG!A:F,6,0),3000)</f>
        <v>3000</v>
      </c>
      <c r="K210" s="2906">
        <f>IF(AND(OR(H210&gt;0,I210&gt;0),J210&lt;2000),COUNTIF($B$2:B210,B210),0)</f>
        <v>0</v>
      </c>
      <c r="M210" s="1753"/>
      <c r="N210" s="1754"/>
      <c r="O210" s="1753"/>
    </row>
    <row r="211" spans="1:15" ht="25.2" customHeight="1">
      <c r="A211" s="2897">
        <f>COUNTIF($K$1:K211,1)</f>
        <v>113</v>
      </c>
      <c r="B211" s="2898" t="str">
        <f>chitiet!B647</f>
        <v>KTD</v>
      </c>
      <c r="C211" s="2899" t="str">
        <f>chitiet!C647</f>
        <v>x</v>
      </c>
      <c r="D211" s="2900">
        <f>chitiet!D647</f>
        <v>2.2400000000000002</v>
      </c>
      <c r="E211" s="2907" t="str">
        <f>chitiet!E647</f>
        <v>05.7001</v>
      </c>
      <c r="F211" s="2898" t="str">
        <f>chitiet!F647</f>
        <v xml:space="preserve">Kéo dây tiếp địa </v>
      </c>
      <c r="G211" s="2908" t="str">
        <f>chitiet!G647</f>
        <v>mét</v>
      </c>
      <c r="H211" s="2908">
        <f>chitiet!H647</f>
        <v>2.2400000000000002</v>
      </c>
      <c r="I211" s="2908">
        <f>chitiet!P647</f>
        <v>2.2400000000000002</v>
      </c>
      <c r="J211" s="2905">
        <f>IFERROR(VLOOKUP(B211,DG!A:F,6,0),3000)</f>
        <v>3000</v>
      </c>
      <c r="K211" s="2906">
        <f>IF(AND(OR(H211&gt;0,I211&gt;0),J211&lt;2000),COUNTIF($B$2:B211,B211),0)</f>
        <v>0</v>
      </c>
    </row>
    <row r="212" spans="1:15" ht="25.2" customHeight="1">
      <c r="A212" s="2897">
        <f>COUNTIF($K$1:K212,1)</f>
        <v>113</v>
      </c>
      <c r="B212" s="2898" t="str">
        <f>chitiet!B648</f>
        <v>DCTD3</v>
      </c>
      <c r="C212" s="2899" t="str">
        <f>chitiet!C648</f>
        <v>x</v>
      </c>
      <c r="D212" s="2900">
        <f>chitiet!D648</f>
        <v>1</v>
      </c>
      <c r="E212" s="2901" t="str">
        <f>chitiet!E648</f>
        <v>05.8103</v>
      </c>
      <c r="F212" s="2902" t="str">
        <f>chitiet!F648</f>
        <v>Đóng cọc tiếp địa đất cấp 3</v>
      </c>
      <c r="G212" s="2903" t="str">
        <f>chitiet!G648</f>
        <v>cọc</v>
      </c>
      <c r="H212" s="2904">
        <f>chitiet!H648</f>
        <v>1</v>
      </c>
      <c r="I212" s="2904">
        <f>chitiet!P648</f>
        <v>1</v>
      </c>
      <c r="J212" s="2905">
        <f>IFERROR(VLOOKUP(B212,DG!A:F,6,0),3000)</f>
        <v>3000</v>
      </c>
      <c r="K212" s="2906">
        <f>IF(AND(OR(H212&gt;0,I212&gt;0),J212&lt;2000),COUNTIF($B$2:B212,B212),0)</f>
        <v>0</v>
      </c>
      <c r="L212" s="1300"/>
      <c r="N212" s="1208"/>
    </row>
    <row r="213" spans="1:15" ht="25.2" customHeight="1">
      <c r="A213" s="2897">
        <f>COUNTIF($K$1:K213,1)</f>
        <v>113</v>
      </c>
      <c r="B213" s="2898" t="str">
        <f>chitiet!B671</f>
        <v>KTD</v>
      </c>
      <c r="C213" s="2899" t="str">
        <f>chitiet!C671</f>
        <v>x</v>
      </c>
      <c r="D213" s="2900">
        <f>chitiet!D671</f>
        <v>11.872</v>
      </c>
      <c r="E213" s="2901" t="str">
        <f>chitiet!E671</f>
        <v>05.7001</v>
      </c>
      <c r="F213" s="2902" t="str">
        <f>chitiet!F671</f>
        <v xml:space="preserve">Kéo dây tiếp địa </v>
      </c>
      <c r="G213" s="2903" t="str">
        <f>chitiet!G671</f>
        <v>mét</v>
      </c>
      <c r="H213" s="2904">
        <f>chitiet!H671</f>
        <v>11.872</v>
      </c>
      <c r="I213" s="2904">
        <f>chitiet!P671</f>
        <v>11.872</v>
      </c>
      <c r="J213" s="2905">
        <f>IFERROR(VLOOKUP(B213,DG!A:F,6,0),3000)</f>
        <v>3000</v>
      </c>
      <c r="K213" s="2906">
        <f>IF(AND(OR(H213&gt;0,I213&gt;0),J213&lt;2000),COUNTIF($B$2:B213,B213),0)</f>
        <v>0</v>
      </c>
      <c r="L213" s="1300"/>
    </row>
    <row r="214" spans="1:15" ht="25.2" customHeight="1">
      <c r="A214" s="2897">
        <f>COUNTIF($K$1:K214,1)</f>
        <v>113</v>
      </c>
      <c r="B214" s="2898" t="str">
        <f>chitiet!B672</f>
        <v>DCTD3</v>
      </c>
      <c r="C214" s="2899" t="str">
        <f>chitiet!C672</f>
        <v>x</v>
      </c>
      <c r="D214" s="2900">
        <f>chitiet!D672</f>
        <v>9</v>
      </c>
      <c r="E214" s="2901" t="str">
        <f>chitiet!E672</f>
        <v>05.8103</v>
      </c>
      <c r="F214" s="2902" t="str">
        <f>chitiet!F672</f>
        <v>Đóng cọc tiếp địa đất cấp 3</v>
      </c>
      <c r="G214" s="2903" t="str">
        <f>chitiet!G672</f>
        <v>cọc</v>
      </c>
      <c r="H214" s="2904">
        <f>chitiet!H672</f>
        <v>9</v>
      </c>
      <c r="I214" s="2904">
        <f>chitiet!P672</f>
        <v>9</v>
      </c>
      <c r="J214" s="2905">
        <f>IFERROR(VLOOKUP(B214,DG!A:F,6,0),3000)</f>
        <v>3000</v>
      </c>
      <c r="K214" s="2906">
        <f>IF(AND(OR(H214&gt;0,I214&gt;0),J214&lt;2000),COUNTIF($B$2:B214,B214),0)</f>
        <v>0</v>
      </c>
      <c r="L214" s="1752"/>
      <c r="N214" s="1208"/>
    </row>
    <row r="215" spans="1:15" ht="25.2" customHeight="1">
      <c r="A215" s="2897">
        <f>COUNTIF($K$1:K215,1)</f>
        <v>113</v>
      </c>
      <c r="B215" s="2912" t="str">
        <f>chitiet!B775</f>
        <v>C12m</v>
      </c>
      <c r="C215" s="2913" t="str">
        <f>chitiet!C775</f>
        <v>x</v>
      </c>
      <c r="D215" s="2914">
        <f>chitiet!D775</f>
        <v>1</v>
      </c>
      <c r="E215" s="2915" t="str">
        <f>chitiet!E775</f>
        <v>05.5402</v>
      </c>
      <c r="F215" s="2916" t="str">
        <f>chitiet!F775</f>
        <v>Dựng trụ BTLT 12m thủ công + cơ giới</v>
      </c>
      <c r="G215" s="2903" t="str">
        <f>chitiet!G775</f>
        <v>trụ</v>
      </c>
      <c r="H215" s="2904">
        <f>chitiet!H775</f>
        <v>12</v>
      </c>
      <c r="I215" s="2904">
        <f>chitiet!$P$775</f>
        <v>12</v>
      </c>
      <c r="J215" s="2905">
        <f>IFERROR(VLOOKUP(B215,DG!A:F,6,0),3000)</f>
        <v>3000</v>
      </c>
      <c r="K215" s="2906">
        <f>IF(AND(OR(H215&gt;0,I215&gt;0),J215&lt;2000),COUNTIF($B$2:B215,B215),0)</f>
        <v>0</v>
      </c>
      <c r="L215" s="1300"/>
      <c r="N215" s="1208"/>
    </row>
    <row r="216" spans="1:15" ht="25.2" customHeight="1">
      <c r="A216" s="2897">
        <f>COUNTIF($K$1:K216,1)</f>
        <v>113</v>
      </c>
      <c r="B216" s="2898">
        <f>chitiet!B797</f>
        <v>0</v>
      </c>
      <c r="C216" s="2899" t="str">
        <f>chitiet!C797</f>
        <v>x</v>
      </c>
      <c r="D216" s="2900">
        <f>chitiet!D797</f>
        <v>138.4</v>
      </c>
      <c r="E216" s="2901" t="str">
        <f>chitiet!E797</f>
        <v>III</v>
      </c>
      <c r="F216" s="2902" t="str">
        <f>chitiet!F797</f>
        <v>Phần xà, néo</v>
      </c>
      <c r="G216" s="2903">
        <f>chitiet!G797</f>
        <v>0</v>
      </c>
      <c r="H216" s="2904">
        <f>chitiet!H797</f>
        <v>0</v>
      </c>
      <c r="I216" s="2904">
        <f>chitiet!$P$797</f>
        <v>0</v>
      </c>
      <c r="J216" s="2905">
        <f>IFERROR(VLOOKUP(B216,DG!A:F,6,0),3000)</f>
        <v>3000</v>
      </c>
      <c r="K216" s="2906">
        <f>IF(AND(OR(H216&gt;0,I216&gt;0),J216&lt;2000),COUNTIF($B$2:B216,B216),0)</f>
        <v>0</v>
      </c>
      <c r="L216" s="1300"/>
    </row>
    <row r="217" spans="1:15" ht="25.2" customHeight="1">
      <c r="A217" s="2897">
        <f>COUNTIF($K$1:K217,1)</f>
        <v>113</v>
      </c>
      <c r="B217" s="2898" t="str">
        <f>chitiet!B881</f>
        <v>LXINL</v>
      </c>
      <c r="C217" s="2899" t="str">
        <f>chitiet!C881</f>
        <v>x</v>
      </c>
      <c r="D217" s="2900">
        <f>chitiet!D881</f>
        <v>1</v>
      </c>
      <c r="E217" s="2907" t="str">
        <f>chitiet!E881</f>
        <v>05.6203</v>
      </c>
      <c r="F217" s="2898" t="str">
        <f>chitiet!F881</f>
        <v>Lắp xà néo ≤ 100kg</v>
      </c>
      <c r="G217" s="2908" t="str">
        <f>chitiet!G881</f>
        <v>bộ</v>
      </c>
      <c r="H217" s="2908">
        <f>chitiet!H881</f>
        <v>3</v>
      </c>
      <c r="I217" s="2908">
        <f>chitiet!P881</f>
        <v>3</v>
      </c>
      <c r="J217" s="2905">
        <f>IFERROR(VLOOKUP(B217,DG!A:F,6,0),3000)</f>
        <v>3000</v>
      </c>
      <c r="K217" s="2906">
        <f>IF(AND(OR(H217&gt;0,I217&gt;0),J217&lt;2000),COUNTIF($B$2:B217,B217),0)</f>
        <v>0</v>
      </c>
      <c r="N217" s="1208"/>
    </row>
    <row r="218" spans="1:15" ht="25.2" customHeight="1">
      <c r="A218" s="2897">
        <f>COUNTIF($K$1:K218,1)</f>
        <v>113</v>
      </c>
      <c r="B218" s="2898" t="str">
        <f>chitiet!B1113</f>
        <v>LXIT</v>
      </c>
      <c r="C218" s="2899" t="str">
        <f>chitiet!C1113</f>
        <v>x</v>
      </c>
      <c r="D218" s="2900">
        <f>chitiet!D1113</f>
        <v>1</v>
      </c>
      <c r="E218" s="2901">
        <f>chitiet!E1113</f>
        <v>0</v>
      </c>
      <c r="F218" s="2902" t="str">
        <f>chitiet!F1113</f>
        <v>Lắp xà đỡ ≤ 25kg</v>
      </c>
      <c r="G218" s="2903" t="str">
        <f>chitiet!G1113</f>
        <v>bộ</v>
      </c>
      <c r="H218" s="2904">
        <f>chitiet!H1113</f>
        <v>1</v>
      </c>
      <c r="I218" s="2904">
        <f>chitiet!P1113</f>
        <v>1</v>
      </c>
      <c r="J218" s="2905">
        <f>IFERROR(VLOOKUP(B218,DG!A:F,6,0),3000)</f>
        <v>3000</v>
      </c>
      <c r="K218" s="2906">
        <f>IF(AND(OR(H218&gt;0,I218&gt;0),J218&lt;2000),COUNTIF($B$2:B218,B218),0)</f>
        <v>0</v>
      </c>
      <c r="L218" s="1300"/>
    </row>
    <row r="219" spans="1:15" ht="25.2" customHeight="1">
      <c r="A219" s="2897">
        <f>COUNTIF($K$1:K219,1)</f>
        <v>113</v>
      </c>
      <c r="B219" s="2898" t="str">
        <f>chitiet!B1121</f>
        <v>LXIT</v>
      </c>
      <c r="C219" s="2899" t="str">
        <f>chitiet!C1121</f>
        <v>x</v>
      </c>
      <c r="D219" s="2900">
        <f>chitiet!D1121</f>
        <v>1</v>
      </c>
      <c r="E219" s="2901">
        <f>chitiet!E1121</f>
        <v>0</v>
      </c>
      <c r="F219" s="2902" t="str">
        <f>chitiet!F1121</f>
        <v>Lắp xà đỡ ≤ 25kg</v>
      </c>
      <c r="G219" s="2903" t="str">
        <f>chitiet!G1121</f>
        <v>bộ</v>
      </c>
      <c r="H219" s="2904">
        <f>chitiet!H1121</f>
        <v>1</v>
      </c>
      <c r="I219" s="2904">
        <f>chitiet!P1121</f>
        <v>1</v>
      </c>
      <c r="J219" s="2905">
        <f>IFERROR(VLOOKUP(B219,DG!A:F,6,0),3000)</f>
        <v>3000</v>
      </c>
      <c r="K219" s="2906">
        <f>IF(AND(OR(H219&gt;0,I219&gt;0),J219&lt;2000),COUNTIF($B$2:B219,B219),0)</f>
        <v>0</v>
      </c>
      <c r="L219" s="1300"/>
    </row>
    <row r="220" spans="1:15" ht="25.2" customHeight="1">
      <c r="A220" s="2897">
        <f>COUNTIF($K$1:K220,1)</f>
        <v>113</v>
      </c>
      <c r="B220" s="2898">
        <f>chitiet!B1510</f>
        <v>0</v>
      </c>
      <c r="C220" s="2899" t="str">
        <f>chitiet!C1510</f>
        <v>X</v>
      </c>
      <c r="D220" s="2900">
        <f>chitiet!D1510</f>
        <v>0</v>
      </c>
      <c r="E220" s="2901" t="str">
        <f>chitiet!E1510</f>
        <v>IV</v>
      </c>
      <c r="F220" s="2902" t="str">
        <f>chitiet!F1510</f>
        <v>Phần dây, sứ và phụ kiện</v>
      </c>
      <c r="G220" s="2903">
        <f>chitiet!G1510</f>
        <v>0</v>
      </c>
      <c r="H220" s="2904">
        <f>chitiet!H1510</f>
        <v>0</v>
      </c>
      <c r="I220" s="2904">
        <f>chitiet!$P$1510</f>
        <v>0</v>
      </c>
      <c r="J220" s="2905">
        <f>IFERROR(VLOOKUP(B220,DG!A:F,6,0),3000)</f>
        <v>3000</v>
      </c>
      <c r="K220" s="2906">
        <f>IF(AND(OR(H220&gt;0,I220&gt;0),J220&lt;2000),COUNTIF($B$2:B220,B220),0)</f>
        <v>0</v>
      </c>
      <c r="L220" s="1300"/>
    </row>
    <row r="221" spans="1:15" ht="25.2" customHeight="1">
      <c r="A221" s="2897">
        <f>COUNTIF($K$1:K221,1)</f>
        <v>113</v>
      </c>
      <c r="B221" s="2898">
        <f>chitiet!B1862</f>
        <v>0</v>
      </c>
      <c r="C221" s="2899" t="str">
        <f>chitiet!C1862</f>
        <v>x</v>
      </c>
      <c r="D221" s="2900">
        <f>chitiet!D1862</f>
        <v>91</v>
      </c>
      <c r="E221" s="2901">
        <f>chitiet!E1862</f>
        <v>0</v>
      </c>
      <c r="F221" s="2902" t="str">
        <f>chitiet!F1862</f>
        <v>Phụ kiện đấu nối đầu đường dây</v>
      </c>
      <c r="G221" s="2910">
        <f>chitiet!G1862</f>
        <v>0</v>
      </c>
      <c r="H221" s="2911">
        <f>chitiet!H1862</f>
        <v>0</v>
      </c>
      <c r="I221" s="2904">
        <f>chitiet!P1862</f>
        <v>0</v>
      </c>
      <c r="J221" s="2905">
        <f>IFERROR(VLOOKUP(B221,DG!A:F,6,0),3000)</f>
        <v>3000</v>
      </c>
      <c r="K221" s="2906">
        <f>IF(AND(OR(H221&gt;0,I221&gt;0),J221&lt;2000),COUNTIF($B$2:B221,B221),0)</f>
        <v>0</v>
      </c>
      <c r="L221" s="1300"/>
      <c r="N221" s="1208"/>
    </row>
    <row r="222" spans="1:15" ht="25.2" customHeight="1">
      <c r="A222" s="2897">
        <f>COUNTIF($K$1:K222,1)</f>
        <v>113</v>
      </c>
      <c r="B222" s="2898" t="str">
        <f>chitiet!B1886</f>
        <v>LSD</v>
      </c>
      <c r="C222" s="2899" t="str">
        <f>chitiet!C1886</f>
        <v>x</v>
      </c>
      <c r="D222" s="2900">
        <f>chitiet!D1886</f>
        <v>27</v>
      </c>
      <c r="E222" s="2901">
        <f>chitiet!E1886</f>
        <v>0</v>
      </c>
      <c r="F222" s="2902" t="str">
        <f>chitiet!F1886</f>
        <v>Lắp sứ đứng 24KV</v>
      </c>
      <c r="G222" s="2903" t="str">
        <f>chitiet!G1886</f>
        <v>bộ</v>
      </c>
      <c r="H222" s="2904">
        <f>chitiet!H1886</f>
        <v>27</v>
      </c>
      <c r="I222" s="2904">
        <f>chitiet!P1886</f>
        <v>27</v>
      </c>
      <c r="J222" s="2905">
        <f>IFERROR(VLOOKUP(B222,DG!A:F,6,0),3000)</f>
        <v>3000</v>
      </c>
      <c r="K222" s="2906">
        <f>IF(AND(OR(H222&gt;0,I222&gt;0),J222&lt;2000),COUNTIF($B$2:B222,B222),0)</f>
        <v>0</v>
      </c>
      <c r="L222" s="1300"/>
    </row>
    <row r="223" spans="1:15" ht="25.2" customHeight="1">
      <c r="A223" s="2897">
        <f>COUNTIF($K$1:K223,1)</f>
        <v>113</v>
      </c>
      <c r="B223" s="2912" t="str">
        <f>chitiet!B1887</f>
        <v>Stply-L</v>
      </c>
      <c r="C223" s="2913" t="str">
        <f>chitiet!C1887</f>
        <v>x</v>
      </c>
      <c r="D223" s="2914">
        <f>chitiet!D1887</f>
        <v>22</v>
      </c>
      <c r="E223" s="2915">
        <f>chitiet!E1887</f>
        <v>0</v>
      </c>
      <c r="F223" s="2916" t="str">
        <f>chitiet!F1887</f>
        <v>Lắp Sứ treo polymer</v>
      </c>
      <c r="G223" s="2910" t="str">
        <f>chitiet!G1887</f>
        <v>chuỗi</v>
      </c>
      <c r="H223" s="2904">
        <f>chitiet!H1887</f>
        <v>22</v>
      </c>
      <c r="I223" s="2904">
        <f>chitiet!P1887</f>
        <v>22</v>
      </c>
      <c r="J223" s="2905">
        <f>IFERROR(VLOOKUP(B223,DG!A:F,6,0),3000)</f>
        <v>3000</v>
      </c>
      <c r="K223" s="2906">
        <f>IF(AND(OR(H223&gt;0,I223&gt;0),J223&lt;2000),COUNTIF($B$2:B223,B223),0)</f>
        <v>0</v>
      </c>
      <c r="L223" s="1300"/>
    </row>
    <row r="224" spans="1:15" ht="25.2" customHeight="1">
      <c r="A224" s="2897">
        <f>COUNTIF($K$1:K224,1)</f>
        <v>113</v>
      </c>
      <c r="B224" s="2912" t="str">
        <f>chitiet!B1888</f>
        <v>LSOC</v>
      </c>
      <c r="C224" s="2913" t="str">
        <f>chitiet!C1888</f>
        <v>x</v>
      </c>
      <c r="D224" s="2914">
        <f>chitiet!D1888</f>
        <v>4</v>
      </c>
      <c r="E224" s="2915">
        <f>chitiet!E1888</f>
        <v>0</v>
      </c>
      <c r="F224" s="2916" t="str">
        <f>chitiet!F1888</f>
        <v>Lắp rack sứ + sứ ống chỉ</v>
      </c>
      <c r="G224" s="2903" t="str">
        <f>chitiet!G1888</f>
        <v>bộ</v>
      </c>
      <c r="H224" s="2904">
        <f>chitiet!H1888</f>
        <v>4</v>
      </c>
      <c r="I224" s="2904">
        <f>chitiet!P1888</f>
        <v>4</v>
      </c>
      <c r="J224" s="2905">
        <f>IFERROR(VLOOKUP(B224,DG!A:F,6,0),3000)</f>
        <v>3000</v>
      </c>
      <c r="K224" s="2906">
        <f>IF(AND(OR(H224&gt;0,I224&gt;0),J224&lt;2000),COUNTIF($B$2:B224,B224),0)</f>
        <v>0</v>
      </c>
      <c r="L224" s="1300"/>
    </row>
    <row r="225" spans="1:15" ht="25.2" customHeight="1">
      <c r="A225" s="2897">
        <f>COUNTIF($K$1:K225,1)</f>
        <v>113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113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113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113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113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113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113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113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113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113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113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113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113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113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113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113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113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113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113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113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113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113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113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113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113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113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113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113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113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113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113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113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113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113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113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113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113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113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113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113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113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113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113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113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113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2" priority="28" operator="containsText" text="phần">
      <formula>NOT(ISERROR(SEARCH("phần",E2)))</formula>
    </cfRule>
    <cfRule type="containsText" dxfId="61" priority="29" operator="containsText" text="bộ">
      <formula>NOT(ISERROR(SEARCH("bộ",E2)))</formula>
    </cfRule>
    <cfRule type="containsText" dxfId="60" priority="30" operator="containsText" text="đóng">
      <formula>NOT(ISERROR(SEARCH("đóng",E2)))</formula>
    </cfRule>
    <cfRule type="containsText" dxfId="59" priority="31" operator="containsText" text="kéo">
      <formula>NOT(ISERROR(SEARCH("kéo",E2)))</formula>
    </cfRule>
    <cfRule type="cellIs" dxfId="58" priority="32" operator="equal">
      <formula>"đóng"</formula>
    </cfRule>
    <cfRule type="containsText" dxfId="57" priority="33" operator="containsText" text="đổ">
      <formula>NOT(ISERROR(SEARCH("đổ",E2)))</formula>
    </cfRule>
    <cfRule type="containsText" dxfId="56" priority="34" operator="containsText" text="đắp">
      <formula>NOT(ISERROR(SEARCH("đắp",E2)))</formula>
    </cfRule>
    <cfRule type="containsText" dxfId="55" priority="35" operator="containsText" text="Đào">
      <formula>NOT(ISERROR(SEARCH("Đào",E2)))</formula>
    </cfRule>
  </conditionalFormatting>
  <conditionalFormatting sqref="F51:I52">
    <cfRule type="containsText" dxfId="54" priority="9" operator="containsText" text="phần">
      <formula>NOT(ISERROR(SEARCH("phần",F51)))</formula>
    </cfRule>
    <cfRule type="containsText" dxfId="53" priority="10" operator="containsText" text="bộ">
      <formula>NOT(ISERROR(SEARCH("bộ",F51)))</formula>
    </cfRule>
    <cfRule type="containsText" dxfId="52" priority="11" operator="containsText" text="đóng">
      <formula>NOT(ISERROR(SEARCH("đóng",F51)))</formula>
    </cfRule>
    <cfRule type="containsText" dxfId="51" priority="12" operator="containsText" text="kéo">
      <formula>NOT(ISERROR(SEARCH("kéo",F51)))</formula>
    </cfRule>
    <cfRule type="cellIs" dxfId="50" priority="13" operator="equal">
      <formula>"đóng"</formula>
    </cfRule>
    <cfRule type="containsText" dxfId="49" priority="14" operator="containsText" text="đổ">
      <formula>NOT(ISERROR(SEARCH("đổ",F51)))</formula>
    </cfRule>
    <cfRule type="containsText" dxfId="48" priority="15" operator="containsText" text="đắp">
      <formula>NOT(ISERROR(SEARCH("đắp",F51)))</formula>
    </cfRule>
    <cfRule type="containsText" dxfId="47" priority="16" operator="containsText" text="Đào">
      <formula>NOT(ISERROR(SEARCH("Đào",F51)))</formula>
    </cfRule>
  </conditionalFormatting>
  <conditionalFormatting sqref="E4">
    <cfRule type="containsText" dxfId="46" priority="1" operator="containsText" text="phần">
      <formula>NOT(ISERROR(SEARCH("phần",E4)))</formula>
    </cfRule>
    <cfRule type="containsText" dxfId="45" priority="2" operator="containsText" text="bộ">
      <formula>NOT(ISERROR(SEARCH("bộ",E4)))</formula>
    </cfRule>
    <cfRule type="containsText" dxfId="44" priority="3" operator="containsText" text="đóng">
      <formula>NOT(ISERROR(SEARCH("đóng",E4)))</formula>
    </cfRule>
    <cfRule type="containsText" dxfId="43" priority="4" operator="containsText" text="kéo">
      <formula>NOT(ISERROR(SEARCH("kéo",E4)))</formula>
    </cfRule>
    <cfRule type="cellIs" dxfId="42" priority="5" operator="equal">
      <formula>"đóng"</formula>
    </cfRule>
    <cfRule type="containsText" dxfId="41" priority="6" operator="containsText" text="đổ">
      <formula>NOT(ISERROR(SEARCH("đổ",E4)))</formula>
    </cfRule>
    <cfRule type="containsText" dxfId="40" priority="7" operator="containsText" text="đắp">
      <formula>NOT(ISERROR(SEARCH("đắp",E4)))</formula>
    </cfRule>
    <cfRule type="containsText" dxfId="39"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F1" zoomScale="90" zoomScaleNormal="90" workbookViewId="0">
      <pane ySplit="1" topLeftCell="A12" activePane="bottomLeft" state="frozen"/>
      <selection activeCell="F8" sqref="F8"/>
      <selection pane="bottomLeft" activeCell="F2" sqref="F2"/>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outlineLevel="1"/>
    <col min="9" max="9" width="26.81640625" style="1837" customWidth="1" outlineLevel="1"/>
    <col min="10" max="10" width="14.36328125" style="1838" hidden="1" customWidth="1" outlineLevel="1"/>
    <col min="11" max="11" width="11.1796875" style="1838" hidden="1" customWidth="1" outlineLevel="1"/>
    <col min="12" max="12" width="17.6328125" style="1838" customWidth="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3036" t="str">
        <f>G18</f>
        <v>CHI40K</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21" t="s">
        <v>510</v>
      </c>
      <c r="C2" s="1987"/>
      <c r="D2" s="1986">
        <v>1</v>
      </c>
      <c r="E2" s="1988">
        <v>43936</v>
      </c>
      <c r="F2" s="1989"/>
      <c r="G2" s="1930" t="s">
        <v>4440</v>
      </c>
      <c r="H2" s="1931" t="s">
        <v>4690</v>
      </c>
      <c r="I2" s="1931" t="s">
        <v>4690</v>
      </c>
      <c r="J2" s="1932"/>
      <c r="K2" s="1933">
        <v>43965</v>
      </c>
      <c r="L2" s="1837" t="str">
        <f>IF(N2&gt;0,N2&amp;O2,P2&amp;O2&amp;CHAR(10)&amp;P3&amp;O2&amp;IF(P4&lt;&gt;0,CHAR(10)&amp;P4&amp;O2,""))</f>
        <v xml:space="preserve">            /BB-PXTN</v>
      </c>
      <c r="M2" s="1934"/>
      <c r="N2" s="1840" t="s">
        <v>6433</v>
      </c>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X</v>
      </c>
      <c r="C3" s="1976" t="str">
        <f t="shared" ref="C3:C11" ca="1" si="0">TEXT(B3,"00")</f>
        <v>X</v>
      </c>
      <c r="D3" s="1977">
        <f ca="1">IF(B3="x",D2+1,D2)</f>
        <v>2</v>
      </c>
      <c r="E3" s="1973">
        <f>E2+F3</f>
        <v>43936</v>
      </c>
      <c r="F3" s="1974"/>
      <c r="G3" s="1930" t="s">
        <v>1649</v>
      </c>
      <c r="H3" s="1931" t="str">
        <f>IFERROR(VLOOKUP(G3,$Q:$U,2,0),"nt")</f>
        <v>Chance</v>
      </c>
      <c r="I3" s="1931" t="str">
        <f>H3</f>
        <v>Chance</v>
      </c>
      <c r="J3" s="1939"/>
      <c r="K3" s="1940"/>
      <c r="L3" s="2946" t="str">
        <f t="shared" ref="L3:L20" si="1">IF(N3&gt;0,N3&amp;O3,IFERROR(VLOOKUP(G3,Q:U,4,0),""))</f>
        <v>29235/BB-FCO</v>
      </c>
      <c r="M3" s="1960">
        <f t="shared" ref="M3:M34" si="2">IF(N3&gt;0,$P$1,IFERROR(VLOOKUP(G3,Q:U,5,0),""))</f>
        <v>44137</v>
      </c>
      <c r="N3" s="1208">
        <v>29235</v>
      </c>
      <c r="O3" s="1747" t="str">
        <f t="shared" ref="O3:O34" si="3">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X</v>
      </c>
      <c r="C4" s="1976" t="str">
        <f t="shared" ca="1" si="0"/>
        <v>X</v>
      </c>
      <c r="D4" s="1977">
        <f t="shared" ref="D4:D11" ca="1" si="4">IF(B4="x",D3+1,D3)</f>
        <v>3</v>
      </c>
      <c r="E4" s="1973">
        <f t="shared" ref="E4:E11" si="5">E3+F4</f>
        <v>43940</v>
      </c>
      <c r="F4" s="1974">
        <v>4</v>
      </c>
      <c r="G4" s="1930" t="s">
        <v>1648</v>
      </c>
      <c r="H4" s="1931" t="str">
        <f>IFERROR(VLOOKUP(G4,$Q:$U,2,0),"nt")</f>
        <v>Chance</v>
      </c>
      <c r="I4" s="1931" t="str">
        <f>H4</f>
        <v>Chance</v>
      </c>
      <c r="J4" s="1939"/>
      <c r="K4" s="1940"/>
      <c r="L4" s="2946" t="str">
        <f t="shared" si="1"/>
        <v>29234/BB-FCO</v>
      </c>
      <c r="M4" s="1960">
        <f t="shared" si="2"/>
        <v>44137</v>
      </c>
      <c r="N4" s="1208">
        <v>29234</v>
      </c>
      <c r="O4" s="1747" t="str">
        <f t="shared" si="3"/>
        <v>/BB-FCO</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4"/>
        <v>4</v>
      </c>
      <c r="E5" s="1973">
        <f t="shared" si="5"/>
        <v>43940</v>
      </c>
      <c r="F5" s="1974"/>
      <c r="G5" s="1930" t="s">
        <v>1369</v>
      </c>
      <c r="H5" s="1931" t="str">
        <f>IFERROR(VLOOKUP(G5,$Q:$U,2,0),"nt")</f>
        <v>Cooper</v>
      </c>
      <c r="I5" s="1931" t="s">
        <v>4552</v>
      </c>
      <c r="J5" s="1939" t="s">
        <v>4855</v>
      </c>
      <c r="K5" s="1940">
        <v>43955</v>
      </c>
      <c r="L5" s="2946" t="str">
        <f t="shared" si="1"/>
        <v>29237/BB-LA</v>
      </c>
      <c r="M5" s="1960">
        <f t="shared" si="2"/>
        <v>44137</v>
      </c>
      <c r="N5" s="1208">
        <v>29237</v>
      </c>
      <c r="O5" s="1747" t="str">
        <f t="shared" si="3"/>
        <v>/BB-LA</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4"/>
        <v>4</v>
      </c>
      <c r="E6" s="1973">
        <f t="shared" si="5"/>
        <v>43940</v>
      </c>
      <c r="F6" s="1974"/>
      <c r="G6" s="1930" t="s">
        <v>6362</v>
      </c>
      <c r="H6" s="1931" t="s">
        <v>7320</v>
      </c>
      <c r="I6" s="1931" t="s">
        <v>7320</v>
      </c>
      <c r="J6" s="1939"/>
      <c r="K6" s="1940"/>
      <c r="L6" s="2946" t="str">
        <f t="shared" si="1"/>
        <v>29236/BB-ACB</v>
      </c>
      <c r="M6" s="1960">
        <f t="shared" si="2"/>
        <v>44137</v>
      </c>
      <c r="N6" s="1208">
        <v>29236</v>
      </c>
      <c r="O6" s="1747" t="str">
        <f t="shared" si="3"/>
        <v>/BB-ACB</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4"/>
        <v>5</v>
      </c>
      <c r="E7" s="1973">
        <f t="shared" si="5"/>
        <v>43943</v>
      </c>
      <c r="F7" s="1974">
        <v>3</v>
      </c>
      <c r="G7" s="1930" t="s">
        <v>693</v>
      </c>
      <c r="H7" s="1931" t="str">
        <f t="shared" ref="H7:H38" si="6">IFERROR(VLOOKUP(G7,$Q:$U,2,0),"nt")</f>
        <v>Minh Long</v>
      </c>
      <c r="I7" s="1931" t="str">
        <f>IFERROR(VLOOKUP(G7,$Q:$U,3,0),"nt")</f>
        <v>Minh Long</v>
      </c>
      <c r="J7" s="1939"/>
      <c r="K7" s="1940"/>
      <c r="L7" s="2946" t="str">
        <f t="shared" si="1"/>
        <v>29243/BB-SCĐ</v>
      </c>
      <c r="M7" s="1960">
        <f t="shared" si="2"/>
        <v>44137</v>
      </c>
      <c r="N7" s="2945">
        <v>29243</v>
      </c>
      <c r="O7" s="1747" t="str">
        <f t="shared" si="3"/>
        <v>/BB-SCĐ</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X</v>
      </c>
      <c r="C8" s="1976" t="str">
        <f t="shared" ca="1" si="0"/>
        <v>X</v>
      </c>
      <c r="D8" s="1977">
        <f t="shared" ca="1" si="4"/>
        <v>6</v>
      </c>
      <c r="E8" s="1973">
        <f t="shared" si="5"/>
        <v>43943</v>
      </c>
      <c r="F8" s="1974"/>
      <c r="G8" s="1930" t="s">
        <v>1502</v>
      </c>
      <c r="H8" s="1931" t="str">
        <f t="shared" si="6"/>
        <v>DTR</v>
      </c>
      <c r="I8" s="1931" t="str">
        <f>H8</f>
        <v>DTR</v>
      </c>
      <c r="J8" s="1939" t="s">
        <v>4856</v>
      </c>
      <c r="K8" s="1940">
        <v>43957</v>
      </c>
      <c r="L8" s="2946" t="str">
        <f t="shared" si="1"/>
        <v>29244/BB-SCĐ</v>
      </c>
      <c r="M8" s="1960">
        <f t="shared" si="2"/>
        <v>44137</v>
      </c>
      <c r="N8" s="2945">
        <v>29244</v>
      </c>
      <c r="O8" s="1747" t="str">
        <f t="shared" si="3"/>
        <v>/BB-SCĐ</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4"/>
        <v>7</v>
      </c>
      <c r="E9" s="1973">
        <f t="shared" si="5"/>
        <v>43943</v>
      </c>
      <c r="F9" s="1974"/>
      <c r="G9" s="1930" t="s">
        <v>4826</v>
      </c>
      <c r="H9" s="1931" t="str">
        <f t="shared" si="6"/>
        <v>Cty TNHHSX-TM Dây &amp; Cáp Điện Tài Trường Thành</v>
      </c>
      <c r="I9" s="1931" t="str">
        <f t="shared" ref="I9:I40" si="7">IFERROR(VLOOKUP(G9,$Q:$U,3,0),"nt")</f>
        <v>Cty TNHHSX-TM Dây &amp; Cáp Điện Tài Trường Thành</v>
      </c>
      <c r="J9" s="1939"/>
      <c r="K9" s="1940"/>
      <c r="L9" s="2946" t="str">
        <f t="shared" si="1"/>
        <v>29239/BB-MVC</v>
      </c>
      <c r="M9" s="1960">
        <f t="shared" si="2"/>
        <v>44137</v>
      </c>
      <c r="N9" s="2945">
        <v>29239</v>
      </c>
      <c r="O9" s="1747" t="str">
        <f t="shared" si="3"/>
        <v>/BB-MVC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4"/>
        <v>8</v>
      </c>
      <c r="E10" s="1973">
        <f t="shared" si="5"/>
        <v>43943</v>
      </c>
      <c r="F10" s="1974"/>
      <c r="G10" s="1930" t="s">
        <v>6489</v>
      </c>
      <c r="H10" s="1931" t="str">
        <f t="shared" si="6"/>
        <v>Cty TNHHSX-TM Dây &amp; Cáp Điện Tài Trường Thành</v>
      </c>
      <c r="I10" s="1931" t="str">
        <f t="shared" si="7"/>
        <v>Cty TNHHSX-TM Dây &amp; Cáp Điện Tài Trường Thành</v>
      </c>
      <c r="J10" s="1939" t="s">
        <v>4860</v>
      </c>
      <c r="K10" s="1940">
        <v>43959</v>
      </c>
      <c r="L10" s="2946" t="str">
        <f t="shared" si="1"/>
        <v>29238/BB-LVC</v>
      </c>
      <c r="M10" s="1960">
        <f t="shared" si="2"/>
        <v>44137</v>
      </c>
      <c r="N10" s="2945">
        <v>29238</v>
      </c>
      <c r="O10" s="1747" t="str">
        <f t="shared" si="3"/>
        <v>/BB-LVC</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4"/>
        <v>9</v>
      </c>
      <c r="E11" s="1982">
        <f t="shared" si="5"/>
        <v>43948</v>
      </c>
      <c r="F11" s="1983">
        <v>5</v>
      </c>
      <c r="G11" s="1930" t="s">
        <v>1567</v>
      </c>
      <c r="H11" s="1931" t="str">
        <f t="shared" si="6"/>
        <v>Cty TNHHSX-TM Dây &amp; Cáp Điện Tài Trường Thành</v>
      </c>
      <c r="I11" s="1931" t="str">
        <f t="shared" si="7"/>
        <v>Cty TNHHSX-TM Dây &amp; Cáp Điện Tài Trường Thành</v>
      </c>
      <c r="J11" s="1939" t="s">
        <v>4859</v>
      </c>
      <c r="K11" s="1940">
        <v>43959</v>
      </c>
      <c r="L11" s="2946" t="str">
        <f t="shared" si="1"/>
        <v>29241/BB-LVC</v>
      </c>
      <c r="M11" s="1960">
        <f t="shared" si="2"/>
        <v>44137</v>
      </c>
      <c r="N11" s="2945">
        <v>29241</v>
      </c>
      <c r="O11" s="1747" t="str">
        <f t="shared" si="3"/>
        <v>/BB-LVC</v>
      </c>
      <c r="Q11" s="2943" t="str">
        <f>F1</f>
        <v>CHI40K</v>
      </c>
      <c r="R11" s="1941" t="s">
        <v>4124</v>
      </c>
      <c r="S11" s="1941" t="s">
        <v>4124</v>
      </c>
      <c r="T11" s="1932" t="s">
        <v>4553</v>
      </c>
      <c r="U11" s="1933">
        <v>43525</v>
      </c>
      <c r="Z11" s="1942" t="s">
        <v>4130</v>
      </c>
    </row>
    <row r="12" spans="1:26" ht="35.1" customHeight="1">
      <c r="A12"/>
      <c r="C12"/>
      <c r="D12"/>
      <c r="E12"/>
      <c r="F12"/>
      <c r="G12" s="1930" t="s">
        <v>2270</v>
      </c>
      <c r="H12" s="1931" t="str">
        <f t="shared" si="6"/>
        <v>Cty TNHHSX-TM Dây &amp; Cáp Điện Tài Trường Thành</v>
      </c>
      <c r="I12" s="1931" t="str">
        <f t="shared" si="7"/>
        <v>Cty TNHHSX-TM Dây &amp; Cáp Điện Tài Trường Thành</v>
      </c>
      <c r="J12" s="1939"/>
      <c r="K12" s="1940"/>
      <c r="L12" s="2946" t="str">
        <f t="shared" si="1"/>
        <v>29242/BB-LVC</v>
      </c>
      <c r="M12" s="1960">
        <f t="shared" si="2"/>
        <v>44137</v>
      </c>
      <c r="N12" s="2945">
        <v>29242</v>
      </c>
      <c r="O12" s="1747" t="str">
        <f t="shared" si="3"/>
        <v>/BB-LVC</v>
      </c>
      <c r="Q12" s="1938" t="s">
        <v>748</v>
      </c>
      <c r="R12" s="1945" t="s">
        <v>4322</v>
      </c>
      <c r="S12" s="1945" t="s">
        <v>4322</v>
      </c>
      <c r="T12" s="1208" t="s">
        <v>1012</v>
      </c>
      <c r="U12" s="1361" t="s">
        <v>1012</v>
      </c>
      <c r="Z12" s="1942" t="s">
        <v>4128</v>
      </c>
    </row>
    <row r="13" spans="1:26" ht="35.1" customHeight="1">
      <c r="A13" s="1944"/>
      <c r="D13" s="1929"/>
      <c r="E13" s="1208"/>
      <c r="G13" s="1930" t="s">
        <v>6480</v>
      </c>
      <c r="H13" s="1931" t="str">
        <f t="shared" si="6"/>
        <v>Cty TNHHSX-TM Dây &amp; Cáp Điện Tài Trường Thành</v>
      </c>
      <c r="I13" s="1931" t="str">
        <f t="shared" si="7"/>
        <v>Cty TNHHSX-TM Dây &amp; Cáp Điện Tài Trường Thành</v>
      </c>
      <c r="J13" s="1939"/>
      <c r="K13" s="1940"/>
      <c r="L13" s="2946" t="str">
        <f t="shared" si="1"/>
        <v>29240/BB-MVC</v>
      </c>
      <c r="M13" s="1960">
        <f t="shared" si="2"/>
        <v>44137</v>
      </c>
      <c r="N13" s="2945">
        <v>29240</v>
      </c>
      <c r="O13" s="1747" t="str">
        <f t="shared" si="3"/>
        <v>/BB-MVC</v>
      </c>
      <c r="Q13" s="1938" t="s">
        <v>4348</v>
      </c>
      <c r="R13" s="1945" t="s">
        <v>4554</v>
      </c>
      <c r="S13" s="1945" t="s">
        <v>4554</v>
      </c>
      <c r="T13" s="1208" t="s">
        <v>1012</v>
      </c>
      <c r="U13" s="1361" t="s">
        <v>1012</v>
      </c>
      <c r="Z13" s="1942" t="s">
        <v>4126</v>
      </c>
    </row>
    <row r="14" spans="1:26" ht="35.1" customHeight="1">
      <c r="A14" s="1944"/>
      <c r="D14" s="1929"/>
      <c r="E14" s="1208"/>
      <c r="G14" s="1930" t="s">
        <v>6529</v>
      </c>
      <c r="H14" s="1931"/>
      <c r="I14" s="1931"/>
      <c r="J14" s="1939" t="s">
        <v>4857</v>
      </c>
      <c r="K14" s="1940">
        <v>43959</v>
      </c>
      <c r="L14" s="2946" t="str">
        <f t="shared" si="1"/>
        <v/>
      </c>
      <c r="M14" s="1960" t="str">
        <f t="shared" si="2"/>
        <v/>
      </c>
      <c r="O14" s="1747" t="e">
        <f t="shared" si="3"/>
        <v>#N/A</v>
      </c>
      <c r="Q14" s="1938" t="s">
        <v>864</v>
      </c>
      <c r="R14" s="1945" t="s">
        <v>4554</v>
      </c>
      <c r="S14" s="1945" t="s">
        <v>4554</v>
      </c>
      <c r="T14" s="1208" t="s">
        <v>1012</v>
      </c>
      <c r="U14" s="1361" t="s">
        <v>1012</v>
      </c>
      <c r="Z14" s="1942" t="s">
        <v>4552</v>
      </c>
    </row>
    <row r="15" spans="1:26" ht="35.1" customHeight="1">
      <c r="A15" s="1321"/>
      <c r="D15" s="1929"/>
      <c r="E15" s="1208"/>
      <c r="G15" s="1930" t="str">
        <f>'NT-VT'!A19</f>
        <v>M25</v>
      </c>
      <c r="H15" s="1931" t="str">
        <f t="shared" si="6"/>
        <v>Cty TNHHSX-TM Dây &amp; Cáp Điện Tài Trường Thành</v>
      </c>
      <c r="I15" s="1931" t="str">
        <f t="shared" si="7"/>
        <v>Cty TNHHSX-TM Dây &amp; Cáp Điện Tài Trường Thành</v>
      </c>
      <c r="J15" s="1939" t="s">
        <v>4858</v>
      </c>
      <c r="K15" s="1940">
        <v>43959</v>
      </c>
      <c r="L15" s="2946" t="str">
        <f t="shared" si="1"/>
        <v>TTT - 061KCS0718/112</v>
      </c>
      <c r="M15" s="1960">
        <f t="shared" si="2"/>
        <v>43721</v>
      </c>
      <c r="O15" s="1747">
        <f t="shared" si="3"/>
        <v>0</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T12</v>
      </c>
      <c r="H16" s="1931" t="str">
        <f t="shared" si="6"/>
        <v>Cty Cổ phần Bê tông ly tâm Thủ Đức</v>
      </c>
      <c r="I16" s="1931" t="str">
        <f t="shared" si="7"/>
        <v>Cty Cổ phần Bê tông ly tâm Thủ Đức</v>
      </c>
      <c r="J16" s="1939"/>
      <c r="K16" s="1940"/>
      <c r="L16" s="2946" t="str">
        <f t="shared" si="1"/>
        <v>136/NTXX-KHKD/TDC</v>
      </c>
      <c r="M16" s="1960">
        <f t="shared" si="2"/>
        <v>43864</v>
      </c>
      <c r="O16" s="1747">
        <f t="shared" si="3"/>
        <v>0</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AC50</v>
      </c>
      <c r="H17" s="1931" t="str">
        <f t="shared" si="6"/>
        <v>Cty TNHHSX-TM Dây &amp; Cáp Điện Tài Trường Thành</v>
      </c>
      <c r="I17" s="1931" t="str">
        <f t="shared" si="7"/>
        <v>Cty TNHHSX-TM Dây &amp; Cáp Điện Tài Trường Thành</v>
      </c>
      <c r="J17" s="1939"/>
      <c r="K17" s="1940"/>
      <c r="L17" s="2946" t="str">
        <f t="shared" si="1"/>
        <v>TTT-056KCS0719/16</v>
      </c>
      <c r="M17" s="1960">
        <f t="shared" si="2"/>
        <v>43665</v>
      </c>
      <c r="O17" s="1747">
        <f t="shared" si="3"/>
        <v>0</v>
      </c>
      <c r="Q17" s="1938" t="s">
        <v>1218</v>
      </c>
      <c r="R17" s="1941" t="s">
        <v>4131</v>
      </c>
      <c r="S17" s="1941" t="s">
        <v>4131</v>
      </c>
      <c r="T17" s="1943" t="s">
        <v>4649</v>
      </c>
      <c r="U17" s="1361">
        <v>43626</v>
      </c>
      <c r="X17" s="1208" t="s">
        <v>4702</v>
      </c>
      <c r="Z17" s="1942" t="s">
        <v>4467</v>
      </c>
    </row>
    <row r="18" spans="1:26" ht="35.1" customHeight="1">
      <c r="A18" s="1944"/>
      <c r="D18" s="1929"/>
      <c r="G18" s="1930" t="str">
        <f>'NT-VT'!A22</f>
        <v>CHI40K</v>
      </c>
      <c r="H18" s="1931" t="str">
        <f t="shared" si="6"/>
        <v>Cty TNHH MTV Đại Thiên An</v>
      </c>
      <c r="I18" s="1931" t="str">
        <f t="shared" si="7"/>
        <v>Cty TNHH MTV Đại Thiên An</v>
      </c>
      <c r="J18" s="1939" t="s">
        <v>4861</v>
      </c>
      <c r="K18" s="1940">
        <v>43954</v>
      </c>
      <c r="L18" s="2946" t="str">
        <f t="shared" si="1"/>
        <v>01.2019/BBXX/DTA-TL</v>
      </c>
      <c r="M18" s="1960">
        <f t="shared" si="2"/>
        <v>43525</v>
      </c>
      <c r="O18" s="1747">
        <f t="shared" si="3"/>
        <v>0</v>
      </c>
      <c r="Q18" s="1938" t="s">
        <v>1556</v>
      </c>
      <c r="R18" s="1203" t="s">
        <v>4126</v>
      </c>
      <c r="S18" s="1203" t="s">
        <v>4127</v>
      </c>
      <c r="T18" s="1208" t="s">
        <v>1012</v>
      </c>
      <c r="X18" s="1208" t="s">
        <v>4704</v>
      </c>
      <c r="Z18" s="1942" t="s">
        <v>4690</v>
      </c>
    </row>
    <row r="19" spans="1:26" ht="35.1" customHeight="1">
      <c r="A19" s="1944"/>
      <c r="D19" s="1929"/>
      <c r="E19" s="1208"/>
      <c r="G19" s="1930" t="str">
        <f>'NT-VT'!A23</f>
        <v>COM110x800x5-2,4</v>
      </c>
      <c r="H19" s="1931" t="str">
        <f t="shared" si="6"/>
        <v>nt</v>
      </c>
      <c r="I19" s="1931" t="str">
        <f t="shared" si="7"/>
        <v>nt</v>
      </c>
      <c r="J19" s="1939"/>
      <c r="K19" s="1940"/>
      <c r="L19" s="2946" t="str">
        <f t="shared" si="1"/>
        <v/>
      </c>
      <c r="M19" s="1960" t="str">
        <f t="shared" si="2"/>
        <v/>
      </c>
      <c r="O19" s="1747" t="e">
        <f t="shared" si="3"/>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COM40X10X920</v>
      </c>
      <c r="H20" s="1931" t="str">
        <f t="shared" si="6"/>
        <v>nt</v>
      </c>
      <c r="I20" s="1931" t="str">
        <f t="shared" si="7"/>
        <v>nt</v>
      </c>
      <c r="J20" s="1939"/>
      <c r="K20" s="1940"/>
      <c r="L20" s="2946" t="str">
        <f t="shared" si="1"/>
        <v/>
      </c>
      <c r="M20" s="1960" t="str">
        <f t="shared" si="2"/>
        <v/>
      </c>
      <c r="O20" s="1747" t="e">
        <f t="shared" si="3"/>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B16250</v>
      </c>
      <c r="H21" s="1931" t="str">
        <f t="shared" si="6"/>
        <v>nt</v>
      </c>
      <c r="I21" s="1931" t="str">
        <f t="shared" si="7"/>
        <v>nt</v>
      </c>
      <c r="J21" s="1939"/>
      <c r="K21" s="1940"/>
      <c r="L21" s="1838"/>
      <c r="M21" s="1960" t="str">
        <f t="shared" si="2"/>
        <v/>
      </c>
      <c r="O21" s="1747" t="e">
        <f t="shared" si="3"/>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B16350</v>
      </c>
      <c r="H22" s="1931" t="str">
        <f t="shared" si="6"/>
        <v>nt</v>
      </c>
      <c r="I22" s="1931" t="str">
        <f t="shared" si="7"/>
        <v>nt</v>
      </c>
      <c r="J22" s="1939" t="str">
        <f t="shared" ref="J22:J53" si="8">IFERROR(VLOOKUP(G22,$Q:$U,4,0),"nt")</f>
        <v>nt</v>
      </c>
      <c r="K22" s="1940" t="str">
        <f t="shared" ref="K22:K53" si="9">IFERROR(VLOOKUP(G22,$Q:$U,5,0),"nt")</f>
        <v>nt</v>
      </c>
      <c r="L22" s="1838"/>
      <c r="M22" s="1960" t="str">
        <f t="shared" si="2"/>
        <v/>
      </c>
      <c r="O22" s="1747" t="e">
        <f t="shared" si="3"/>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BATLL</v>
      </c>
      <c r="H23" s="1931" t="str">
        <f t="shared" si="6"/>
        <v>nt</v>
      </c>
      <c r="I23" s="1931" t="str">
        <f t="shared" si="7"/>
        <v>nt</v>
      </c>
      <c r="J23" s="1939" t="str">
        <f t="shared" si="8"/>
        <v>nt</v>
      </c>
      <c r="K23" s="1940" t="str">
        <f t="shared" si="9"/>
        <v>nt</v>
      </c>
      <c r="L23" s="1838"/>
      <c r="M23" s="1960" t="str">
        <f t="shared" si="2"/>
        <v/>
      </c>
      <c r="O23" s="1747" t="e">
        <f t="shared" si="3"/>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BATLi</v>
      </c>
      <c r="H24" s="1931" t="str">
        <f t="shared" si="6"/>
        <v>nt</v>
      </c>
      <c r="I24" s="1931" t="str">
        <f t="shared" si="7"/>
        <v>nt</v>
      </c>
      <c r="J24" s="1939" t="str">
        <f t="shared" si="8"/>
        <v>nt</v>
      </c>
      <c r="K24" s="1940" t="str">
        <f t="shared" si="9"/>
        <v>nt</v>
      </c>
      <c r="L24" s="1838"/>
      <c r="M24" s="1960" t="str">
        <f t="shared" si="2"/>
        <v/>
      </c>
      <c r="O24" s="1747" t="e">
        <f t="shared" si="3"/>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sl75-2400</v>
      </c>
      <c r="H25" s="1931" t="str">
        <f t="shared" si="6"/>
        <v>nt</v>
      </c>
      <c r="I25" s="1931" t="str">
        <f t="shared" si="7"/>
        <v>nt</v>
      </c>
      <c r="J25" s="1939" t="str">
        <f t="shared" si="8"/>
        <v>nt</v>
      </c>
      <c r="K25" s="1940" t="str">
        <f t="shared" si="9"/>
        <v>nt</v>
      </c>
      <c r="L25" s="1838"/>
      <c r="M25" s="1960" t="str">
        <f t="shared" si="2"/>
        <v/>
      </c>
      <c r="O25" s="1747" t="e">
        <f t="shared" si="3"/>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sl50-920</v>
      </c>
      <c r="H26" s="1931" t="str">
        <f t="shared" si="6"/>
        <v>nt</v>
      </c>
      <c r="I26" s="1931" t="str">
        <f t="shared" si="7"/>
        <v>nt</v>
      </c>
      <c r="J26" s="1939" t="str">
        <f t="shared" si="8"/>
        <v>nt</v>
      </c>
      <c r="K26" s="1940" t="str">
        <f t="shared" si="9"/>
        <v>nt</v>
      </c>
      <c r="L26" s="1838"/>
      <c r="M26" s="1960" t="str">
        <f t="shared" si="2"/>
        <v/>
      </c>
      <c r="O26" s="1747" t="e">
        <f t="shared" si="3"/>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B16300</v>
      </c>
      <c r="H27" s="1931" t="str">
        <f t="shared" si="6"/>
        <v>nt</v>
      </c>
      <c r="I27" s="1931" t="str">
        <f t="shared" si="7"/>
        <v>nt</v>
      </c>
      <c r="J27" s="1939" t="str">
        <f t="shared" si="8"/>
        <v>nt</v>
      </c>
      <c r="K27" s="1940" t="str">
        <f t="shared" si="9"/>
        <v>nt</v>
      </c>
      <c r="L27" s="1838"/>
      <c r="M27" s="1960" t="str">
        <f t="shared" si="2"/>
        <v/>
      </c>
      <c r="O27" s="1747" t="e">
        <f t="shared" si="3"/>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B1650</v>
      </c>
      <c r="H28" s="1931" t="str">
        <f t="shared" si="6"/>
        <v>nt</v>
      </c>
      <c r="I28" s="1931" t="str">
        <f t="shared" si="7"/>
        <v>nt</v>
      </c>
      <c r="J28" s="1939" t="str">
        <f t="shared" si="8"/>
        <v>nt</v>
      </c>
      <c r="K28" s="1940" t="str">
        <f t="shared" si="9"/>
        <v>nt</v>
      </c>
      <c r="L28" s="1838"/>
      <c r="M28" s="1960" t="str">
        <f t="shared" si="2"/>
        <v/>
      </c>
      <c r="O28" s="1747" t="e">
        <f t="shared" si="3"/>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B16300V</v>
      </c>
      <c r="H29" s="1931" t="str">
        <f t="shared" si="6"/>
        <v>nt</v>
      </c>
      <c r="I29" s="1931" t="str">
        <f t="shared" si="7"/>
        <v>nt</v>
      </c>
      <c r="J29" s="1939" t="str">
        <f t="shared" si="8"/>
        <v>nt</v>
      </c>
      <c r="K29" s="1940" t="str">
        <f t="shared" si="9"/>
        <v>nt</v>
      </c>
      <c r="L29" s="1838"/>
      <c r="M29" s="1960" t="str">
        <f t="shared" si="2"/>
        <v/>
      </c>
      <c r="O29" s="1747" t="e">
        <f t="shared" si="3"/>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CTD+K</v>
      </c>
      <c r="H30" s="1931" t="str">
        <f t="shared" si="6"/>
        <v>nt</v>
      </c>
      <c r="I30" s="1931" t="str">
        <f t="shared" si="7"/>
        <v>nt</v>
      </c>
      <c r="J30" s="1939" t="str">
        <f t="shared" si="8"/>
        <v>nt</v>
      </c>
      <c r="K30" s="1940" t="str">
        <f t="shared" si="9"/>
        <v>nt</v>
      </c>
      <c r="L30" s="1838"/>
      <c r="M30" s="1960" t="str">
        <f t="shared" si="2"/>
        <v/>
      </c>
      <c r="O30" s="1747" t="e">
        <f t="shared" si="3"/>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KE50</v>
      </c>
      <c r="H31" s="1931" t="str">
        <f t="shared" si="6"/>
        <v>nt</v>
      </c>
      <c r="I31" s="1931" t="str">
        <f t="shared" si="7"/>
        <v>nt</v>
      </c>
      <c r="J31" s="1939" t="str">
        <f t="shared" si="8"/>
        <v>nt</v>
      </c>
      <c r="K31" s="1940" t="str">
        <f t="shared" si="9"/>
        <v>nt</v>
      </c>
      <c r="L31" s="1838"/>
      <c r="M31" s="1960" t="str">
        <f t="shared" si="2"/>
        <v/>
      </c>
      <c r="O31" s="1747" t="e">
        <f t="shared" si="3"/>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oxc25</v>
      </c>
      <c r="H32" s="1931" t="str">
        <f t="shared" si="6"/>
        <v>nt</v>
      </c>
      <c r="I32" s="1931" t="str">
        <f t="shared" si="7"/>
        <v>nt</v>
      </c>
      <c r="J32" s="1939" t="str">
        <f t="shared" si="8"/>
        <v>nt</v>
      </c>
      <c r="K32" s="1940" t="str">
        <f t="shared" si="9"/>
        <v>nt</v>
      </c>
      <c r="L32" s="1838"/>
      <c r="M32" s="1960" t="str">
        <f t="shared" si="2"/>
        <v/>
      </c>
      <c r="O32" s="1747" t="e">
        <f t="shared" si="3"/>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TUACB1600</v>
      </c>
      <c r="H33" s="1931" t="str">
        <f t="shared" si="6"/>
        <v>nt</v>
      </c>
      <c r="I33" s="1931" t="str">
        <f t="shared" si="7"/>
        <v>nt</v>
      </c>
      <c r="J33" s="1939" t="str">
        <f t="shared" si="8"/>
        <v>nt</v>
      </c>
      <c r="K33" s="1940" t="str">
        <f t="shared" si="9"/>
        <v>nt</v>
      </c>
      <c r="L33" s="1838"/>
      <c r="M33" s="1960" t="str">
        <f t="shared" si="2"/>
        <v/>
      </c>
      <c r="O33" s="1747" t="e">
        <f t="shared" si="3"/>
        <v>#N/A</v>
      </c>
      <c r="P33" s="1747"/>
      <c r="Q33" s="1938" t="s">
        <v>4574</v>
      </c>
      <c r="R33" s="1936" t="s">
        <v>4408</v>
      </c>
      <c r="S33" s="1936" t="s">
        <v>4408</v>
      </c>
      <c r="U33" s="1361"/>
    </row>
    <row r="34" spans="2:24" s="1208" customFormat="1" ht="35.1" customHeight="1">
      <c r="B34" s="1606"/>
      <c r="E34" s="1938"/>
      <c r="G34" s="1930" t="str">
        <f>'NT-VT'!A38</f>
        <v>BAKE</v>
      </c>
      <c r="H34" s="1931" t="str">
        <f t="shared" si="6"/>
        <v>nt</v>
      </c>
      <c r="I34" s="1931" t="str">
        <f t="shared" si="7"/>
        <v>nt</v>
      </c>
      <c r="J34" s="1939" t="str">
        <f t="shared" si="8"/>
        <v>nt</v>
      </c>
      <c r="K34" s="1940" t="str">
        <f t="shared" si="9"/>
        <v>nt</v>
      </c>
      <c r="L34" s="1838"/>
      <c r="M34" s="1960" t="str">
        <f t="shared" si="2"/>
        <v/>
      </c>
      <c r="O34" s="1747" t="e">
        <f t="shared" si="3"/>
        <v>#N/A</v>
      </c>
      <c r="P34" s="1747"/>
      <c r="Q34" s="1938" t="s">
        <v>871</v>
      </c>
      <c r="R34" s="1936" t="s">
        <v>4408</v>
      </c>
      <c r="S34" s="1936" t="s">
        <v>4408</v>
      </c>
      <c r="U34" s="1361"/>
    </row>
    <row r="35" spans="2:24" s="1208" customFormat="1" ht="35.1" customHeight="1">
      <c r="B35" s="1606"/>
      <c r="E35" s="1938"/>
      <c r="G35" s="1930" t="str">
        <f>'NT-VT'!A39</f>
        <v>BANG</v>
      </c>
      <c r="H35" s="1931" t="str">
        <f t="shared" si="6"/>
        <v>nt</v>
      </c>
      <c r="I35" s="1931" t="str">
        <f t="shared" si="7"/>
        <v>nt</v>
      </c>
      <c r="J35" s="1939" t="str">
        <f t="shared" si="8"/>
        <v>nt</v>
      </c>
      <c r="K35" s="1940" t="str">
        <f t="shared" si="9"/>
        <v>nt</v>
      </c>
      <c r="L35" s="1838"/>
      <c r="M35" s="1960" t="str">
        <f t="shared" ref="M35:M66" si="10">IF(N35&gt;0,$P$1,IFERROR(VLOOKUP(G35,Q:U,5,0),""))</f>
        <v/>
      </c>
      <c r="O35" s="1747" t="e">
        <f t="shared" ref="O35:O66" si="11">VLOOKUP(G35,Q:X,8,0)</f>
        <v>#N/A</v>
      </c>
      <c r="P35" s="1747"/>
      <c r="Q35" s="1938" t="s">
        <v>1423</v>
      </c>
      <c r="R35" s="1941" t="s">
        <v>4126</v>
      </c>
      <c r="S35" s="1941" t="s">
        <v>4127</v>
      </c>
      <c r="U35" s="1361"/>
    </row>
    <row r="36" spans="2:24" s="1208" customFormat="1" ht="35.1" customHeight="1">
      <c r="B36" s="1606"/>
      <c r="E36" s="1938"/>
      <c r="G36" s="1930" t="str">
        <f>'NT-VT'!A40</f>
        <v>KQ4/0</v>
      </c>
      <c r="H36" s="1931" t="str">
        <f t="shared" si="6"/>
        <v>nt</v>
      </c>
      <c r="I36" s="1931" t="str">
        <f t="shared" si="7"/>
        <v>nt</v>
      </c>
      <c r="J36" s="1939" t="str">
        <f t="shared" si="8"/>
        <v>nt</v>
      </c>
      <c r="K36" s="1940" t="str">
        <f t="shared" si="9"/>
        <v>nt</v>
      </c>
      <c r="L36" s="1838"/>
      <c r="M36" s="1960" t="str">
        <f t="shared" si="10"/>
        <v/>
      </c>
      <c r="O36" s="1747" t="e">
        <f t="shared" si="11"/>
        <v>#N/A</v>
      </c>
      <c r="P36" s="1747"/>
      <c r="Q36" s="1938" t="s">
        <v>1147</v>
      </c>
      <c r="R36" s="1941" t="s">
        <v>4131</v>
      </c>
      <c r="S36" s="1941" t="s">
        <v>4131</v>
      </c>
      <c r="U36" s="1361"/>
    </row>
    <row r="37" spans="2:24" s="1208" customFormat="1" ht="35.1" customHeight="1">
      <c r="B37" s="1606"/>
      <c r="E37" s="1938"/>
      <c r="G37" s="1930" t="str">
        <f>'NT-VT'!A41</f>
        <v>KH4/0</v>
      </c>
      <c r="H37" s="1931" t="str">
        <f t="shared" si="6"/>
        <v>nt</v>
      </c>
      <c r="I37" s="1931" t="str">
        <f t="shared" si="7"/>
        <v>nt</v>
      </c>
      <c r="J37" s="1939" t="str">
        <f t="shared" si="8"/>
        <v>nt</v>
      </c>
      <c r="K37" s="1940" t="str">
        <f t="shared" si="9"/>
        <v>nt</v>
      </c>
      <c r="L37" s="1838"/>
      <c r="M37" s="1960" t="str">
        <f t="shared" si="10"/>
        <v/>
      </c>
      <c r="O37" s="1747" t="e">
        <f t="shared" si="11"/>
        <v>#N/A</v>
      </c>
      <c r="P37" s="1747"/>
      <c r="Q37" s="1938" t="s">
        <v>4591</v>
      </c>
      <c r="R37" s="1941" t="s">
        <v>4131</v>
      </c>
      <c r="S37" s="1941" t="s">
        <v>4131</v>
      </c>
      <c r="U37" s="1361"/>
    </row>
    <row r="38" spans="2:24" s="1208" customFormat="1" ht="35.1" customHeight="1">
      <c r="B38" s="1606"/>
      <c r="E38" s="1938"/>
      <c r="G38" s="1930" t="str">
        <f>'NT-VT'!A42</f>
        <v>chmba</v>
      </c>
      <c r="H38" s="1931" t="str">
        <f t="shared" si="6"/>
        <v>nt</v>
      </c>
      <c r="I38" s="1931" t="str">
        <f t="shared" si="7"/>
        <v>nt</v>
      </c>
      <c r="J38" s="1939" t="str">
        <f t="shared" si="8"/>
        <v>nt</v>
      </c>
      <c r="K38" s="1940" t="str">
        <f t="shared" si="9"/>
        <v>nt</v>
      </c>
      <c r="L38" s="1838"/>
      <c r="M38" s="1960" t="str">
        <f t="shared" si="10"/>
        <v/>
      </c>
      <c r="O38" s="1747" t="e">
        <f t="shared" si="11"/>
        <v>#N/A</v>
      </c>
      <c r="P38" s="1747"/>
      <c r="Q38" s="1938" t="s">
        <v>5011</v>
      </c>
      <c r="R38" s="1941" t="s">
        <v>4131</v>
      </c>
      <c r="S38" s="1941" t="s">
        <v>4131</v>
      </c>
      <c r="U38" s="1361"/>
      <c r="X38" s="1208" t="s">
        <v>4703</v>
      </c>
    </row>
    <row r="39" spans="2:24" s="1208" customFormat="1" ht="35.1" customHeight="1">
      <c r="B39" s="1606"/>
      <c r="E39" s="1938"/>
      <c r="G39" s="1930" t="str">
        <f>'NT-VT'!A43</f>
        <v>chla</v>
      </c>
      <c r="H39" s="1931" t="str">
        <f t="shared" ref="H39:H70" si="12">IFERROR(VLOOKUP(G39,$Q:$U,2,0),"nt")</f>
        <v>nt</v>
      </c>
      <c r="I39" s="1931" t="str">
        <f t="shared" si="7"/>
        <v>nt</v>
      </c>
      <c r="J39" s="1939" t="str">
        <f t="shared" si="8"/>
        <v>nt</v>
      </c>
      <c r="K39" s="1940" t="str">
        <f t="shared" si="9"/>
        <v>nt</v>
      </c>
      <c r="L39" s="1838"/>
      <c r="M39" s="1960" t="str">
        <f t="shared" si="10"/>
        <v/>
      </c>
      <c r="O39" s="1747" t="e">
        <f t="shared" si="11"/>
        <v>#N/A</v>
      </c>
      <c r="P39" s="1747"/>
      <c r="Q39" s="1938" t="s">
        <v>6179</v>
      </c>
      <c r="R39" s="1203" t="s">
        <v>6315</v>
      </c>
      <c r="S39" s="1203" t="s">
        <v>6315</v>
      </c>
      <c r="U39" s="1361"/>
      <c r="X39" s="1208" t="s">
        <v>6316</v>
      </c>
    </row>
    <row r="40" spans="2:24" s="1208" customFormat="1" ht="35.1" customHeight="1">
      <c r="B40" s="1606"/>
      <c r="E40" s="1938"/>
      <c r="G40" s="1930" t="str">
        <f>'NT-VT'!A44</f>
        <v>chfco</v>
      </c>
      <c r="H40" s="1931" t="str">
        <f t="shared" si="12"/>
        <v>nt</v>
      </c>
      <c r="I40" s="1931" t="str">
        <f t="shared" si="7"/>
        <v>nt</v>
      </c>
      <c r="J40" s="1939" t="str">
        <f t="shared" si="8"/>
        <v>nt</v>
      </c>
      <c r="K40" s="1940" t="str">
        <f t="shared" si="9"/>
        <v>nt</v>
      </c>
      <c r="L40" s="1838"/>
      <c r="M40" s="1960" t="str">
        <f t="shared" si="10"/>
        <v/>
      </c>
      <c r="O40" s="1747" t="e">
        <f t="shared" si="11"/>
        <v>#N/A</v>
      </c>
      <c r="P40" s="1747"/>
      <c r="Q40" s="1938" t="s">
        <v>6334</v>
      </c>
      <c r="R40" s="1941" t="s">
        <v>4131</v>
      </c>
      <c r="S40" s="1941" t="s">
        <v>4131</v>
      </c>
      <c r="U40" s="1361"/>
      <c r="X40" s="1208" t="s">
        <v>4703</v>
      </c>
    </row>
    <row r="41" spans="2:24" s="1208" customFormat="1" ht="35.1" customHeight="1">
      <c r="B41" s="1606"/>
      <c r="E41" s="1938"/>
      <c r="G41" s="1930" t="str">
        <f>'NT-VT'!A45</f>
        <v>chupTuTi</v>
      </c>
      <c r="H41" s="1931" t="str">
        <f t="shared" si="12"/>
        <v>nt</v>
      </c>
      <c r="I41" s="1931" t="str">
        <f t="shared" ref="I41:I72" si="13">IFERROR(VLOOKUP(G41,$Q:$U,3,0),"nt")</f>
        <v>nt</v>
      </c>
      <c r="J41" s="1939" t="str">
        <f t="shared" si="8"/>
        <v>nt</v>
      </c>
      <c r="K41" s="1940" t="str">
        <f t="shared" si="9"/>
        <v>nt</v>
      </c>
      <c r="L41" s="1838"/>
      <c r="M41" s="1960" t="str">
        <f t="shared" si="10"/>
        <v/>
      </c>
      <c r="O41" s="1747" t="e">
        <f t="shared" si="11"/>
        <v>#N/A</v>
      </c>
      <c r="P41" s="1747"/>
      <c r="Q41" s="1938" t="s">
        <v>653</v>
      </c>
      <c r="R41" s="1941" t="s">
        <v>4126</v>
      </c>
      <c r="S41" s="1941" t="s">
        <v>4127</v>
      </c>
      <c r="U41" s="1361"/>
      <c r="X41" s="1208" t="s">
        <v>4704</v>
      </c>
    </row>
    <row r="42" spans="2:24" s="1208" customFormat="1" ht="35.1" customHeight="1">
      <c r="B42" s="1606"/>
      <c r="E42" s="1938"/>
      <c r="G42" s="1930" t="str">
        <f>'NT-VT'!A46</f>
        <v>CSD</v>
      </c>
      <c r="H42" s="1931" t="str">
        <f t="shared" si="12"/>
        <v>nt</v>
      </c>
      <c r="I42" s="1931" t="str">
        <f t="shared" si="13"/>
        <v>nt</v>
      </c>
      <c r="J42" s="1939" t="str">
        <f t="shared" si="8"/>
        <v>nt</v>
      </c>
      <c r="K42" s="1940" t="str">
        <f t="shared" si="9"/>
        <v>nt</v>
      </c>
      <c r="L42" s="1838"/>
      <c r="M42" s="1960" t="str">
        <f t="shared" si="10"/>
        <v/>
      </c>
      <c r="O42" s="1747" t="e">
        <f t="shared" si="11"/>
        <v>#N/A</v>
      </c>
      <c r="P42" s="1747"/>
      <c r="Q42" s="1938" t="s">
        <v>6417</v>
      </c>
      <c r="R42" s="1941" t="s">
        <v>4131</v>
      </c>
      <c r="S42" s="1941" t="s">
        <v>4131</v>
      </c>
      <c r="U42" s="1361"/>
      <c r="X42" s="1208" t="s">
        <v>4703</v>
      </c>
    </row>
    <row r="43" spans="2:24" s="1208" customFormat="1" ht="35.1" customHeight="1">
      <c r="B43" s="1606"/>
      <c r="E43" s="1938"/>
      <c r="G43" s="1930" t="str">
        <f>'NT-VT'!A47</f>
        <v>ttf-50</v>
      </c>
      <c r="H43" s="1931" t="str">
        <f t="shared" si="12"/>
        <v>nt</v>
      </c>
      <c r="I43" s="1931" t="str">
        <f t="shared" si="13"/>
        <v>nt</v>
      </c>
      <c r="J43" s="1939" t="str">
        <f t="shared" si="8"/>
        <v>nt</v>
      </c>
      <c r="K43" s="1940" t="str">
        <f t="shared" si="9"/>
        <v>nt</v>
      </c>
      <c r="L43" s="1838"/>
      <c r="M43" s="1960" t="str">
        <f t="shared" si="10"/>
        <v/>
      </c>
      <c r="O43" s="1747" t="e">
        <f t="shared" si="11"/>
        <v>#N/A</v>
      </c>
      <c r="P43" s="1747"/>
      <c r="Q43" s="1938" t="s">
        <v>6416</v>
      </c>
      <c r="R43" s="1941" t="s">
        <v>4131</v>
      </c>
      <c r="S43" s="1941" t="s">
        <v>4131</v>
      </c>
      <c r="U43" s="1361"/>
      <c r="X43" s="1208" t="s">
        <v>4703</v>
      </c>
    </row>
    <row r="44" spans="2:24" s="1208" customFormat="1" ht="35.1" customHeight="1">
      <c r="B44" s="1606"/>
      <c r="E44" s="1938"/>
      <c r="G44" s="1930" t="str">
        <f>'NT-VT'!A48</f>
        <v>COS240</v>
      </c>
      <c r="H44" s="1931" t="str">
        <f t="shared" si="12"/>
        <v>nt</v>
      </c>
      <c r="I44" s="1931" t="str">
        <f t="shared" si="13"/>
        <v>nt</v>
      </c>
      <c r="J44" s="1939" t="str">
        <f t="shared" si="8"/>
        <v>nt</v>
      </c>
      <c r="K44" s="1940" t="str">
        <f t="shared" si="9"/>
        <v>nt</v>
      </c>
      <c r="L44" s="1838"/>
      <c r="M44" s="1960" t="str">
        <f t="shared" si="10"/>
        <v/>
      </c>
      <c r="O44" s="1747" t="e">
        <f t="shared" si="11"/>
        <v>#N/A</v>
      </c>
      <c r="P44" s="1747"/>
      <c r="Q44" s="1938" t="s">
        <v>4826</v>
      </c>
      <c r="R44" s="1941" t="s">
        <v>4131</v>
      </c>
      <c r="S44" s="1941" t="s">
        <v>4131</v>
      </c>
      <c r="U44" s="1361"/>
      <c r="X44" s="1208" t="s">
        <v>4703</v>
      </c>
    </row>
    <row r="45" spans="2:24" s="1208" customFormat="1" ht="35.1" customHeight="1">
      <c r="B45" s="1606"/>
      <c r="E45" s="1938"/>
      <c r="G45" s="1930" t="str">
        <f>'NT-VT'!A49</f>
        <v>CHCOS240</v>
      </c>
      <c r="H45" s="1931" t="str">
        <f t="shared" si="12"/>
        <v>nt</v>
      </c>
      <c r="I45" s="1931" t="str">
        <f t="shared" si="13"/>
        <v>nt</v>
      </c>
      <c r="J45" s="1939" t="str">
        <f t="shared" si="8"/>
        <v>nt</v>
      </c>
      <c r="K45" s="1940" t="str">
        <f t="shared" si="9"/>
        <v>nt</v>
      </c>
      <c r="L45" s="1838"/>
      <c r="M45" s="1960" t="str">
        <f t="shared" si="10"/>
        <v/>
      </c>
      <c r="O45" s="1747" t="e">
        <f t="shared" si="11"/>
        <v>#N/A</v>
      </c>
      <c r="P45" s="1747"/>
      <c r="Q45" s="1938" t="s">
        <v>6402</v>
      </c>
      <c r="R45" s="1941" t="s">
        <v>4131</v>
      </c>
      <c r="S45" s="1941" t="s">
        <v>4131</v>
      </c>
      <c r="U45" s="1361"/>
      <c r="X45" s="1208" t="s">
        <v>4703</v>
      </c>
    </row>
    <row r="46" spans="2:24" s="1208" customFormat="1" ht="35.1" customHeight="1">
      <c r="B46" s="1606"/>
      <c r="E46" s="1938"/>
      <c r="G46" s="1930" t="str">
        <f>'NT-VT'!A50</f>
        <v>PVC114</v>
      </c>
      <c r="H46" s="1931" t="str">
        <f t="shared" si="12"/>
        <v>nt</v>
      </c>
      <c r="I46" s="1931" t="str">
        <f t="shared" si="13"/>
        <v>nt</v>
      </c>
      <c r="J46" s="1939" t="str">
        <f t="shared" si="8"/>
        <v>nt</v>
      </c>
      <c r="K46" s="1940" t="str">
        <f t="shared" si="9"/>
        <v>nt</v>
      </c>
      <c r="L46" s="1838"/>
      <c r="M46" s="1960" t="str">
        <f t="shared" si="10"/>
        <v/>
      </c>
      <c r="O46" s="1747" t="e">
        <f t="shared" si="11"/>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keobit</v>
      </c>
      <c r="H47" s="1931" t="str">
        <f t="shared" si="12"/>
        <v>nt</v>
      </c>
      <c r="I47" s="1931" t="str">
        <f t="shared" si="13"/>
        <v>nt</v>
      </c>
      <c r="J47" s="1939" t="str">
        <f t="shared" si="8"/>
        <v>nt</v>
      </c>
      <c r="K47" s="1940" t="str">
        <f t="shared" si="9"/>
        <v>nt</v>
      </c>
      <c r="L47" s="1838"/>
      <c r="M47" s="1960" t="str">
        <f t="shared" si="10"/>
        <v/>
      </c>
      <c r="O47" s="1747" t="e">
        <f t="shared" si="11"/>
        <v>#N/A</v>
      </c>
      <c r="P47" s="1747"/>
      <c r="Q47" s="1938" t="s">
        <v>1235</v>
      </c>
      <c r="R47" s="1203" t="s">
        <v>4131</v>
      </c>
      <c r="S47" s="1203" t="s">
        <v>4131</v>
      </c>
      <c r="U47" s="1361"/>
    </row>
    <row r="48" spans="2:24" ht="35.1" customHeight="1">
      <c r="G48" s="1930" t="str">
        <f>'NT-VT'!A52</f>
        <v>drc</v>
      </c>
      <c r="H48" s="1931" t="str">
        <f t="shared" si="12"/>
        <v>nt</v>
      </c>
      <c r="I48" s="1931" t="str">
        <f t="shared" si="13"/>
        <v>nt</v>
      </c>
      <c r="J48" s="1939" t="str">
        <f t="shared" si="8"/>
        <v>nt</v>
      </c>
      <c r="K48" s="1940" t="str">
        <f t="shared" si="9"/>
        <v>nt</v>
      </c>
      <c r="M48" s="1960" t="str">
        <f t="shared" si="10"/>
        <v/>
      </c>
      <c r="O48" s="1747" t="e">
        <f t="shared" si="11"/>
        <v>#N/A</v>
      </c>
      <c r="Q48" s="1938" t="s">
        <v>6362</v>
      </c>
      <c r="R48" s="1203" t="s">
        <v>6315</v>
      </c>
      <c r="S48" s="1203" t="s">
        <v>6315</v>
      </c>
      <c r="X48" s="1208" t="s">
        <v>6316</v>
      </c>
    </row>
    <row r="49" spans="2:24" ht="35.1" customHeight="1">
      <c r="G49" s="1930" t="str">
        <f>'NT-VT'!A53</f>
        <v>BANGKEO</v>
      </c>
      <c r="H49" s="1931" t="str">
        <f t="shared" si="12"/>
        <v>nt</v>
      </c>
      <c r="I49" s="1931" t="str">
        <f t="shared" si="13"/>
        <v>nt</v>
      </c>
      <c r="J49" s="1939" t="str">
        <f t="shared" si="8"/>
        <v>nt</v>
      </c>
      <c r="K49" s="1940" t="str">
        <f t="shared" si="9"/>
        <v>nt</v>
      </c>
      <c r="M49" s="1960" t="str">
        <f t="shared" si="10"/>
        <v/>
      </c>
      <c r="O49" s="1747" t="e">
        <f t="shared" si="11"/>
        <v>#N/A</v>
      </c>
      <c r="Q49" s="1938" t="s">
        <v>6480</v>
      </c>
      <c r="R49" s="1941" t="s">
        <v>4131</v>
      </c>
      <c r="S49" s="1941" t="s">
        <v>4131</v>
      </c>
      <c r="X49" s="1208" t="s">
        <v>4703</v>
      </c>
    </row>
    <row r="50" spans="2:24" s="1208" customFormat="1" ht="35.1" customHeight="1">
      <c r="B50" s="1606"/>
      <c r="E50" s="1938"/>
      <c r="G50" s="1930" t="str">
        <f>'NT-VT'!A54</f>
        <v>SO10</v>
      </c>
      <c r="H50" s="1931" t="str">
        <f t="shared" si="12"/>
        <v>nt</v>
      </c>
      <c r="I50" s="1931" t="str">
        <f t="shared" si="13"/>
        <v>nt</v>
      </c>
      <c r="J50" s="1939" t="str">
        <f t="shared" si="8"/>
        <v>nt</v>
      </c>
      <c r="K50" s="1940" t="str">
        <f t="shared" si="9"/>
        <v>nt</v>
      </c>
      <c r="L50" s="1838"/>
      <c r="M50" s="1960" t="str">
        <f t="shared" si="10"/>
        <v/>
      </c>
      <c r="O50" s="1747" t="e">
        <f t="shared" si="11"/>
        <v>#N/A</v>
      </c>
      <c r="P50" s="1747"/>
      <c r="Q50" s="1938"/>
      <c r="R50" s="1203"/>
      <c r="S50" s="1203"/>
      <c r="U50" s="1361"/>
    </row>
    <row r="51" spans="2:24" s="1208" customFormat="1" ht="35.1" customHeight="1">
      <c r="B51" s="1606"/>
      <c r="E51" s="1938"/>
      <c r="G51" s="1930" t="str">
        <f>'NT-VT'!A55</f>
        <v>stk76</v>
      </c>
      <c r="H51" s="1931" t="str">
        <f t="shared" si="12"/>
        <v>nt</v>
      </c>
      <c r="I51" s="1931" t="str">
        <f t="shared" si="13"/>
        <v>nt</v>
      </c>
      <c r="J51" s="1939" t="str">
        <f t="shared" si="8"/>
        <v>nt</v>
      </c>
      <c r="K51" s="1940" t="str">
        <f t="shared" si="9"/>
        <v>nt</v>
      </c>
      <c r="L51" s="1838"/>
      <c r="M51" s="1960" t="str">
        <f t="shared" si="10"/>
        <v/>
      </c>
      <c r="O51" s="1747" t="e">
        <f t="shared" si="11"/>
        <v>#N/A</v>
      </c>
      <c r="P51" s="1747"/>
      <c r="Q51" s="1938"/>
      <c r="R51" s="1203"/>
      <c r="S51" s="1203"/>
      <c r="U51" s="1361"/>
    </row>
    <row r="52" spans="2:24" s="1208" customFormat="1" ht="35.1" customHeight="1">
      <c r="B52" s="1606"/>
      <c r="E52" s="1938"/>
      <c r="G52" s="1930" t="str">
        <f>'NT-VT'!A56</f>
        <v>SATV5</v>
      </c>
      <c r="H52" s="1931" t="str">
        <f t="shared" si="12"/>
        <v>nt</v>
      </c>
      <c r="I52" s="1931" t="str">
        <f t="shared" si="13"/>
        <v>nt</v>
      </c>
      <c r="J52" s="1939" t="str">
        <f t="shared" si="8"/>
        <v>nt</v>
      </c>
      <c r="K52" s="1940" t="str">
        <f t="shared" si="9"/>
        <v>nt</v>
      </c>
      <c r="L52" s="1838"/>
      <c r="M52" s="1960" t="str">
        <f t="shared" si="10"/>
        <v/>
      </c>
      <c r="O52" s="1747" t="e">
        <f t="shared" si="11"/>
        <v>#N/A</v>
      </c>
      <c r="P52" s="1747"/>
      <c r="Q52" s="1938"/>
      <c r="R52" s="1203"/>
      <c r="S52" s="1203"/>
      <c r="U52" s="1361"/>
    </row>
    <row r="53" spans="2:24" s="1208" customFormat="1" ht="35.1" customHeight="1">
      <c r="B53" s="1606"/>
      <c r="E53" s="1938"/>
      <c r="G53" s="1930" t="str">
        <f>'NT-VT'!A57</f>
        <v>SATV4</v>
      </c>
      <c r="H53" s="1931" t="str">
        <f t="shared" si="12"/>
        <v>nt</v>
      </c>
      <c r="I53" s="1931" t="str">
        <f t="shared" si="13"/>
        <v>nt</v>
      </c>
      <c r="J53" s="1939" t="str">
        <f t="shared" si="8"/>
        <v>nt</v>
      </c>
      <c r="K53" s="1940" t="str">
        <f t="shared" si="9"/>
        <v>nt</v>
      </c>
      <c r="L53" s="1838"/>
      <c r="M53" s="1960" t="str">
        <f t="shared" si="10"/>
        <v/>
      </c>
      <c r="O53" s="1747" t="e">
        <f t="shared" si="11"/>
        <v>#N/A</v>
      </c>
      <c r="P53" s="1747"/>
      <c r="Q53" s="1938"/>
      <c r="R53" s="1203"/>
      <c r="S53" s="1203"/>
      <c r="U53" s="1361"/>
    </row>
    <row r="54" spans="2:24" s="1208" customFormat="1" ht="35.1" customHeight="1">
      <c r="B54" s="1606"/>
      <c r="E54" s="1938"/>
      <c r="G54" s="1930" t="str">
        <f>'NT-VT'!A58</f>
        <v>S60</v>
      </c>
      <c r="H54" s="1931" t="str">
        <f t="shared" si="12"/>
        <v>nt</v>
      </c>
      <c r="I54" s="1931" t="str">
        <f t="shared" si="13"/>
        <v>nt</v>
      </c>
      <c r="J54" s="1939" t="str">
        <f t="shared" ref="J54:J85" si="14">IFERROR(VLOOKUP(G54,$Q:$U,4,0),"nt")</f>
        <v>nt</v>
      </c>
      <c r="K54" s="1940" t="str">
        <f t="shared" ref="K54:K85" si="15">IFERROR(VLOOKUP(G54,$Q:$U,5,0),"nt")</f>
        <v>nt</v>
      </c>
      <c r="L54" s="1838"/>
      <c r="M54" s="1960" t="str">
        <f t="shared" si="10"/>
        <v/>
      </c>
      <c r="O54" s="1747" t="e">
        <f t="shared" si="11"/>
        <v>#N/A</v>
      </c>
      <c r="P54" s="1747"/>
      <c r="Q54" s="1938"/>
      <c r="R54" s="1203"/>
      <c r="S54" s="1203"/>
      <c r="U54" s="1361"/>
    </row>
    <row r="55" spans="2:24" s="1208" customFormat="1" ht="35.1" customHeight="1">
      <c r="B55" s="1606"/>
      <c r="E55" s="1938"/>
      <c r="G55" s="1930" t="str">
        <f>'NT-VT'!A59</f>
        <v>b40</v>
      </c>
      <c r="H55" s="1931" t="str">
        <f t="shared" si="12"/>
        <v>nt</v>
      </c>
      <c r="I55" s="1931" t="str">
        <f t="shared" si="13"/>
        <v>nt</v>
      </c>
      <c r="J55" s="1939" t="str">
        <f t="shared" si="14"/>
        <v>nt</v>
      </c>
      <c r="K55" s="1940" t="str">
        <f t="shared" si="15"/>
        <v>nt</v>
      </c>
      <c r="L55" s="1838"/>
      <c r="M55" s="1960" t="str">
        <f t="shared" si="10"/>
        <v/>
      </c>
      <c r="O55" s="1747" t="e">
        <f t="shared" si="11"/>
        <v>#N/A</v>
      </c>
      <c r="P55" s="1747"/>
      <c r="Q55" s="1938"/>
      <c r="R55" s="1203"/>
      <c r="S55" s="1203"/>
      <c r="U55" s="1361"/>
    </row>
    <row r="56" spans="2:24" s="1208" customFormat="1" ht="35.1" customHeight="1">
      <c r="B56" s="1606"/>
      <c r="E56" s="1938"/>
      <c r="G56" s="1930" t="str">
        <f>'NT-VT'!A60</f>
        <v>so8</v>
      </c>
      <c r="H56" s="1931" t="str">
        <f t="shared" si="12"/>
        <v>nt</v>
      </c>
      <c r="I56" s="1931" t="str">
        <f t="shared" si="13"/>
        <v>nt</v>
      </c>
      <c r="J56" s="1939" t="str">
        <f t="shared" si="14"/>
        <v>nt</v>
      </c>
      <c r="K56" s="1940" t="str">
        <f t="shared" si="15"/>
        <v>nt</v>
      </c>
      <c r="L56" s="1838"/>
      <c r="M56" s="1960" t="str">
        <f t="shared" si="10"/>
        <v/>
      </c>
      <c r="O56" s="1747" t="e">
        <f t="shared" si="11"/>
        <v>#N/A</v>
      </c>
      <c r="P56" s="1747"/>
      <c r="Q56" s="1938"/>
      <c r="R56" s="1203"/>
      <c r="S56" s="1203"/>
      <c r="U56" s="1361"/>
    </row>
    <row r="57" spans="2:24" s="1208" customFormat="1" ht="35.1" customHeight="1">
      <c r="B57" s="1606"/>
      <c r="E57" s="1938"/>
      <c r="G57" s="1930" t="str">
        <f>'NT-VT'!A61</f>
        <v>B14350</v>
      </c>
      <c r="H57" s="1931" t="str">
        <f t="shared" si="12"/>
        <v>nt</v>
      </c>
      <c r="I57" s="1931" t="str">
        <f t="shared" si="13"/>
        <v>nt</v>
      </c>
      <c r="J57" s="1939" t="str">
        <f t="shared" si="14"/>
        <v>nt</v>
      </c>
      <c r="K57" s="1940" t="str">
        <f t="shared" si="15"/>
        <v>nt</v>
      </c>
      <c r="L57" s="1838"/>
      <c r="M57" s="1960" t="str">
        <f t="shared" si="10"/>
        <v/>
      </c>
      <c r="O57" s="1747" t="e">
        <f t="shared" si="11"/>
        <v>#N/A</v>
      </c>
      <c r="P57" s="1747"/>
      <c r="Q57" s="1938"/>
      <c r="R57" s="1203"/>
      <c r="S57" s="1203"/>
      <c r="U57" s="1361"/>
    </row>
    <row r="58" spans="2:24" s="1208" customFormat="1" ht="35.1" customHeight="1">
      <c r="B58" s="1606"/>
      <c r="E58" s="1938"/>
      <c r="G58" s="1930" t="str">
        <f>'NT-VT'!A62</f>
        <v>b1050</v>
      </c>
      <c r="H58" s="1931" t="str">
        <f t="shared" si="12"/>
        <v>nt</v>
      </c>
      <c r="I58" s="1931" t="str">
        <f t="shared" si="13"/>
        <v>nt</v>
      </c>
      <c r="J58" s="1939" t="str">
        <f t="shared" si="14"/>
        <v>nt</v>
      </c>
      <c r="K58" s="1940" t="str">
        <f t="shared" si="15"/>
        <v>nt</v>
      </c>
      <c r="L58" s="1838"/>
      <c r="M58" s="1960" t="str">
        <f t="shared" si="10"/>
        <v/>
      </c>
      <c r="O58" s="1747" t="e">
        <f t="shared" si="11"/>
        <v>#N/A</v>
      </c>
      <c r="P58" s="1747"/>
      <c r="Q58" s="1938"/>
      <c r="R58" s="1203"/>
      <c r="S58" s="1203"/>
      <c r="U58" s="1361"/>
    </row>
    <row r="59" spans="2:24" s="1208" customFormat="1" ht="35.1" customHeight="1">
      <c r="B59" s="1606"/>
      <c r="E59" s="1938"/>
      <c r="G59" s="1930" t="str">
        <f>'NT-VT'!A63</f>
        <v>xAtuti</v>
      </c>
      <c r="H59" s="1931" t="str">
        <f t="shared" si="12"/>
        <v>nt</v>
      </c>
      <c r="I59" s="1931" t="str">
        <f t="shared" si="13"/>
        <v>nt</v>
      </c>
      <c r="J59" s="1939" t="str">
        <f t="shared" si="14"/>
        <v>nt</v>
      </c>
      <c r="K59" s="1940" t="str">
        <f t="shared" si="15"/>
        <v>nt</v>
      </c>
      <c r="L59" s="1838"/>
      <c r="M59" s="1960" t="str">
        <f t="shared" si="10"/>
        <v/>
      </c>
      <c r="O59" s="1747" t="e">
        <f t="shared" si="11"/>
        <v>#N/A</v>
      </c>
      <c r="P59" s="1747"/>
      <c r="Q59" s="1938"/>
      <c r="R59" s="1203"/>
      <c r="S59" s="1203"/>
      <c r="U59" s="1361"/>
    </row>
    <row r="60" spans="2:24" s="1208" customFormat="1" ht="35.1" customHeight="1">
      <c r="B60" s="1606"/>
      <c r="E60" s="1938"/>
      <c r="G60" s="1930" t="str">
        <f>'NT-VT'!A64</f>
        <v>COS4</v>
      </c>
      <c r="H60" s="1931" t="str">
        <f t="shared" si="12"/>
        <v>nt</v>
      </c>
      <c r="I60" s="1931" t="str">
        <f t="shared" si="13"/>
        <v>nt</v>
      </c>
      <c r="J60" s="1939" t="str">
        <f t="shared" si="14"/>
        <v>nt</v>
      </c>
      <c r="K60" s="1940" t="str">
        <f t="shared" si="15"/>
        <v>nt</v>
      </c>
      <c r="L60" s="1838"/>
      <c r="M60" s="1960" t="str">
        <f t="shared" si="10"/>
        <v/>
      </c>
      <c r="O60" s="1747" t="e">
        <f t="shared" si="11"/>
        <v>#N/A</v>
      </c>
      <c r="P60" s="1747"/>
      <c r="Q60" s="1938"/>
      <c r="R60" s="1203"/>
      <c r="S60" s="1203"/>
      <c r="U60" s="1361"/>
    </row>
    <row r="61" spans="2:24" s="1208" customFormat="1" ht="35.1" customHeight="1">
      <c r="B61" s="1606"/>
      <c r="E61" s="1938"/>
      <c r="G61" s="1930" t="str">
        <f>'NT-VT'!A65</f>
        <v>PVC60</v>
      </c>
      <c r="H61" s="1931" t="str">
        <f t="shared" si="12"/>
        <v>nt</v>
      </c>
      <c r="I61" s="1931" t="str">
        <f t="shared" si="13"/>
        <v>nt</v>
      </c>
      <c r="J61" s="1939" t="str">
        <f t="shared" si="14"/>
        <v>nt</v>
      </c>
      <c r="K61" s="1940" t="str">
        <f t="shared" si="15"/>
        <v>nt</v>
      </c>
      <c r="L61" s="1838"/>
      <c r="M61" s="1960" t="str">
        <f t="shared" si="10"/>
        <v/>
      </c>
      <c r="O61" s="1747" t="e">
        <f t="shared" si="11"/>
        <v>#N/A</v>
      </c>
      <c r="P61" s="1747"/>
      <c r="Q61" s="1938"/>
      <c r="R61" s="1203"/>
      <c r="S61" s="1203"/>
      <c r="U61" s="1361"/>
    </row>
    <row r="62" spans="2:24" s="1208" customFormat="1" ht="35.1" customHeight="1">
      <c r="B62" s="1606"/>
      <c r="E62" s="1938"/>
      <c r="G62" s="1930" t="str">
        <f>'NT-VT'!A66</f>
        <v>CD60</v>
      </c>
      <c r="H62" s="1931" t="str">
        <f t="shared" si="12"/>
        <v>nt</v>
      </c>
      <c r="I62" s="1931" t="str">
        <f t="shared" si="13"/>
        <v>nt</v>
      </c>
      <c r="J62" s="1939" t="str">
        <f t="shared" si="14"/>
        <v>nt</v>
      </c>
      <c r="K62" s="1940" t="str">
        <f t="shared" si="15"/>
        <v>nt</v>
      </c>
      <c r="L62" s="1838"/>
      <c r="M62" s="1960" t="str">
        <f t="shared" si="10"/>
        <v/>
      </c>
      <c r="O62" s="1747" t="e">
        <f t="shared" si="11"/>
        <v>#N/A</v>
      </c>
      <c r="P62" s="1747"/>
      <c r="Q62" s="1938"/>
      <c r="R62" s="1203"/>
      <c r="S62" s="1203"/>
      <c r="U62" s="1361"/>
    </row>
    <row r="63" spans="2:24" s="1208" customFormat="1" ht="35.1" customHeight="1">
      <c r="B63" s="1606"/>
      <c r="E63" s="1938"/>
      <c r="G63" s="1930" t="str">
        <f>'NT-VT'!A67</f>
        <v>CUT60</v>
      </c>
      <c r="H63" s="1931" t="str">
        <f t="shared" si="12"/>
        <v>nt</v>
      </c>
      <c r="I63" s="1931" t="str">
        <f t="shared" si="13"/>
        <v>nt</v>
      </c>
      <c r="J63" s="1939" t="str">
        <f t="shared" si="14"/>
        <v>nt</v>
      </c>
      <c r="K63" s="1940" t="str">
        <f t="shared" si="15"/>
        <v>nt</v>
      </c>
      <c r="L63" s="1838"/>
      <c r="M63" s="1960" t="str">
        <f t="shared" si="10"/>
        <v/>
      </c>
      <c r="O63" s="1747" t="e">
        <f t="shared" si="11"/>
        <v>#N/A</v>
      </c>
      <c r="P63" s="1747"/>
      <c r="Q63" s="1938"/>
      <c r="R63" s="1203"/>
      <c r="S63" s="1203"/>
      <c r="U63" s="1361"/>
    </row>
    <row r="64" spans="2:24" s="1208" customFormat="1" ht="35.1" customHeight="1">
      <c r="B64" s="1606"/>
      <c r="E64" s="1938"/>
      <c r="G64" s="1930" t="str">
        <f>'NT-VT'!A68</f>
        <v>Noi60</v>
      </c>
      <c r="H64" s="1931" t="str">
        <f t="shared" si="12"/>
        <v>nt</v>
      </c>
      <c r="I64" s="1931" t="str">
        <f t="shared" si="13"/>
        <v>nt</v>
      </c>
      <c r="J64" s="1939" t="str">
        <f t="shared" si="14"/>
        <v>nt</v>
      </c>
      <c r="K64" s="1940" t="str">
        <f t="shared" si="15"/>
        <v>nt</v>
      </c>
      <c r="L64" s="1838"/>
      <c r="M64" s="1960" t="str">
        <f t="shared" si="10"/>
        <v/>
      </c>
      <c r="O64" s="1747" t="e">
        <f t="shared" si="11"/>
        <v>#N/A</v>
      </c>
      <c r="P64" s="1747"/>
      <c r="Q64" s="1938"/>
      <c r="R64" s="1203"/>
      <c r="S64" s="1203"/>
      <c r="U64" s="1361"/>
    </row>
    <row r="65" spans="2:21" s="1208" customFormat="1" ht="35.1" customHeight="1">
      <c r="B65" s="1606"/>
      <c r="E65" s="1938"/>
      <c r="G65" s="1930" t="str">
        <f>'NT-VT'!A69</f>
        <v>KEO</v>
      </c>
      <c r="H65" s="1931" t="str">
        <f t="shared" si="12"/>
        <v>nt</v>
      </c>
      <c r="I65" s="1931" t="str">
        <f t="shared" si="13"/>
        <v>nt</v>
      </c>
      <c r="J65" s="1939" t="str">
        <f t="shared" si="14"/>
        <v>nt</v>
      </c>
      <c r="K65" s="1940" t="str">
        <f t="shared" si="15"/>
        <v>nt</v>
      </c>
      <c r="L65" s="1838"/>
      <c r="M65" s="1960" t="str">
        <f t="shared" si="10"/>
        <v/>
      </c>
      <c r="O65" s="1747" t="e">
        <f t="shared" si="11"/>
        <v>#N/A</v>
      </c>
      <c r="P65" s="1747"/>
      <c r="Q65" s="1938"/>
      <c r="R65" s="1203"/>
      <c r="S65" s="1203"/>
      <c r="U65" s="1361"/>
    </row>
    <row r="66" spans="2:21" s="1208" customFormat="1" ht="35.1" customHeight="1">
      <c r="B66" s="1606"/>
      <c r="E66" s="1938"/>
      <c r="G66" s="1930" t="str">
        <f>'NT-VT'!A70</f>
        <v>KVRT60</v>
      </c>
      <c r="H66" s="1931" t="str">
        <f t="shared" si="12"/>
        <v>nt</v>
      </c>
      <c r="I66" s="1931" t="str">
        <f t="shared" si="13"/>
        <v>nt</v>
      </c>
      <c r="J66" s="1939" t="str">
        <f t="shared" si="14"/>
        <v>nt</v>
      </c>
      <c r="K66" s="1940" t="str">
        <f t="shared" si="15"/>
        <v>nt</v>
      </c>
      <c r="L66" s="1838"/>
      <c r="M66" s="1960" t="str">
        <f t="shared" si="10"/>
        <v/>
      </c>
      <c r="O66" s="1747" t="e">
        <f t="shared" si="11"/>
        <v>#N/A</v>
      </c>
      <c r="P66" s="1747"/>
      <c r="Q66" s="1938"/>
      <c r="R66" s="1203"/>
      <c r="S66" s="1203"/>
      <c r="U66" s="1361"/>
    </row>
    <row r="67" spans="2:21" s="1208" customFormat="1" ht="35.1" customHeight="1">
      <c r="B67" s="1606"/>
      <c r="E67" s="1938"/>
      <c r="G67" s="1930" t="str">
        <f>'NT-VT'!A71</f>
        <v>KVRN60</v>
      </c>
      <c r="H67" s="1931" t="str">
        <f t="shared" si="12"/>
        <v>nt</v>
      </c>
      <c r="I67" s="1931" t="str">
        <f t="shared" si="13"/>
        <v>nt</v>
      </c>
      <c r="J67" s="1939" t="str">
        <f t="shared" si="14"/>
        <v>nt</v>
      </c>
      <c r="K67" s="1940" t="str">
        <f t="shared" si="15"/>
        <v>nt</v>
      </c>
      <c r="L67" s="1838"/>
      <c r="M67" s="1960" t="str">
        <f t="shared" ref="M67:M98" si="16">IF(N67&gt;0,$P$1,IFERROR(VLOOKUP(G67,Q:U,5,0),""))</f>
        <v/>
      </c>
      <c r="O67" s="1747" t="e">
        <f t="shared" ref="O67:O83" si="17">VLOOKUP(G67,Q:X,8,0)</f>
        <v>#N/A</v>
      </c>
      <c r="P67" s="1747"/>
      <c r="Q67" s="1938"/>
      <c r="R67" s="1203"/>
      <c r="S67" s="1203"/>
      <c r="U67" s="1361"/>
    </row>
    <row r="68" spans="2:21" s="1208" customFormat="1" ht="35.1" customHeight="1">
      <c r="B68" s="1606"/>
      <c r="E68" s="1938"/>
      <c r="G68" s="1930" t="str">
        <f>'NT-VT'!A72</f>
        <v>CD320</v>
      </c>
      <c r="H68" s="1931" t="str">
        <f t="shared" si="12"/>
        <v>nt</v>
      </c>
      <c r="I68" s="1931" t="str">
        <f t="shared" si="13"/>
        <v>nt</v>
      </c>
      <c r="J68" s="1939" t="str">
        <f t="shared" si="14"/>
        <v>nt</v>
      </c>
      <c r="K68" s="1940" t="str">
        <f t="shared" si="15"/>
        <v>nt</v>
      </c>
      <c r="L68" s="1838"/>
      <c r="M68" s="1960" t="str">
        <f t="shared" si="16"/>
        <v/>
      </c>
      <c r="O68" s="1747" t="e">
        <f t="shared" si="17"/>
        <v>#N/A</v>
      </c>
      <c r="P68" s="1747"/>
      <c r="Q68" s="1938"/>
      <c r="R68" s="1203"/>
      <c r="S68" s="1203"/>
      <c r="U68" s="1361"/>
    </row>
    <row r="69" spans="2:21" s="1208" customFormat="1" ht="35.1" customHeight="1">
      <c r="B69" s="1606"/>
      <c r="E69" s="1938"/>
      <c r="G69" s="1930" t="str">
        <f>'NT-VT'!A73</f>
        <v>TUDKDT</v>
      </c>
      <c r="H69" s="1931" t="str">
        <f t="shared" si="12"/>
        <v>nt</v>
      </c>
      <c r="I69" s="1931" t="str">
        <f t="shared" si="13"/>
        <v>nt</v>
      </c>
      <c r="J69" s="1939" t="str">
        <f t="shared" si="14"/>
        <v>nt</v>
      </c>
      <c r="K69" s="1940" t="str">
        <f t="shared" si="15"/>
        <v>nt</v>
      </c>
      <c r="L69" s="1838"/>
      <c r="M69" s="1960" t="str">
        <f t="shared" si="16"/>
        <v/>
      </c>
      <c r="O69" s="1747" t="e">
        <f t="shared" si="17"/>
        <v>#N/A</v>
      </c>
      <c r="P69" s="1747"/>
      <c r="Q69" s="1938"/>
      <c r="R69" s="1203"/>
      <c r="S69" s="1203"/>
      <c r="U69" s="1361"/>
    </row>
    <row r="70" spans="2:21" s="1208" customFormat="1" ht="35.1" customHeight="1">
      <c r="B70" s="1606"/>
      <c r="E70" s="1938"/>
      <c r="G70" s="1930" t="str">
        <f>'NT-VT'!A74</f>
        <v>M5M</v>
      </c>
      <c r="H70" s="1931" t="str">
        <f t="shared" si="12"/>
        <v>nt</v>
      </c>
      <c r="I70" s="1931" t="str">
        <f t="shared" si="13"/>
        <v>nt</v>
      </c>
      <c r="J70" s="1939" t="str">
        <f t="shared" si="14"/>
        <v>nt</v>
      </c>
      <c r="K70" s="1940" t="str">
        <f t="shared" si="15"/>
        <v>nt</v>
      </c>
      <c r="L70" s="1838"/>
      <c r="M70" s="1960" t="str">
        <f t="shared" si="16"/>
        <v/>
      </c>
      <c r="O70" s="1747" t="e">
        <f t="shared" si="17"/>
        <v>#N/A</v>
      </c>
      <c r="P70" s="1747"/>
      <c r="Q70" s="1938"/>
      <c r="R70" s="1203"/>
      <c r="S70" s="1203"/>
      <c r="U70" s="1361"/>
    </row>
    <row r="71" spans="2:21" s="1208" customFormat="1" ht="35.1" customHeight="1">
      <c r="B71" s="1606"/>
      <c r="E71" s="1938"/>
      <c r="G71" s="1930" t="str">
        <f>'NT-VT'!A75</f>
        <v>B16650v</v>
      </c>
      <c r="H71" s="1931" t="str">
        <f t="shared" ref="H71:H102" si="18">IFERROR(VLOOKUP(G71,$Q:$U,2,0),"nt")</f>
        <v>nt</v>
      </c>
      <c r="I71" s="1931" t="str">
        <f t="shared" si="13"/>
        <v>nt</v>
      </c>
      <c r="J71" s="1939" t="str">
        <f t="shared" si="14"/>
        <v>nt</v>
      </c>
      <c r="K71" s="1940" t="str">
        <f t="shared" si="15"/>
        <v>nt</v>
      </c>
      <c r="L71" s="1838"/>
      <c r="M71" s="1960" t="str">
        <f t="shared" si="16"/>
        <v/>
      </c>
      <c r="O71" s="1747" t="e">
        <f t="shared" si="17"/>
        <v>#N/A</v>
      </c>
      <c r="P71" s="1747"/>
      <c r="Q71" s="1938"/>
      <c r="R71" s="1203"/>
      <c r="S71" s="1203"/>
      <c r="U71" s="1361"/>
    </row>
    <row r="72" spans="2:21" s="1208" customFormat="1" ht="35.1" customHeight="1">
      <c r="B72" s="1606"/>
      <c r="E72" s="1938"/>
      <c r="G72" s="1930" t="str">
        <f>'NT-VT'!A76</f>
        <v>B16750v</v>
      </c>
      <c r="H72" s="1931" t="str">
        <f t="shared" si="18"/>
        <v>nt</v>
      </c>
      <c r="I72" s="1931" t="str">
        <f t="shared" si="13"/>
        <v>nt</v>
      </c>
      <c r="J72" s="1939" t="str">
        <f t="shared" si="14"/>
        <v>nt</v>
      </c>
      <c r="K72" s="1940" t="str">
        <f t="shared" si="15"/>
        <v>nt</v>
      </c>
      <c r="L72" s="1838"/>
      <c r="M72" s="1960" t="str">
        <f t="shared" si="16"/>
        <v/>
      </c>
      <c r="O72" s="1747" t="e">
        <f t="shared" si="17"/>
        <v>#N/A</v>
      </c>
      <c r="P72" s="1747"/>
      <c r="Q72" s="1938"/>
      <c r="R72" s="1203"/>
      <c r="S72" s="1203"/>
      <c r="U72" s="1361"/>
    </row>
    <row r="73" spans="2:21" s="1208" customFormat="1" ht="35.1" customHeight="1">
      <c r="B73" s="1606"/>
      <c r="E73" s="1938"/>
      <c r="G73" s="1930" t="str">
        <f>'NT-VT'!A77</f>
        <v>Ke185</v>
      </c>
      <c r="H73" s="1931" t="str">
        <f t="shared" si="18"/>
        <v>nt</v>
      </c>
      <c r="I73" s="1931" t="str">
        <f t="shared" ref="I73:I104" si="19">IFERROR(VLOOKUP(G73,$Q:$U,3,0),"nt")</f>
        <v>nt</v>
      </c>
      <c r="J73" s="1939" t="str">
        <f t="shared" si="14"/>
        <v>nt</v>
      </c>
      <c r="K73" s="1940" t="str">
        <f t="shared" si="15"/>
        <v>nt</v>
      </c>
      <c r="L73" s="1838"/>
      <c r="M73" s="1960" t="str">
        <f t="shared" si="16"/>
        <v/>
      </c>
      <c r="O73" s="1747" t="e">
        <f t="shared" si="17"/>
        <v>#N/A</v>
      </c>
      <c r="P73" s="1747"/>
      <c r="Q73" s="1938"/>
      <c r="R73" s="1203"/>
      <c r="S73" s="1203"/>
      <c r="U73" s="1361"/>
    </row>
    <row r="74" spans="2:21" s="1208" customFormat="1" ht="35.1" customHeight="1">
      <c r="B74" s="1606"/>
      <c r="E74" s="1938"/>
      <c r="G74" s="1930" t="str">
        <f>'NT-VT'!A78</f>
        <v>SL75-2200</v>
      </c>
      <c r="H74" s="1931" t="str">
        <f t="shared" si="18"/>
        <v>nt</v>
      </c>
      <c r="I74" s="1931" t="str">
        <f t="shared" si="19"/>
        <v>nt</v>
      </c>
      <c r="J74" s="1939" t="str">
        <f t="shared" si="14"/>
        <v>nt</v>
      </c>
      <c r="K74" s="1940" t="str">
        <f t="shared" si="15"/>
        <v>nt</v>
      </c>
      <c r="L74" s="1838"/>
      <c r="M74" s="1960" t="str">
        <f t="shared" si="16"/>
        <v/>
      </c>
      <c r="O74" s="1747" t="e">
        <f t="shared" si="17"/>
        <v>#N/A</v>
      </c>
      <c r="P74" s="1747"/>
      <c r="Q74" s="1938"/>
      <c r="R74" s="1203"/>
      <c r="S74" s="1203"/>
      <c r="U74" s="1361"/>
    </row>
    <row r="75" spans="2:21" s="1208" customFormat="1" ht="35.1" customHeight="1">
      <c r="B75" s="1606"/>
      <c r="E75" s="1938"/>
      <c r="G75" s="1930" t="str">
        <f>'NT-VT'!A79</f>
        <v>SL50-810</v>
      </c>
      <c r="H75" s="1931" t="str">
        <f t="shared" si="18"/>
        <v>nt</v>
      </c>
      <c r="I75" s="1931" t="str">
        <f t="shared" si="19"/>
        <v>nt</v>
      </c>
      <c r="J75" s="1939" t="str">
        <f t="shared" si="14"/>
        <v>nt</v>
      </c>
      <c r="K75" s="1940" t="str">
        <f t="shared" si="15"/>
        <v>nt</v>
      </c>
      <c r="L75" s="1838"/>
      <c r="M75" s="1960" t="str">
        <f t="shared" si="16"/>
        <v/>
      </c>
      <c r="O75" s="1747" t="e">
        <f t="shared" si="17"/>
        <v>#N/A</v>
      </c>
      <c r="P75" s="1747"/>
      <c r="Q75" s="1938"/>
      <c r="R75" s="1203"/>
      <c r="S75" s="1203"/>
      <c r="U75" s="1361"/>
    </row>
    <row r="76" spans="2:21" s="1208" customFormat="1" ht="35.1" customHeight="1">
      <c r="B76" s="1606"/>
      <c r="E76" s="1938"/>
      <c r="G76" s="1930" t="str">
        <f>'NT-VT'!A80</f>
        <v>B16500</v>
      </c>
      <c r="H76" s="1931" t="str">
        <f t="shared" si="18"/>
        <v>nt</v>
      </c>
      <c r="I76" s="1931" t="str">
        <f t="shared" si="19"/>
        <v>nt</v>
      </c>
      <c r="J76" s="1939" t="str">
        <f t="shared" si="14"/>
        <v>nt</v>
      </c>
      <c r="K76" s="1940" t="str">
        <f t="shared" si="15"/>
        <v>nt</v>
      </c>
      <c r="L76" s="1838"/>
      <c r="M76" s="1960" t="str">
        <f t="shared" si="16"/>
        <v/>
      </c>
      <c r="O76" s="1747" t="e">
        <f t="shared" si="17"/>
        <v>#N/A</v>
      </c>
      <c r="P76" s="1747"/>
      <c r="Q76" s="1938"/>
      <c r="R76" s="1203"/>
      <c r="S76" s="1203"/>
      <c r="U76" s="1361"/>
    </row>
    <row r="77" spans="2:21" s="1208" customFormat="1" ht="35.1" customHeight="1">
      <c r="B77" s="1606"/>
      <c r="E77" s="1938"/>
      <c r="G77" s="1930" t="str">
        <f>'NT-VT'!A81</f>
        <v>B16600</v>
      </c>
      <c r="H77" s="1931" t="str">
        <f t="shared" si="18"/>
        <v>nt</v>
      </c>
      <c r="I77" s="1931" t="str">
        <f t="shared" si="19"/>
        <v>nt</v>
      </c>
      <c r="J77" s="1939" t="str">
        <f t="shared" si="14"/>
        <v>nt</v>
      </c>
      <c r="K77" s="1940" t="str">
        <f t="shared" si="15"/>
        <v>nt</v>
      </c>
      <c r="L77" s="1838"/>
      <c r="M77" s="1960" t="str">
        <f t="shared" si="16"/>
        <v/>
      </c>
      <c r="O77" s="1747" t="e">
        <f t="shared" si="17"/>
        <v>#N/A</v>
      </c>
      <c r="P77" s="1747"/>
      <c r="Q77" s="1938"/>
      <c r="R77" s="1203"/>
      <c r="S77" s="1203"/>
      <c r="U77" s="1361"/>
    </row>
    <row r="78" spans="2:21" s="1208" customFormat="1" ht="35.1" customHeight="1">
      <c r="B78" s="1606"/>
      <c r="E78" s="1938"/>
      <c r="G78" s="1930" t="str">
        <f>'NT-VT'!A82</f>
        <v>B16550v</v>
      </c>
      <c r="H78" s="1931" t="str">
        <f t="shared" si="18"/>
        <v>nt</v>
      </c>
      <c r="I78" s="1931" t="str">
        <f t="shared" si="19"/>
        <v>nt</v>
      </c>
      <c r="J78" s="1939" t="str">
        <f t="shared" si="14"/>
        <v>nt</v>
      </c>
      <c r="K78" s="1940" t="str">
        <f t="shared" si="15"/>
        <v>nt</v>
      </c>
      <c r="L78" s="1838"/>
      <c r="M78" s="1960" t="str">
        <f t="shared" si="16"/>
        <v/>
      </c>
      <c r="O78" s="1747" t="e">
        <f t="shared" si="17"/>
        <v>#N/A</v>
      </c>
      <c r="P78" s="1747"/>
      <c r="Q78" s="1938"/>
      <c r="R78" s="1203"/>
      <c r="S78" s="1203"/>
      <c r="U78" s="1361"/>
    </row>
    <row r="79" spans="2:21" s="1208" customFormat="1" ht="35.1" customHeight="1">
      <c r="B79" s="1606"/>
      <c r="E79" s="1938"/>
      <c r="G79" s="1930" t="str">
        <f>'NT-VT'!A83</f>
        <v>SL75-2100</v>
      </c>
      <c r="H79" s="1931" t="str">
        <f t="shared" si="18"/>
        <v>nt</v>
      </c>
      <c r="I79" s="1931" t="str">
        <f t="shared" si="19"/>
        <v>nt</v>
      </c>
      <c r="J79" s="1939" t="str">
        <f t="shared" si="14"/>
        <v>nt</v>
      </c>
      <c r="K79" s="1940" t="str">
        <f t="shared" si="15"/>
        <v>nt</v>
      </c>
      <c r="L79" s="1838"/>
      <c r="M79" s="1960" t="str">
        <f t="shared" si="16"/>
        <v/>
      </c>
      <c r="O79" s="1747" t="e">
        <f t="shared" si="17"/>
        <v>#N/A</v>
      </c>
      <c r="P79" s="1747"/>
      <c r="Q79" s="1938"/>
      <c r="R79" s="1203"/>
      <c r="S79" s="1203"/>
      <c r="U79" s="1361"/>
    </row>
    <row r="80" spans="2:21" s="1208" customFormat="1" ht="35.1" customHeight="1">
      <c r="B80" s="1606"/>
      <c r="E80" s="1938"/>
      <c r="G80" s="1930" t="str">
        <f>'NT-VT'!A84</f>
        <v>SL50-1190</v>
      </c>
      <c r="H80" s="1931" t="str">
        <f t="shared" si="18"/>
        <v>nt</v>
      </c>
      <c r="I80" s="1931" t="str">
        <f t="shared" si="19"/>
        <v>nt</v>
      </c>
      <c r="J80" s="1939" t="str">
        <f t="shared" si="14"/>
        <v>nt</v>
      </c>
      <c r="K80" s="1940" t="str">
        <f t="shared" si="15"/>
        <v>nt</v>
      </c>
      <c r="L80" s="1838"/>
      <c r="M80" s="1960" t="str">
        <f t="shared" si="16"/>
        <v/>
      </c>
      <c r="O80" s="1747" t="e">
        <f t="shared" si="17"/>
        <v>#N/A</v>
      </c>
      <c r="P80" s="1747"/>
      <c r="Q80" s="1938"/>
      <c r="R80" s="1203"/>
      <c r="S80" s="1203"/>
      <c r="U80" s="1361"/>
    </row>
    <row r="81" spans="2:21" s="1208" customFormat="1" ht="35.1" customHeight="1">
      <c r="B81" s="1606"/>
      <c r="E81" s="1938"/>
      <c r="G81" s="1930" t="str">
        <f>'NT-VT'!A85</f>
        <v>B1635</v>
      </c>
      <c r="H81" s="1931" t="str">
        <f t="shared" si="18"/>
        <v>nt</v>
      </c>
      <c r="I81" s="1931" t="str">
        <f t="shared" si="19"/>
        <v>nt</v>
      </c>
      <c r="J81" s="1939" t="str">
        <f t="shared" si="14"/>
        <v>nt</v>
      </c>
      <c r="K81" s="1940" t="str">
        <f t="shared" si="15"/>
        <v>nt</v>
      </c>
      <c r="L81" s="1838"/>
      <c r="M81" s="1960" t="str">
        <f t="shared" si="16"/>
        <v/>
      </c>
      <c r="O81" s="1747" t="e">
        <f t="shared" si="17"/>
        <v>#N/A</v>
      </c>
      <c r="P81" s="1747"/>
      <c r="Q81" s="1938"/>
      <c r="R81" s="1203"/>
      <c r="S81" s="1203"/>
      <c r="U81" s="1361"/>
    </row>
    <row r="82" spans="2:21" s="1208" customFormat="1" ht="35.1" customHeight="1">
      <c r="B82" s="1606"/>
      <c r="E82" s="1938"/>
      <c r="G82" s="1930" t="str">
        <f>'NT-VT'!A86</f>
        <v>com800</v>
      </c>
      <c r="H82" s="1931" t="str">
        <f t="shared" si="18"/>
        <v>nt</v>
      </c>
      <c r="I82" s="1931" t="str">
        <f t="shared" si="19"/>
        <v>nt</v>
      </c>
      <c r="J82" s="1939" t="str">
        <f t="shared" si="14"/>
        <v>nt</v>
      </c>
      <c r="K82" s="1940" t="str">
        <f t="shared" si="15"/>
        <v>nt</v>
      </c>
      <c r="L82" s="1838"/>
      <c r="M82" s="1960" t="str">
        <f t="shared" si="16"/>
        <v/>
      </c>
      <c r="O82" s="1747" t="e">
        <f t="shared" si="17"/>
        <v>#N/A</v>
      </c>
      <c r="P82" s="1747"/>
      <c r="Q82" s="1938"/>
      <c r="R82" s="1203"/>
      <c r="S82" s="1203"/>
      <c r="U82" s="1361"/>
    </row>
    <row r="83" spans="2:21" s="1208" customFormat="1" ht="35.1" customHeight="1">
      <c r="B83" s="1606"/>
      <c r="E83" s="1938"/>
      <c r="G83" s="1930" t="str">
        <f>'NT-VT'!A87</f>
        <v>B16150</v>
      </c>
      <c r="H83" s="1931" t="str">
        <f t="shared" si="18"/>
        <v>nt</v>
      </c>
      <c r="I83" s="1931" t="str">
        <f t="shared" si="19"/>
        <v>nt</v>
      </c>
      <c r="J83" s="1939" t="str">
        <f t="shared" si="14"/>
        <v>nt</v>
      </c>
      <c r="K83" s="1940" t="str">
        <f t="shared" si="15"/>
        <v>nt</v>
      </c>
      <c r="L83" s="1838"/>
      <c r="M83" s="1960" t="str">
        <f t="shared" si="16"/>
        <v/>
      </c>
      <c r="O83" s="1747" t="e">
        <f t="shared" si="17"/>
        <v>#N/A</v>
      </c>
      <c r="P83" s="1747"/>
      <c r="Q83" s="1938"/>
      <c r="R83" s="1203"/>
      <c r="S83" s="1203"/>
      <c r="U83" s="1361"/>
    </row>
    <row r="84" spans="2:21" s="1208" customFormat="1" ht="35.1" customHeight="1">
      <c r="B84" s="1606"/>
      <c r="E84" s="1938"/>
      <c r="G84" s="1930" t="str">
        <f>'NT-VT'!A88</f>
        <v>B16400</v>
      </c>
      <c r="H84" s="1931" t="str">
        <f t="shared" si="18"/>
        <v>nt</v>
      </c>
      <c r="I84" s="1931" t="str">
        <f t="shared" si="19"/>
        <v>nt</v>
      </c>
      <c r="J84" s="1939" t="str">
        <f t="shared" si="14"/>
        <v>nt</v>
      </c>
      <c r="K84" s="1940" t="str">
        <f t="shared" si="15"/>
        <v>nt</v>
      </c>
      <c r="L84" s="1838"/>
      <c r="M84" s="1960" t="str">
        <f t="shared" si="16"/>
        <v/>
      </c>
      <c r="O84" s="1747"/>
      <c r="P84" s="1747"/>
      <c r="Q84" s="1938"/>
      <c r="R84" s="1203"/>
      <c r="S84" s="1203"/>
      <c r="U84" s="1361"/>
    </row>
    <row r="85" spans="2:21" s="1208" customFormat="1" ht="35.1" customHeight="1">
      <c r="B85" s="1606"/>
      <c r="E85" s="1938"/>
      <c r="G85" s="1930" t="str">
        <f>'NT-VT'!A89</f>
        <v>R1</v>
      </c>
      <c r="H85" s="1931" t="str">
        <f t="shared" si="18"/>
        <v>nt</v>
      </c>
      <c r="I85" s="1931" t="str">
        <f t="shared" si="19"/>
        <v>nt</v>
      </c>
      <c r="J85" s="1939" t="str">
        <f t="shared" si="14"/>
        <v>nt</v>
      </c>
      <c r="K85" s="1940" t="str">
        <f t="shared" si="15"/>
        <v>nt</v>
      </c>
      <c r="L85" s="1838"/>
      <c r="M85" s="1960" t="str">
        <f t="shared" si="16"/>
        <v/>
      </c>
      <c r="O85" s="1747"/>
      <c r="P85" s="1747"/>
      <c r="Q85" s="1938"/>
      <c r="R85" s="1203"/>
      <c r="S85" s="1203"/>
      <c r="U85" s="1361"/>
    </row>
    <row r="86" spans="2:21" s="1208" customFormat="1" ht="35.1" customHeight="1">
      <c r="B86" s="1606"/>
      <c r="E86" s="1938"/>
      <c r="G86" s="1930" t="str">
        <f>'NT-VT'!A90</f>
        <v>kn50</v>
      </c>
      <c r="H86" s="1931" t="str">
        <f t="shared" si="18"/>
        <v>nt</v>
      </c>
      <c r="I86" s="1931" t="str">
        <f t="shared" si="19"/>
        <v>nt</v>
      </c>
      <c r="J86" s="1939" t="str">
        <f t="shared" ref="J86:J117" si="20">IFERROR(VLOOKUP(G86,$Q:$U,4,0),"nt")</f>
        <v>nt</v>
      </c>
      <c r="K86" s="1940" t="str">
        <f t="shared" ref="K86:K117" si="21">IFERROR(VLOOKUP(G86,$Q:$U,5,0),"nt")</f>
        <v>nt</v>
      </c>
      <c r="L86" s="1838"/>
      <c r="M86" s="1960" t="str">
        <f t="shared" si="16"/>
        <v/>
      </c>
      <c r="O86" s="1747"/>
      <c r="P86" s="1747"/>
      <c r="Q86" s="1938"/>
      <c r="R86" s="1203"/>
      <c r="S86" s="1203"/>
      <c r="U86" s="1361"/>
    </row>
    <row r="87" spans="2:21" s="1208" customFormat="1" ht="35.1" customHeight="1">
      <c r="B87" s="1606"/>
      <c r="E87" s="1938"/>
      <c r="G87" s="1930" t="str">
        <f>'NT-VT'!A91</f>
        <v>BM16300</v>
      </c>
      <c r="H87" s="1931" t="str">
        <f t="shared" si="18"/>
        <v>nt</v>
      </c>
      <c r="I87" s="1931" t="str">
        <f t="shared" si="19"/>
        <v>nt</v>
      </c>
      <c r="J87" s="1939" t="str">
        <f t="shared" si="20"/>
        <v>nt</v>
      </c>
      <c r="K87" s="1940" t="str">
        <f t="shared" si="21"/>
        <v>nt</v>
      </c>
      <c r="L87" s="1838"/>
      <c r="M87" s="1960" t="str">
        <f t="shared" si="16"/>
        <v/>
      </c>
      <c r="O87" s="1747"/>
      <c r="P87" s="1747"/>
      <c r="Q87" s="1938"/>
      <c r="R87" s="1203"/>
      <c r="S87" s="1203"/>
      <c r="U87" s="1361"/>
    </row>
    <row r="88" spans="2:21" s="1208" customFormat="1" ht="35.1" customHeight="1">
      <c r="B88" s="1606"/>
      <c r="E88" s="1938"/>
      <c r="G88" s="1930" t="str">
        <f>'NT-VT'!A92</f>
        <v>kn70</v>
      </c>
      <c r="H88" s="1931" t="str">
        <f t="shared" si="18"/>
        <v>nt</v>
      </c>
      <c r="I88" s="1931" t="str">
        <f t="shared" si="19"/>
        <v>nt</v>
      </c>
      <c r="J88" s="1939" t="str">
        <f t="shared" si="20"/>
        <v>nt</v>
      </c>
      <c r="K88" s="1940" t="str">
        <f t="shared" si="21"/>
        <v>nt</v>
      </c>
      <c r="L88" s="1838"/>
      <c r="M88" s="1960" t="str">
        <f t="shared" si="16"/>
        <v/>
      </c>
      <c r="O88" s="1747"/>
      <c r="P88" s="1747"/>
      <c r="Q88" s="1938"/>
      <c r="R88" s="1203"/>
      <c r="S88" s="1203"/>
      <c r="U88" s="1361"/>
    </row>
    <row r="89" spans="2:21" s="1208" customFormat="1" ht="35.1" customHeight="1">
      <c r="B89" s="1606"/>
      <c r="E89" s="1938"/>
      <c r="G89" s="1930" t="str">
        <f>'NT-VT'!A93</f>
        <v>BM16550</v>
      </c>
      <c r="H89" s="1931" t="str">
        <f t="shared" si="18"/>
        <v>nt</v>
      </c>
      <c r="I89" s="1931" t="str">
        <f t="shared" si="19"/>
        <v>nt</v>
      </c>
      <c r="J89" s="1939" t="str">
        <f t="shared" si="20"/>
        <v>nt</v>
      </c>
      <c r="K89" s="1940" t="str">
        <f t="shared" si="21"/>
        <v>nt</v>
      </c>
      <c r="L89" s="1838"/>
      <c r="M89" s="1960" t="str">
        <f t="shared" si="16"/>
        <v/>
      </c>
      <c r="O89" s="1747"/>
      <c r="P89" s="1747"/>
      <c r="Q89" s="1938"/>
      <c r="R89" s="1203"/>
      <c r="S89" s="1203"/>
      <c r="U89" s="1361"/>
    </row>
    <row r="90" spans="2:21" s="1208" customFormat="1" ht="35.1" customHeight="1">
      <c r="B90" s="1606"/>
      <c r="E90" s="1938"/>
      <c r="G90" s="1930" t="str">
        <f>'NT-VT'!A94</f>
        <v>MT</v>
      </c>
      <c r="H90" s="1931" t="str">
        <f t="shared" si="18"/>
        <v>nt</v>
      </c>
      <c r="I90" s="1931" t="str">
        <f t="shared" si="19"/>
        <v>nt</v>
      </c>
      <c r="J90" s="1939" t="str">
        <f t="shared" si="20"/>
        <v>nt</v>
      </c>
      <c r="K90" s="1940" t="str">
        <f t="shared" si="21"/>
        <v>nt</v>
      </c>
      <c r="L90" s="1838"/>
      <c r="M90" s="1960" t="str">
        <f t="shared" si="16"/>
        <v/>
      </c>
      <c r="O90" s="1747"/>
      <c r="P90" s="1747"/>
      <c r="Q90" s="1938"/>
      <c r="R90" s="1203"/>
      <c r="S90" s="1203"/>
      <c r="U90" s="1361"/>
    </row>
    <row r="91" spans="2:21" s="1208" customFormat="1" ht="35.1" customHeight="1">
      <c r="B91" s="1606"/>
      <c r="E91" s="1938"/>
      <c r="G91" s="1930" t="str">
        <f>'NT-VT'!A95</f>
        <v>GNIU95b</v>
      </c>
      <c r="H91" s="1931" t="str">
        <f t="shared" si="18"/>
        <v>nt</v>
      </c>
      <c r="I91" s="1931" t="str">
        <f t="shared" si="19"/>
        <v>nt</v>
      </c>
      <c r="J91" s="1939" t="str">
        <f t="shared" si="20"/>
        <v>nt</v>
      </c>
      <c r="K91" s="1940" t="str">
        <f t="shared" si="21"/>
        <v>nt</v>
      </c>
      <c r="L91" s="1838"/>
      <c r="M91" s="1960" t="str">
        <f t="shared" si="16"/>
        <v/>
      </c>
      <c r="O91" s="1747"/>
      <c r="P91" s="1747"/>
      <c r="Q91" s="1938"/>
      <c r="R91" s="1203"/>
      <c r="S91" s="1203"/>
      <c r="U91" s="1361"/>
    </row>
    <row r="92" spans="2:21" s="1208" customFormat="1" ht="35.1" customHeight="1">
      <c r="B92" s="1606"/>
      <c r="E92" s="1938"/>
      <c r="G92" s="1930" t="str">
        <f>'NT-VT'!A96</f>
        <v>ssf-50-2</v>
      </c>
      <c r="H92" s="1931" t="str">
        <f t="shared" si="18"/>
        <v>nt</v>
      </c>
      <c r="I92" s="1931" t="str">
        <f t="shared" si="19"/>
        <v>nt</v>
      </c>
      <c r="J92" s="1939" t="str">
        <f t="shared" si="20"/>
        <v>nt</v>
      </c>
      <c r="K92" s="1940" t="str">
        <f t="shared" si="21"/>
        <v>nt</v>
      </c>
      <c r="L92" s="1838"/>
      <c r="M92" s="1960" t="str">
        <f t="shared" si="16"/>
        <v/>
      </c>
      <c r="O92" s="1747"/>
      <c r="P92" s="1747"/>
      <c r="Q92" s="1938"/>
      <c r="R92" s="1203"/>
      <c r="S92" s="1203"/>
      <c r="U92" s="1361"/>
    </row>
    <row r="93" spans="2:21" s="1208" customFormat="1" ht="35.1" customHeight="1">
      <c r="B93" s="1606"/>
      <c r="E93" s="1938"/>
      <c r="G93" s="1930" t="str">
        <f>'NT-VT'!A97</f>
        <v>KQ2/0</v>
      </c>
      <c r="H93" s="1931" t="str">
        <f t="shared" si="18"/>
        <v>nt</v>
      </c>
      <c r="I93" s="1931" t="str">
        <f t="shared" si="19"/>
        <v>nt</v>
      </c>
      <c r="J93" s="1939" t="str">
        <f t="shared" si="20"/>
        <v>nt</v>
      </c>
      <c r="K93" s="1940" t="str">
        <f t="shared" si="21"/>
        <v>nt</v>
      </c>
      <c r="L93" s="1838"/>
      <c r="M93" s="1960" t="str">
        <f t="shared" si="16"/>
        <v/>
      </c>
      <c r="O93" s="1747"/>
      <c r="P93" s="1747"/>
      <c r="Q93" s="1938"/>
      <c r="R93" s="1203"/>
      <c r="S93" s="1203"/>
      <c r="U93" s="1361"/>
    </row>
    <row r="94" spans="2:21" s="1208" customFormat="1" ht="35.1" customHeight="1">
      <c r="B94" s="1606"/>
      <c r="E94" s="1938"/>
      <c r="G94" s="1930" t="str">
        <f>'NT-VT'!A98</f>
        <v>KH2/0</v>
      </c>
      <c r="H94" s="1931" t="str">
        <f t="shared" si="18"/>
        <v>nt</v>
      </c>
      <c r="I94" s="1931" t="str">
        <f t="shared" si="19"/>
        <v>nt</v>
      </c>
      <c r="J94" s="1939" t="str">
        <f t="shared" si="20"/>
        <v>nt</v>
      </c>
      <c r="K94" s="1940" t="str">
        <f t="shared" si="21"/>
        <v>nt</v>
      </c>
      <c r="L94" s="1838"/>
      <c r="M94" s="1960" t="str">
        <f t="shared" si="16"/>
        <v/>
      </c>
      <c r="O94" s="1747"/>
      <c r="P94" s="1747"/>
      <c r="Q94" s="1938"/>
      <c r="R94" s="1203"/>
      <c r="S94" s="1203"/>
      <c r="U94" s="1361"/>
    </row>
    <row r="95" spans="2:21" s="1208" customFormat="1" ht="35.1" customHeight="1">
      <c r="B95" s="1606"/>
      <c r="E95" s="1938"/>
      <c r="G95" s="1930" t="str">
        <f>'NT-VT'!A99</f>
        <v>COSe50</v>
      </c>
      <c r="H95" s="1931" t="str">
        <f t="shared" si="18"/>
        <v>nt</v>
      </c>
      <c r="I95" s="1931" t="str">
        <f t="shared" si="19"/>
        <v>nt</v>
      </c>
      <c r="J95" s="1939" t="str">
        <f t="shared" si="20"/>
        <v>nt</v>
      </c>
      <c r="K95" s="1940" t="str">
        <f t="shared" si="21"/>
        <v>nt</v>
      </c>
      <c r="L95" s="1838"/>
      <c r="M95" s="1960" t="str">
        <f t="shared" si="16"/>
        <v/>
      </c>
      <c r="O95" s="1747"/>
      <c r="P95" s="1747"/>
      <c r="Q95" s="1938"/>
      <c r="R95" s="1203"/>
      <c r="S95" s="1203"/>
      <c r="U95" s="1361"/>
    </row>
    <row r="96" spans="2:21" s="1208" customFormat="1" ht="35.1" customHeight="1">
      <c r="B96" s="1606"/>
      <c r="E96" s="1938"/>
      <c r="G96" s="1930" t="str">
        <f>'NT-VT'!A100</f>
        <v>COS50</v>
      </c>
      <c r="H96" s="1931" t="str">
        <f t="shared" si="18"/>
        <v>nt</v>
      </c>
      <c r="I96" s="1931" t="str">
        <f t="shared" si="19"/>
        <v>nt</v>
      </c>
      <c r="J96" s="1939" t="str">
        <f t="shared" si="20"/>
        <v>nt</v>
      </c>
      <c r="K96" s="1940" t="str">
        <f t="shared" si="21"/>
        <v>nt</v>
      </c>
      <c r="L96" s="1838"/>
      <c r="M96" s="1960" t="str">
        <f t="shared" si="16"/>
        <v/>
      </c>
      <c r="O96" s="1747"/>
      <c r="P96" s="1747"/>
      <c r="Q96" s="1938"/>
      <c r="R96" s="1203"/>
      <c r="S96" s="1203"/>
      <c r="U96" s="1361"/>
    </row>
    <row r="97" spans="2:21" s="1208" customFormat="1" ht="35.1" customHeight="1">
      <c r="B97" s="1606"/>
      <c r="E97" s="1938"/>
      <c r="G97" s="1930" t="str">
        <f>'NT-VT'!A101</f>
        <v>COS25</v>
      </c>
      <c r="H97" s="1931" t="str">
        <f t="shared" si="18"/>
        <v>nt</v>
      </c>
      <c r="I97" s="1931" t="str">
        <f t="shared" si="19"/>
        <v>nt</v>
      </c>
      <c r="J97" s="1939" t="str">
        <f t="shared" si="20"/>
        <v>nt</v>
      </c>
      <c r="K97" s="1940" t="str">
        <f t="shared" si="21"/>
        <v>nt</v>
      </c>
      <c r="L97" s="1838"/>
      <c r="M97" s="1960" t="str">
        <f t="shared" si="16"/>
        <v/>
      </c>
      <c r="O97" s="1747"/>
      <c r="P97" s="1747"/>
      <c r="Q97" s="1938"/>
      <c r="R97" s="1203"/>
      <c r="S97" s="1203"/>
      <c r="U97" s="1361"/>
    </row>
    <row r="98" spans="2:21" s="1208" customFormat="1" ht="35.1" customHeight="1">
      <c r="B98" s="1606"/>
      <c r="E98" s="1938"/>
      <c r="G98" s="1930" t="str">
        <f>'NT-VT'!A102</f>
        <v>OCN</v>
      </c>
      <c r="H98" s="1931" t="str">
        <f t="shared" si="18"/>
        <v>nt</v>
      </c>
      <c r="I98" s="1931" t="str">
        <f t="shared" si="19"/>
        <v>nt</v>
      </c>
      <c r="J98" s="1939" t="str">
        <f t="shared" si="20"/>
        <v>nt</v>
      </c>
      <c r="K98" s="1940" t="str">
        <f t="shared" si="21"/>
        <v>nt</v>
      </c>
      <c r="L98" s="1838"/>
      <c r="M98" s="1960" t="str">
        <f t="shared" si="16"/>
        <v/>
      </c>
      <c r="O98" s="1747"/>
      <c r="P98" s="1747"/>
      <c r="Q98" s="1938"/>
      <c r="R98" s="1203"/>
      <c r="S98" s="1203"/>
      <c r="U98" s="1361"/>
    </row>
    <row r="99" spans="2:21" s="1208" customFormat="1" ht="35.1" customHeight="1">
      <c r="B99" s="1606"/>
      <c r="E99" s="1938"/>
      <c r="G99" s="1930" t="str">
        <f>'NT-VT'!A103</f>
        <v>BANGKEOTT</v>
      </c>
      <c r="H99" s="1931" t="str">
        <f t="shared" si="18"/>
        <v>nt</v>
      </c>
      <c r="I99" s="1931" t="str">
        <f t="shared" si="19"/>
        <v>nt</v>
      </c>
      <c r="J99" s="1939" t="str">
        <f t="shared" si="20"/>
        <v>nt</v>
      </c>
      <c r="K99" s="1940" t="str">
        <f t="shared" si="21"/>
        <v>nt</v>
      </c>
      <c r="L99" s="1838"/>
      <c r="M99" s="1960" t="str">
        <f t="shared" ref="M99:M130" si="22">IF(N99&gt;0,$P$1,IFERROR(VLOOKUP(G99,Q:U,5,0),""))</f>
        <v/>
      </c>
      <c r="O99" s="1747"/>
      <c r="P99" s="1747"/>
      <c r="Q99" s="1938"/>
      <c r="R99" s="1203"/>
      <c r="S99" s="1203"/>
      <c r="U99" s="1361"/>
    </row>
    <row r="100" spans="2:21" s="1208" customFormat="1" ht="35.1" customHeight="1">
      <c r="B100" s="1606"/>
      <c r="E100" s="1938"/>
      <c r="G100" s="1930" t="str">
        <f>'NT-VT'!A104</f>
        <v>batlA</v>
      </c>
      <c r="H100" s="1931" t="str">
        <f t="shared" si="18"/>
        <v>nt</v>
      </c>
      <c r="I100" s="1931" t="str">
        <f t="shared" si="19"/>
        <v>nt</v>
      </c>
      <c r="J100" s="1939" t="str">
        <f t="shared" si="20"/>
        <v>nt</v>
      </c>
      <c r="K100" s="1940" t="str">
        <f t="shared" si="21"/>
        <v>nt</v>
      </c>
      <c r="L100" s="1838"/>
      <c r="M100" s="1960" t="str">
        <f t="shared" si="22"/>
        <v/>
      </c>
      <c r="O100" s="1747"/>
      <c r="P100" s="1747"/>
      <c r="Q100" s="1938"/>
      <c r="R100" s="1203"/>
      <c r="S100" s="1203"/>
      <c r="U100" s="1361"/>
    </row>
    <row r="101" spans="2:21" s="1208" customFormat="1" ht="35.1" customHeight="1">
      <c r="B101" s="1606"/>
      <c r="E101" s="1938"/>
      <c r="G101" s="1930" t="str">
        <f>'NT-VT'!A105</f>
        <v>CHUPKQ</v>
      </c>
      <c r="H101" s="1931" t="str">
        <f t="shared" si="18"/>
        <v>nt</v>
      </c>
      <c r="I101" s="1931" t="str">
        <f t="shared" si="19"/>
        <v>nt</v>
      </c>
      <c r="J101" s="1939" t="str">
        <f t="shared" si="20"/>
        <v>nt</v>
      </c>
      <c r="K101" s="1940" t="str">
        <f t="shared" si="21"/>
        <v>nt</v>
      </c>
      <c r="L101" s="1838"/>
      <c r="M101" s="1960" t="str">
        <f t="shared" si="22"/>
        <v/>
      </c>
      <c r="O101" s="1747"/>
      <c r="P101" s="1747"/>
      <c r="Q101" s="1938"/>
      <c r="R101" s="1203"/>
      <c r="S101" s="1203"/>
      <c r="U101" s="1361"/>
    </row>
    <row r="102" spans="2:21" s="1208" customFormat="1" ht="35.1" customHeight="1">
      <c r="B102" s="1606"/>
      <c r="E102" s="1938"/>
      <c r="G102" s="1930" t="str">
        <f>'NT-VT'!A106</f>
        <v>CHUPLBS</v>
      </c>
      <c r="H102" s="1931" t="str">
        <f t="shared" si="18"/>
        <v>nt</v>
      </c>
      <c r="I102" s="1931" t="str">
        <f t="shared" si="19"/>
        <v>nt</v>
      </c>
      <c r="J102" s="1939" t="str">
        <f t="shared" si="20"/>
        <v>nt</v>
      </c>
      <c r="K102" s="1940" t="str">
        <f t="shared" si="21"/>
        <v>nt</v>
      </c>
      <c r="L102" s="1838"/>
      <c r="M102" s="1960" t="str">
        <f t="shared" si="22"/>
        <v/>
      </c>
      <c r="O102" s="1747"/>
      <c r="P102" s="1747"/>
      <c r="Q102" s="1938"/>
      <c r="R102" s="1203"/>
      <c r="S102" s="1203"/>
      <c r="U102" s="1361"/>
    </row>
    <row r="103" spans="2:21" s="1208" customFormat="1" ht="35.1" customHeight="1">
      <c r="B103" s="1606"/>
      <c r="E103" s="1938"/>
      <c r="G103" s="1930" t="str">
        <f>'NT-VT'!A107</f>
        <v>CHUPFCO</v>
      </c>
      <c r="H103" s="1931" t="str">
        <f t="shared" ref="H103:H134" si="23">IFERROR(VLOOKUP(G103,$Q:$U,2,0),"nt")</f>
        <v>nt</v>
      </c>
      <c r="I103" s="1931" t="str">
        <f t="shared" si="19"/>
        <v>nt</v>
      </c>
      <c r="J103" s="1939" t="str">
        <f t="shared" si="20"/>
        <v>nt</v>
      </c>
      <c r="K103" s="1940" t="str">
        <f t="shared" si="21"/>
        <v>nt</v>
      </c>
      <c r="L103" s="1838"/>
      <c r="M103" s="1960" t="str">
        <f t="shared" si="22"/>
        <v/>
      </c>
      <c r="O103" s="1747"/>
      <c r="P103" s="1747"/>
      <c r="Q103" s="1938"/>
      <c r="R103" s="1203"/>
      <c r="S103" s="1203"/>
      <c r="U103" s="1361"/>
    </row>
    <row r="104" spans="2:21" s="1208" customFormat="1" ht="35.1" customHeight="1">
      <c r="B104" s="1606"/>
      <c r="E104" s="1938"/>
      <c r="G104" s="1930" t="str">
        <f>'NT-VT'!A108</f>
        <v>CHUPLA</v>
      </c>
      <c r="H104" s="1931" t="str">
        <f t="shared" si="23"/>
        <v>nt</v>
      </c>
      <c r="I104" s="1931" t="str">
        <f t="shared" si="19"/>
        <v>nt</v>
      </c>
      <c r="J104" s="1939" t="str">
        <f t="shared" si="20"/>
        <v>nt</v>
      </c>
      <c r="K104" s="1940" t="str">
        <f t="shared" si="21"/>
        <v>nt</v>
      </c>
      <c r="L104" s="1838"/>
      <c r="M104" s="1960" t="str">
        <f t="shared" si="22"/>
        <v/>
      </c>
      <c r="O104" s="1747"/>
      <c r="P104" s="1747"/>
      <c r="Q104" s="1938"/>
      <c r="R104" s="1203"/>
      <c r="S104" s="1203"/>
      <c r="U104" s="1361"/>
    </row>
    <row r="105" spans="2:21" s="1208" customFormat="1" ht="35.1" customHeight="1">
      <c r="B105" s="1606"/>
      <c r="E105" s="1938"/>
      <c r="G105" s="1930" t="str">
        <f>'NT-VT'!A109</f>
        <v>PVC42</v>
      </c>
      <c r="H105" s="1931" t="str">
        <f t="shared" si="23"/>
        <v>nt</v>
      </c>
      <c r="I105" s="1931" t="str">
        <f t="shared" ref="I105:I135" si="24">IFERROR(VLOOKUP(G105,$Q:$U,3,0),"nt")</f>
        <v>nt</v>
      </c>
      <c r="J105" s="1939" t="str">
        <f t="shared" si="20"/>
        <v>nt</v>
      </c>
      <c r="K105" s="1940" t="str">
        <f t="shared" si="21"/>
        <v>nt</v>
      </c>
      <c r="L105" s="1838"/>
      <c r="M105" s="1960" t="str">
        <f t="shared" si="22"/>
        <v/>
      </c>
      <c r="O105" s="1747"/>
      <c r="P105" s="1747"/>
      <c r="Q105" s="1938"/>
      <c r="R105" s="1203"/>
      <c r="S105" s="1203"/>
      <c r="U105" s="1361"/>
    </row>
    <row r="106" spans="2:21" s="1208" customFormat="1" ht="35.1" customHeight="1">
      <c r="B106" s="1606"/>
      <c r="E106" s="1938"/>
      <c r="G106" s="1930" t="str">
        <f>'NT-VT'!A110</f>
        <v>CD25x2</v>
      </c>
      <c r="H106" s="1931" t="str">
        <f t="shared" si="23"/>
        <v>nt</v>
      </c>
      <c r="I106" s="1931" t="str">
        <f t="shared" si="24"/>
        <v>nt</v>
      </c>
      <c r="J106" s="1939" t="str">
        <f t="shared" si="20"/>
        <v>nt</v>
      </c>
      <c r="K106" s="1940" t="str">
        <f t="shared" si="21"/>
        <v>nt</v>
      </c>
      <c r="L106" s="1838"/>
      <c r="M106" s="1960" t="str">
        <f t="shared" si="22"/>
        <v/>
      </c>
      <c r="O106" s="1747"/>
      <c r="P106" s="1747"/>
      <c r="Q106" s="1938"/>
      <c r="R106" s="1203"/>
      <c r="S106" s="1203"/>
      <c r="U106" s="1361"/>
    </row>
    <row r="107" spans="2:21" s="1208" customFormat="1" ht="35.1" customHeight="1">
      <c r="B107" s="1606"/>
      <c r="E107" s="1938"/>
      <c r="G107" s="1930" t="str">
        <f>'NT-VT'!A111</f>
        <v>CUT42</v>
      </c>
      <c r="H107" s="1931" t="str">
        <f t="shared" si="23"/>
        <v>nt</v>
      </c>
      <c r="I107" s="1931" t="str">
        <f t="shared" si="24"/>
        <v>nt</v>
      </c>
      <c r="J107" s="1939" t="str">
        <f t="shared" si="20"/>
        <v>nt</v>
      </c>
      <c r="K107" s="1940" t="str">
        <f t="shared" si="21"/>
        <v>nt</v>
      </c>
      <c r="L107" s="1838"/>
      <c r="M107" s="1960" t="str">
        <f t="shared" si="22"/>
        <v/>
      </c>
      <c r="O107" s="1747"/>
      <c r="P107" s="1747"/>
      <c r="Q107" s="1938"/>
      <c r="R107" s="1203"/>
      <c r="S107" s="1203"/>
      <c r="U107" s="1361"/>
    </row>
    <row r="108" spans="2:21" s="1208" customFormat="1" ht="35.1" customHeight="1">
      <c r="B108" s="1606"/>
      <c r="E108" s="1938"/>
      <c r="G108" s="1930" t="str">
        <f>'NT-VT'!A112</f>
        <v>CD6x60</v>
      </c>
      <c r="H108" s="1931" t="str">
        <f t="shared" si="23"/>
        <v>nt</v>
      </c>
      <c r="I108" s="1931" t="str">
        <f t="shared" si="24"/>
        <v>nt</v>
      </c>
      <c r="J108" s="1939" t="str">
        <f t="shared" si="20"/>
        <v>nt</v>
      </c>
      <c r="K108" s="1940" t="str">
        <f t="shared" si="21"/>
        <v>nt</v>
      </c>
      <c r="L108" s="1838"/>
      <c r="M108" s="1960" t="str">
        <f t="shared" si="22"/>
        <v/>
      </c>
      <c r="O108" s="1747"/>
      <c r="P108" s="1747"/>
      <c r="Q108" s="1938"/>
      <c r="R108" s="1203"/>
      <c r="S108" s="1203"/>
      <c r="U108" s="1361"/>
    </row>
    <row r="109" spans="2:21" s="1208" customFormat="1" ht="35.1" customHeight="1">
      <c r="B109" s="1606"/>
      <c r="E109" s="1938"/>
      <c r="G109" s="1930" t="str">
        <f>'NT-VT'!A113</f>
        <v>chi3K</v>
      </c>
      <c r="H109" s="1931" t="str">
        <f t="shared" si="23"/>
        <v>nt</v>
      </c>
      <c r="I109" s="1931" t="str">
        <f t="shared" si="24"/>
        <v>nt</v>
      </c>
      <c r="J109" s="1939" t="str">
        <f t="shared" si="20"/>
        <v>nt</v>
      </c>
      <c r="K109" s="1940" t="str">
        <f t="shared" si="21"/>
        <v>nt</v>
      </c>
      <c r="L109" s="1838"/>
      <c r="M109" s="1960" t="str">
        <f t="shared" si="22"/>
        <v/>
      </c>
      <c r="O109" s="1747"/>
      <c r="P109" s="1747"/>
      <c r="Q109" s="1938"/>
      <c r="R109" s="1203"/>
      <c r="S109" s="1203"/>
      <c r="U109" s="1361"/>
    </row>
    <row r="110" spans="2:21" s="1208" customFormat="1" ht="35.1" customHeight="1">
      <c r="B110" s="1606"/>
      <c r="E110" s="1938"/>
      <c r="G110" s="1930" t="str">
        <f>'NT-VT'!A114</f>
        <v>chi100K</v>
      </c>
      <c r="H110" s="1931" t="str">
        <f t="shared" si="23"/>
        <v>nt</v>
      </c>
      <c r="I110" s="1931" t="str">
        <f t="shared" si="24"/>
        <v>nt</v>
      </c>
      <c r="J110" s="1939" t="str">
        <f t="shared" si="20"/>
        <v>nt</v>
      </c>
      <c r="K110" s="1940" t="str">
        <f t="shared" si="21"/>
        <v>nt</v>
      </c>
      <c r="L110" s="1838"/>
      <c r="M110" s="1960" t="str">
        <f t="shared" si="22"/>
        <v/>
      </c>
      <c r="O110" s="1747"/>
      <c r="P110" s="1747"/>
      <c r="Q110" s="1938"/>
      <c r="R110" s="1203"/>
      <c r="S110" s="1203"/>
      <c r="U110" s="1361"/>
    </row>
    <row r="111" spans="2:21" s="1208" customFormat="1" ht="35.1" customHeight="1">
      <c r="B111" s="1606"/>
      <c r="E111" s="1938"/>
      <c r="G111" s="1930" t="str">
        <f>'NT-VT'!A115</f>
        <v>XM</v>
      </c>
      <c r="H111" s="1931" t="str">
        <f t="shared" si="23"/>
        <v>Địa phương</v>
      </c>
      <c r="I111" s="1931" t="str">
        <f t="shared" si="24"/>
        <v>Địa phương</v>
      </c>
      <c r="J111" s="1939" t="str">
        <f t="shared" si="20"/>
        <v xml:space="preserve"> </v>
      </c>
      <c r="K111" s="1940" t="str">
        <f t="shared" si="21"/>
        <v xml:space="preserve"> </v>
      </c>
      <c r="L111" s="1838"/>
      <c r="M111" s="1960" t="str">
        <f t="shared" si="22"/>
        <v xml:space="preserve"> </v>
      </c>
      <c r="O111" s="1747"/>
      <c r="P111" s="1747"/>
      <c r="Q111" s="1938"/>
      <c r="R111" s="1203"/>
      <c r="S111" s="1203"/>
      <c r="U111" s="1361"/>
    </row>
    <row r="112" spans="2:21" s="1208" customFormat="1" ht="35.1" customHeight="1">
      <c r="B112" s="1606"/>
      <c r="E112" s="1938"/>
      <c r="G112" s="1930" t="str">
        <f>'NT-VT'!A116</f>
        <v>Cat</v>
      </c>
      <c r="H112" s="1931" t="str">
        <f t="shared" si="23"/>
        <v>nt</v>
      </c>
      <c r="I112" s="1931" t="str">
        <f t="shared" si="24"/>
        <v>nt</v>
      </c>
      <c r="J112" s="1939" t="str">
        <f t="shared" si="20"/>
        <v xml:space="preserve"> </v>
      </c>
      <c r="K112" s="1940" t="str">
        <f t="shared" si="21"/>
        <v xml:space="preserve"> </v>
      </c>
      <c r="L112" s="1838"/>
      <c r="M112" s="1960" t="str">
        <f t="shared" si="22"/>
        <v xml:space="preserve"> </v>
      </c>
      <c r="O112" s="1747"/>
      <c r="P112" s="1747"/>
      <c r="Q112" s="1938"/>
      <c r="R112" s="1203"/>
      <c r="S112" s="1203"/>
      <c r="U112" s="1361"/>
    </row>
    <row r="113" spans="2:21" s="1208" customFormat="1" ht="35.1" customHeight="1">
      <c r="B113" s="1606"/>
      <c r="E113" s="1938"/>
      <c r="G113" s="1930" t="str">
        <f>'NT-VT'!A117</f>
        <v>D1X2</v>
      </c>
      <c r="H113" s="1931" t="str">
        <f t="shared" si="23"/>
        <v>nt</v>
      </c>
      <c r="I113" s="1931" t="str">
        <f t="shared" si="24"/>
        <v>nt</v>
      </c>
      <c r="J113" s="1939" t="str">
        <f t="shared" si="20"/>
        <v xml:space="preserve"> </v>
      </c>
      <c r="K113" s="1940" t="str">
        <f t="shared" si="21"/>
        <v xml:space="preserve"> </v>
      </c>
      <c r="L113" s="1838"/>
      <c r="M113" s="1960" t="str">
        <f t="shared" si="22"/>
        <v xml:space="preserve"> </v>
      </c>
      <c r="O113" s="1747"/>
      <c r="P113" s="1747"/>
      <c r="Q113" s="1938"/>
      <c r="R113" s="1203"/>
      <c r="S113" s="1203"/>
      <c r="U113" s="1361"/>
    </row>
    <row r="114" spans="2:21" s="1208" customFormat="1" ht="35.1" customHeight="1">
      <c r="B114" s="1606"/>
      <c r="E114" s="1938"/>
      <c r="G114" s="1930" t="str">
        <f>'NT-VT'!A118</f>
        <v>gachong</v>
      </c>
      <c r="H114" s="1931" t="str">
        <f t="shared" si="23"/>
        <v>nt</v>
      </c>
      <c r="I114" s="1931" t="str">
        <f t="shared" si="24"/>
        <v>nt</v>
      </c>
      <c r="J114" s="1939" t="str">
        <f t="shared" si="20"/>
        <v>nt</v>
      </c>
      <c r="K114" s="1940" t="str">
        <f t="shared" si="21"/>
        <v>nt</v>
      </c>
      <c r="L114" s="1838"/>
      <c r="M114" s="1960" t="str">
        <f t="shared" si="22"/>
        <v/>
      </c>
      <c r="O114" s="1747"/>
      <c r="P114" s="1747"/>
      <c r="Q114" s="1938"/>
      <c r="R114" s="1203"/>
      <c r="S114" s="1203"/>
      <c r="U114" s="1361"/>
    </row>
    <row r="115" spans="2:21" s="1208" customFormat="1" ht="35.1" customHeight="1">
      <c r="B115" s="1606"/>
      <c r="E115" s="1938"/>
      <c r="G115" s="1930" t="e">
        <f>'NT-VT'!A119</f>
        <v>#N/A</v>
      </c>
      <c r="H115" s="1931" t="str">
        <f t="shared" si="23"/>
        <v>nt</v>
      </c>
      <c r="I115" s="1931" t="str">
        <f t="shared" si="24"/>
        <v>nt</v>
      </c>
      <c r="J115" s="1939" t="str">
        <f t="shared" si="20"/>
        <v>nt</v>
      </c>
      <c r="K115" s="1940" t="str">
        <f t="shared" si="21"/>
        <v>nt</v>
      </c>
      <c r="L115" s="1838"/>
      <c r="M115" s="1960" t="str">
        <f t="shared" si="22"/>
        <v/>
      </c>
      <c r="O115" s="1747"/>
      <c r="P115" s="1747"/>
      <c r="Q115" s="1938"/>
      <c r="R115" s="1203"/>
      <c r="S115" s="1203"/>
      <c r="U115" s="1361"/>
    </row>
    <row r="116" spans="2:21" s="1208" customFormat="1" ht="35.1" customHeight="1">
      <c r="B116" s="1606"/>
      <c r="E116" s="1938"/>
      <c r="G116" s="1930" t="e">
        <f>'NT-VT'!A120</f>
        <v>#N/A</v>
      </c>
      <c r="H116" s="1931" t="str">
        <f t="shared" si="23"/>
        <v>nt</v>
      </c>
      <c r="I116" s="1931" t="str">
        <f t="shared" si="24"/>
        <v>nt</v>
      </c>
      <c r="J116" s="1939" t="str">
        <f t="shared" si="20"/>
        <v>nt</v>
      </c>
      <c r="K116" s="1940" t="str">
        <f t="shared" si="21"/>
        <v>nt</v>
      </c>
      <c r="L116" s="1838"/>
      <c r="M116" s="1960" t="str">
        <f t="shared" si="22"/>
        <v/>
      </c>
      <c r="O116" s="1747"/>
      <c r="P116" s="1747"/>
      <c r="Q116" s="1938"/>
      <c r="R116" s="1203"/>
      <c r="S116" s="1203"/>
      <c r="U116" s="1361"/>
    </row>
    <row r="117" spans="2:21" s="1208" customFormat="1" ht="35.1" customHeight="1">
      <c r="B117" s="1606"/>
      <c r="E117" s="1938"/>
      <c r="G117" s="1930" t="e">
        <f>'NT-VT'!A121</f>
        <v>#N/A</v>
      </c>
      <c r="H117" s="1931" t="str">
        <f t="shared" si="23"/>
        <v>nt</v>
      </c>
      <c r="I117" s="1931" t="str">
        <f t="shared" si="24"/>
        <v>nt</v>
      </c>
      <c r="J117" s="1939" t="str">
        <f t="shared" si="20"/>
        <v>nt</v>
      </c>
      <c r="K117" s="1940" t="str">
        <f t="shared" si="21"/>
        <v>nt</v>
      </c>
      <c r="L117" s="1838"/>
      <c r="M117" s="1960" t="str">
        <f t="shared" si="22"/>
        <v/>
      </c>
      <c r="O117" s="1747"/>
      <c r="P117" s="1747"/>
      <c r="Q117" s="1938"/>
      <c r="R117" s="1203"/>
      <c r="S117" s="1203"/>
      <c r="U117" s="1361"/>
    </row>
    <row r="118" spans="2:21" s="1208" customFormat="1" ht="35.1" customHeight="1">
      <c r="B118" s="1606"/>
      <c r="E118" s="1938"/>
      <c r="G118" s="1930" t="e">
        <f>'NT-VT'!A122</f>
        <v>#N/A</v>
      </c>
      <c r="H118" s="1931" t="str">
        <f t="shared" si="23"/>
        <v>nt</v>
      </c>
      <c r="I118" s="1931" t="str">
        <f t="shared" si="24"/>
        <v>nt</v>
      </c>
      <c r="J118" s="1939" t="str">
        <f t="shared" ref="J118:J135" si="25">IFERROR(VLOOKUP(G118,$Q:$U,4,0),"nt")</f>
        <v>nt</v>
      </c>
      <c r="K118" s="1940" t="str">
        <f t="shared" ref="K118:K135" si="26">IFERROR(VLOOKUP(G118,$Q:$U,5,0),"nt")</f>
        <v>nt</v>
      </c>
      <c r="L118" s="1838"/>
      <c r="M118" s="1960" t="str">
        <f t="shared" si="22"/>
        <v/>
      </c>
      <c r="O118" s="1747"/>
      <c r="P118" s="1747"/>
      <c r="Q118" s="1938"/>
      <c r="R118" s="1203"/>
      <c r="S118" s="1203"/>
      <c r="U118" s="1361"/>
    </row>
    <row r="119" spans="2:21" s="1208" customFormat="1" ht="35.1" customHeight="1">
      <c r="B119" s="1606"/>
      <c r="E119" s="1938"/>
      <c r="G119" s="1930" t="e">
        <f>'NT-VT'!A123</f>
        <v>#N/A</v>
      </c>
      <c r="H119" s="1931" t="str">
        <f t="shared" si="23"/>
        <v>nt</v>
      </c>
      <c r="I119" s="1931" t="str">
        <f t="shared" si="24"/>
        <v>nt</v>
      </c>
      <c r="J119" s="1939" t="str">
        <f t="shared" si="25"/>
        <v>nt</v>
      </c>
      <c r="K119" s="1940" t="str">
        <f t="shared" si="26"/>
        <v>nt</v>
      </c>
      <c r="L119" s="1838"/>
      <c r="M119" s="1960" t="str">
        <f t="shared" si="22"/>
        <v/>
      </c>
      <c r="O119" s="1747"/>
      <c r="P119" s="1747"/>
      <c r="Q119" s="1938"/>
      <c r="R119" s="1203"/>
      <c r="S119" s="1203"/>
      <c r="U119" s="1361"/>
    </row>
    <row r="120" spans="2:21" s="1208" customFormat="1" ht="35.1" customHeight="1">
      <c r="B120" s="1606"/>
      <c r="E120" s="1938"/>
      <c r="G120" s="1930" t="e">
        <f>'NT-VT'!A124</f>
        <v>#N/A</v>
      </c>
      <c r="H120" s="1931" t="str">
        <f t="shared" si="23"/>
        <v>nt</v>
      </c>
      <c r="I120" s="1931" t="str">
        <f t="shared" si="24"/>
        <v>nt</v>
      </c>
      <c r="J120" s="1939" t="str">
        <f t="shared" si="25"/>
        <v>nt</v>
      </c>
      <c r="K120" s="1940" t="str">
        <f t="shared" si="26"/>
        <v>nt</v>
      </c>
      <c r="L120" s="1838"/>
      <c r="M120" s="1960" t="str">
        <f t="shared" si="22"/>
        <v/>
      </c>
      <c r="O120" s="1747"/>
      <c r="P120" s="1747"/>
      <c r="Q120" s="1938"/>
      <c r="R120" s="1203"/>
      <c r="S120" s="1203"/>
      <c r="U120" s="1361"/>
    </row>
    <row r="121" spans="2:21" s="1208" customFormat="1" ht="35.1" customHeight="1">
      <c r="B121" s="1606"/>
      <c r="E121" s="1938"/>
      <c r="G121" s="1930" t="e">
        <f>'NT-VT'!A125</f>
        <v>#N/A</v>
      </c>
      <c r="H121" s="1931" t="str">
        <f t="shared" si="23"/>
        <v>nt</v>
      </c>
      <c r="I121" s="1931" t="str">
        <f t="shared" si="24"/>
        <v>nt</v>
      </c>
      <c r="J121" s="1939" t="str">
        <f t="shared" si="25"/>
        <v>nt</v>
      </c>
      <c r="K121" s="1940" t="str">
        <f t="shared" si="26"/>
        <v>nt</v>
      </c>
      <c r="L121" s="1838"/>
      <c r="M121" s="1960" t="str">
        <f t="shared" si="22"/>
        <v/>
      </c>
      <c r="O121" s="1747"/>
      <c r="P121" s="1747"/>
      <c r="Q121" s="1938"/>
      <c r="R121" s="1203"/>
      <c r="S121" s="1203"/>
      <c r="U121" s="1361"/>
    </row>
    <row r="122" spans="2:21" s="1208" customFormat="1" ht="35.1" customHeight="1">
      <c r="B122" s="1606"/>
      <c r="E122" s="1938"/>
      <c r="G122" s="1930" t="e">
        <f>'NT-VT'!A126</f>
        <v>#N/A</v>
      </c>
      <c r="H122" s="1931" t="str">
        <f t="shared" si="23"/>
        <v>nt</v>
      </c>
      <c r="I122" s="1931" t="str">
        <f t="shared" si="24"/>
        <v>nt</v>
      </c>
      <c r="J122" s="1939" t="str">
        <f t="shared" si="25"/>
        <v>nt</v>
      </c>
      <c r="K122" s="1940" t="str">
        <f t="shared" si="26"/>
        <v>nt</v>
      </c>
      <c r="L122" s="1838"/>
      <c r="M122" s="1960" t="str">
        <f t="shared" si="22"/>
        <v/>
      </c>
      <c r="O122" s="1747"/>
      <c r="P122" s="1747"/>
      <c r="Q122" s="1938"/>
      <c r="R122" s="1203"/>
      <c r="S122" s="1203"/>
      <c r="U122" s="1361"/>
    </row>
    <row r="123" spans="2:21" s="1208" customFormat="1" ht="35.1" customHeight="1">
      <c r="B123" s="1606"/>
      <c r="E123" s="1938"/>
      <c r="G123" s="1930" t="e">
        <f>'NT-VT'!A127</f>
        <v>#N/A</v>
      </c>
      <c r="H123" s="1931" t="str">
        <f t="shared" si="23"/>
        <v>nt</v>
      </c>
      <c r="I123" s="1931" t="str">
        <f t="shared" si="24"/>
        <v>nt</v>
      </c>
      <c r="J123" s="1939" t="str">
        <f t="shared" si="25"/>
        <v>nt</v>
      </c>
      <c r="K123" s="1940" t="str">
        <f t="shared" si="26"/>
        <v>nt</v>
      </c>
      <c r="L123" s="1838"/>
      <c r="M123" s="1960" t="str">
        <f t="shared" si="22"/>
        <v/>
      </c>
      <c r="O123" s="1747"/>
      <c r="P123" s="1747"/>
      <c r="Q123" s="1938"/>
      <c r="R123" s="1203"/>
      <c r="S123" s="1203"/>
      <c r="U123" s="1361"/>
    </row>
    <row r="124" spans="2:21" s="1208" customFormat="1" ht="35.1" customHeight="1">
      <c r="B124" s="1606"/>
      <c r="E124" s="1938"/>
      <c r="G124" s="1930">
        <f>'NT-VT'!A128</f>
        <v>0</v>
      </c>
      <c r="H124" s="1931" t="str">
        <f t="shared" si="23"/>
        <v>nt</v>
      </c>
      <c r="I124" s="1931" t="str">
        <f t="shared" si="24"/>
        <v>nt</v>
      </c>
      <c r="J124" s="1939" t="str">
        <f t="shared" si="25"/>
        <v>nt</v>
      </c>
      <c r="K124" s="1940" t="str">
        <f t="shared" si="26"/>
        <v>nt</v>
      </c>
      <c r="L124" s="1838"/>
      <c r="M124" s="1960" t="str">
        <f t="shared" si="22"/>
        <v/>
      </c>
      <c r="O124" s="1747"/>
      <c r="P124" s="1747"/>
      <c r="Q124" s="1938"/>
      <c r="R124" s="1203"/>
      <c r="S124" s="1203"/>
      <c r="U124" s="1361"/>
    </row>
    <row r="125" spans="2:21" s="1208" customFormat="1" ht="35.1" customHeight="1">
      <c r="B125" s="1606"/>
      <c r="E125" s="1938"/>
      <c r="G125" s="1930">
        <f>'NT-VT'!A129</f>
        <v>0</v>
      </c>
      <c r="H125" s="1931" t="str">
        <f t="shared" si="23"/>
        <v>nt</v>
      </c>
      <c r="I125" s="1931" t="str">
        <f t="shared" si="24"/>
        <v>nt</v>
      </c>
      <c r="J125" s="1939" t="str">
        <f t="shared" si="25"/>
        <v>nt</v>
      </c>
      <c r="K125" s="1940" t="str">
        <f t="shared" si="26"/>
        <v>nt</v>
      </c>
      <c r="L125" s="1838"/>
      <c r="M125" s="1960" t="str">
        <f t="shared" si="22"/>
        <v/>
      </c>
      <c r="O125" s="1747"/>
      <c r="P125" s="1747"/>
      <c r="Q125" s="1938"/>
      <c r="R125" s="1203"/>
      <c r="S125" s="1203"/>
      <c r="U125" s="1361"/>
    </row>
    <row r="126" spans="2:21" s="1208" customFormat="1" ht="35.1" customHeight="1">
      <c r="B126" s="1606"/>
      <c r="E126" s="1938"/>
      <c r="G126" s="1930">
        <f>'NT-VT'!A130</f>
        <v>0</v>
      </c>
      <c r="H126" s="1931" t="str">
        <f t="shared" si="23"/>
        <v>nt</v>
      </c>
      <c r="I126" s="1931" t="str">
        <f t="shared" si="24"/>
        <v>nt</v>
      </c>
      <c r="J126" s="1939" t="str">
        <f t="shared" si="25"/>
        <v>nt</v>
      </c>
      <c r="K126" s="1940" t="str">
        <f t="shared" si="26"/>
        <v>nt</v>
      </c>
      <c r="L126" s="1838"/>
      <c r="M126" s="1960" t="str">
        <f t="shared" si="22"/>
        <v/>
      </c>
      <c r="O126" s="1747"/>
      <c r="P126" s="1747"/>
      <c r="Q126" s="1938"/>
      <c r="R126" s="1203"/>
      <c r="S126" s="1203"/>
      <c r="U126" s="1361"/>
    </row>
    <row r="127" spans="2:21" s="1208" customFormat="1" ht="35.1" customHeight="1">
      <c r="B127" s="1606"/>
      <c r="E127" s="1938"/>
      <c r="G127" s="1930">
        <f>'NT-VT'!A131</f>
        <v>0</v>
      </c>
      <c r="H127" s="1931" t="str">
        <f t="shared" si="23"/>
        <v>nt</v>
      </c>
      <c r="I127" s="1931" t="str">
        <f t="shared" si="24"/>
        <v>nt</v>
      </c>
      <c r="J127" s="1939" t="str">
        <f t="shared" si="25"/>
        <v>nt</v>
      </c>
      <c r="K127" s="1940" t="str">
        <f t="shared" si="26"/>
        <v>nt</v>
      </c>
      <c r="L127" s="1838"/>
      <c r="M127" s="1960" t="str">
        <f t="shared" si="22"/>
        <v/>
      </c>
      <c r="O127" s="1747"/>
      <c r="P127" s="1747"/>
      <c r="Q127" s="1938"/>
      <c r="R127" s="1203"/>
      <c r="S127" s="1203"/>
      <c r="U127" s="1361"/>
    </row>
    <row r="128" spans="2:21" s="1208" customFormat="1" ht="35.1" customHeight="1">
      <c r="B128" s="1606"/>
      <c r="E128" s="1938"/>
      <c r="G128" s="1930">
        <f>'NT-VT'!A132</f>
        <v>0</v>
      </c>
      <c r="H128" s="1931" t="str">
        <f t="shared" si="23"/>
        <v>nt</v>
      </c>
      <c r="I128" s="1931" t="str">
        <f t="shared" si="24"/>
        <v>nt</v>
      </c>
      <c r="J128" s="1939" t="str">
        <f t="shared" si="25"/>
        <v>nt</v>
      </c>
      <c r="K128" s="1940" t="str">
        <f t="shared" si="26"/>
        <v>nt</v>
      </c>
      <c r="L128" s="1838"/>
      <c r="M128" s="1960" t="str">
        <f t="shared" si="22"/>
        <v/>
      </c>
      <c r="O128" s="1747"/>
      <c r="P128" s="1747"/>
      <c r="Q128" s="1938"/>
      <c r="R128" s="1203"/>
      <c r="S128" s="1203"/>
      <c r="U128" s="1361"/>
    </row>
    <row r="129" spans="2:21" s="1208" customFormat="1" ht="35.1" customHeight="1">
      <c r="B129" s="1606"/>
      <c r="E129" s="1938"/>
      <c r="G129" s="1930">
        <f>'NT-VT'!A133</f>
        <v>0</v>
      </c>
      <c r="H129" s="1931" t="str">
        <f t="shared" si="23"/>
        <v>nt</v>
      </c>
      <c r="I129" s="1931" t="str">
        <f t="shared" si="24"/>
        <v>nt</v>
      </c>
      <c r="J129" s="1939" t="str">
        <f t="shared" si="25"/>
        <v>nt</v>
      </c>
      <c r="K129" s="1940" t="str">
        <f t="shared" si="26"/>
        <v>nt</v>
      </c>
      <c r="L129" s="1838"/>
      <c r="M129" s="1960" t="str">
        <f t="shared" si="22"/>
        <v/>
      </c>
      <c r="O129" s="1747"/>
      <c r="P129" s="1747"/>
      <c r="Q129" s="1938"/>
      <c r="R129" s="1203"/>
      <c r="S129" s="1203"/>
      <c r="U129" s="1361"/>
    </row>
    <row r="130" spans="2:21" s="1208" customFormat="1" ht="35.1" customHeight="1">
      <c r="B130" s="1606"/>
      <c r="E130" s="1938"/>
      <c r="G130" s="1930">
        <f>'NT-VT'!A134</f>
        <v>0</v>
      </c>
      <c r="H130" s="1931" t="str">
        <f t="shared" si="23"/>
        <v>nt</v>
      </c>
      <c r="I130" s="1931" t="str">
        <f t="shared" si="24"/>
        <v>nt</v>
      </c>
      <c r="J130" s="1939" t="str">
        <f t="shared" si="25"/>
        <v>nt</v>
      </c>
      <c r="K130" s="1940" t="str">
        <f t="shared" si="26"/>
        <v>nt</v>
      </c>
      <c r="L130" s="1838"/>
      <c r="M130" s="1960" t="str">
        <f t="shared" si="22"/>
        <v/>
      </c>
      <c r="O130" s="1747"/>
      <c r="P130" s="1747"/>
      <c r="Q130" s="1938"/>
      <c r="R130" s="1203"/>
      <c r="S130" s="1203"/>
      <c r="U130" s="1361"/>
    </row>
    <row r="131" spans="2:21" s="1208" customFormat="1" ht="35.1" customHeight="1">
      <c r="B131" s="1606"/>
      <c r="E131" s="1938"/>
      <c r="G131" s="1930">
        <f>'NT-VT'!A135</f>
        <v>0</v>
      </c>
      <c r="H131" s="1931" t="str">
        <f t="shared" si="23"/>
        <v>nt</v>
      </c>
      <c r="I131" s="1931" t="str">
        <f t="shared" si="24"/>
        <v>nt</v>
      </c>
      <c r="J131" s="1939" t="str">
        <f t="shared" si="25"/>
        <v>nt</v>
      </c>
      <c r="K131" s="1940" t="str">
        <f t="shared" si="26"/>
        <v>nt</v>
      </c>
      <c r="L131" s="1838"/>
      <c r="M131" s="1960" t="str">
        <f t="shared" ref="M131:M135" si="27">IF(N131&gt;0,$P$1,IFERROR(VLOOKUP(G131,Q:U,5,0),""))</f>
        <v/>
      </c>
      <c r="O131" s="1747"/>
      <c r="P131" s="1747"/>
      <c r="Q131" s="1938"/>
      <c r="R131" s="1203"/>
      <c r="S131" s="1203"/>
      <c r="U131" s="1361"/>
    </row>
    <row r="132" spans="2:21" s="1208" customFormat="1" ht="35.1" customHeight="1">
      <c r="B132" s="1606"/>
      <c r="E132" s="1938"/>
      <c r="G132" s="1930">
        <f>'NT-VT'!A136</f>
        <v>0</v>
      </c>
      <c r="H132" s="1931" t="str">
        <f t="shared" si="23"/>
        <v>nt</v>
      </c>
      <c r="I132" s="1931" t="str">
        <f t="shared" si="24"/>
        <v>nt</v>
      </c>
      <c r="J132" s="1939" t="str">
        <f t="shared" si="25"/>
        <v>nt</v>
      </c>
      <c r="K132" s="1940" t="str">
        <f t="shared" si="26"/>
        <v>nt</v>
      </c>
      <c r="L132" s="1838"/>
      <c r="M132" s="1960" t="str">
        <f t="shared" si="27"/>
        <v/>
      </c>
      <c r="O132" s="1747"/>
      <c r="P132" s="1747"/>
      <c r="Q132" s="1938"/>
      <c r="R132" s="1203"/>
      <c r="S132" s="1203"/>
      <c r="U132" s="1361"/>
    </row>
    <row r="133" spans="2:21" s="1208" customFormat="1" ht="35.1" customHeight="1">
      <c r="B133" s="1606"/>
      <c r="E133" s="1938"/>
      <c r="G133" s="1930">
        <f>'NT-VT'!A137</f>
        <v>0</v>
      </c>
      <c r="H133" s="1931" t="str">
        <f t="shared" si="23"/>
        <v>nt</v>
      </c>
      <c r="I133" s="1931" t="str">
        <f t="shared" si="24"/>
        <v>nt</v>
      </c>
      <c r="J133" s="1939" t="str">
        <f t="shared" si="25"/>
        <v>nt</v>
      </c>
      <c r="K133" s="1940" t="str">
        <f t="shared" si="26"/>
        <v>nt</v>
      </c>
      <c r="L133" s="1838"/>
      <c r="M133" s="1960" t="str">
        <f t="shared" si="27"/>
        <v/>
      </c>
      <c r="O133" s="1747"/>
      <c r="P133" s="1747"/>
      <c r="Q133" s="1938"/>
      <c r="R133" s="1203"/>
      <c r="S133" s="1203"/>
      <c r="U133" s="1361"/>
    </row>
    <row r="134" spans="2:21" s="1208" customFormat="1" ht="35.1" customHeight="1">
      <c r="B134" s="1606"/>
      <c r="E134" s="1938"/>
      <c r="G134" s="1930">
        <f>'NT-VT'!A138</f>
        <v>0</v>
      </c>
      <c r="H134" s="1931" t="str">
        <f t="shared" si="23"/>
        <v>nt</v>
      </c>
      <c r="I134" s="1931" t="str">
        <f t="shared" si="24"/>
        <v>nt</v>
      </c>
      <c r="J134" s="1939" t="str">
        <f t="shared" si="25"/>
        <v>nt</v>
      </c>
      <c r="K134" s="1940" t="str">
        <f t="shared" si="26"/>
        <v>nt</v>
      </c>
      <c r="L134" s="1838"/>
      <c r="M134" s="1960" t="str">
        <f t="shared" si="27"/>
        <v/>
      </c>
      <c r="O134" s="1747"/>
      <c r="P134" s="1747"/>
      <c r="Q134" s="1938"/>
      <c r="R134" s="1203"/>
      <c r="S134" s="1203"/>
      <c r="U134" s="1361"/>
    </row>
    <row r="135" spans="2:21" s="1208" customFormat="1" ht="35.1" customHeight="1">
      <c r="B135" s="1606"/>
      <c r="E135" s="1938"/>
      <c r="G135" s="1930">
        <f>'NT-VT'!A139</f>
        <v>0</v>
      </c>
      <c r="H135" s="1931" t="str">
        <f t="shared" ref="H135" si="28">IFERROR(VLOOKUP(G135,$Q:$U,2,0),"nt")</f>
        <v>nt</v>
      </c>
      <c r="I135" s="1931" t="str">
        <f t="shared" si="24"/>
        <v>nt</v>
      </c>
      <c r="J135" s="1939" t="str">
        <f t="shared" si="25"/>
        <v>nt</v>
      </c>
      <c r="K135" s="1940" t="str">
        <f t="shared" si="26"/>
        <v>nt</v>
      </c>
      <c r="L135" s="1838"/>
      <c r="M135" s="1960" t="str">
        <f t="shared" si="27"/>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38" priority="27"/>
  </conditionalFormatting>
  <conditionalFormatting sqref="G44">
    <cfRule type="duplicateValues" dxfId="37" priority="26"/>
  </conditionalFormatting>
  <conditionalFormatting sqref="G47">
    <cfRule type="duplicateValues" dxfId="36" priority="25"/>
  </conditionalFormatting>
  <conditionalFormatting sqref="G52">
    <cfRule type="duplicateValues" dxfId="35" priority="24"/>
  </conditionalFormatting>
  <conditionalFormatting sqref="G53:G56">
    <cfRule type="duplicateValues" dxfId="34" priority="23"/>
  </conditionalFormatting>
  <conditionalFormatting sqref="G56:G58">
    <cfRule type="duplicateValues" dxfId="33" priority="22"/>
  </conditionalFormatting>
  <conditionalFormatting sqref="G43">
    <cfRule type="duplicateValues" dxfId="32" priority="21"/>
  </conditionalFormatting>
  <conditionalFormatting sqref="G203:G1048576 G149:G193 G1:G145">
    <cfRule type="duplicateValues" dxfId="31" priority="20"/>
  </conditionalFormatting>
  <conditionalFormatting sqref="Q23 Q33 Q1:Q10 Q35:Q39 Q42:Q45 Q47 Q25:Q30 Q12:Q21 Q50:Q1048576">
    <cfRule type="duplicateValues" dxfId="30" priority="19"/>
  </conditionalFormatting>
  <conditionalFormatting sqref="Q22">
    <cfRule type="duplicateValues" dxfId="29" priority="18"/>
  </conditionalFormatting>
  <conditionalFormatting sqref="Q24">
    <cfRule type="duplicateValues" dxfId="28" priority="17"/>
  </conditionalFormatting>
  <conditionalFormatting sqref="Q31">
    <cfRule type="duplicateValues" dxfId="27" priority="16"/>
  </conditionalFormatting>
  <conditionalFormatting sqref="Q32">
    <cfRule type="duplicateValues" dxfId="26" priority="15"/>
  </conditionalFormatting>
  <conditionalFormatting sqref="Q34">
    <cfRule type="duplicateValues" dxfId="25" priority="14"/>
  </conditionalFormatting>
  <conditionalFormatting sqref="Q41">
    <cfRule type="duplicateValues" dxfId="24" priority="12"/>
  </conditionalFormatting>
  <conditionalFormatting sqref="Q40">
    <cfRule type="duplicateValues" dxfId="23" priority="11"/>
  </conditionalFormatting>
  <conditionalFormatting sqref="Q46">
    <cfRule type="duplicateValues" dxfId="22" priority="10"/>
  </conditionalFormatting>
  <conditionalFormatting sqref="Q11">
    <cfRule type="duplicateValues" dxfId="21" priority="9"/>
  </conditionalFormatting>
  <conditionalFormatting sqref="Q11">
    <cfRule type="duplicateValues" dxfId="20" priority="8"/>
  </conditionalFormatting>
  <conditionalFormatting sqref="Q48">
    <cfRule type="duplicateValues" dxfId="19" priority="7"/>
  </conditionalFormatting>
  <conditionalFormatting sqref="G1:G135">
    <cfRule type="duplicateValues" dxfId="18" priority="6"/>
  </conditionalFormatting>
  <conditionalFormatting sqref="Q49">
    <cfRule type="duplicateValues" dxfId="17" priority="5"/>
  </conditionalFormatting>
  <conditionalFormatting sqref="G45">
    <cfRule type="duplicateValues" dxfId="16" priority="4"/>
  </conditionalFormatting>
  <conditionalFormatting sqref="G48">
    <cfRule type="duplicateValues" dxfId="15" priority="3"/>
  </conditionalFormatting>
  <conditionalFormatting sqref="G53">
    <cfRule type="duplicateValues" dxfId="14" priority="2"/>
  </conditionalFormatting>
  <conditionalFormatting sqref="G44">
    <cfRule type="duplicateValues" dxfId="13"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18" sqref="F18"/>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6" t="s">
        <v>4109</v>
      </c>
      <c r="C1" s="3246"/>
      <c r="D1" s="3246"/>
      <c r="E1" s="3246"/>
      <c r="F1" s="3246"/>
      <c r="G1" s="3246"/>
      <c r="H1" s="3246"/>
      <c r="I1" s="3246"/>
      <c r="J1" s="3246"/>
      <c r="K1" s="3247"/>
      <c r="L1" s="3246"/>
      <c r="M1" s="3246"/>
      <c r="N1" s="3246"/>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Đường dây trung thế &amp; TBA 3 pha 1000 kVA - 22/0,4kV Công ty Cổ phần Sunrise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8" t="str">
        <f>WORD!Z2&amp;", ngày            tháng           năm 2020"</f>
        <v>Suối Cao, ngày            tháng           năm 2020</v>
      </c>
      <c r="C3" s="3248"/>
      <c r="D3" s="3248"/>
      <c r="E3" s="3248"/>
      <c r="F3" s="3248"/>
      <c r="G3" s="3248"/>
      <c r="H3" s="3249"/>
      <c r="I3" s="3249"/>
      <c r="J3" s="3248"/>
      <c r="K3" s="3250"/>
      <c r="L3" s="3248"/>
      <c r="M3" s="3248"/>
      <c r="N3" s="3248"/>
      <c r="O3" s="936"/>
      <c r="P3" s="936"/>
      <c r="Q3" s="1359"/>
      <c r="R3" s="1200"/>
      <c r="S3" s="1200"/>
      <c r="T3" s="1200"/>
      <c r="U3" s="1200"/>
      <c r="V3" s="1200"/>
      <c r="W3" s="1200"/>
      <c r="X3" s="1200"/>
      <c r="Y3" s="1200"/>
      <c r="Z3" s="1200"/>
      <c r="AA3" s="1200"/>
    </row>
    <row r="4" spans="1:27" s="823" customFormat="1" ht="44.25" customHeight="1">
      <c r="A4" s="1346"/>
      <c r="B4" s="3245" t="s">
        <v>1704</v>
      </c>
      <c r="C4" s="3245" t="s">
        <v>4111</v>
      </c>
      <c r="D4" s="3245" t="s">
        <v>4112</v>
      </c>
      <c r="E4" s="3245" t="s">
        <v>4113</v>
      </c>
      <c r="F4" s="3245" t="s">
        <v>4114</v>
      </c>
      <c r="G4" s="3245" t="s">
        <v>4115</v>
      </c>
      <c r="H4" s="3245" t="s">
        <v>4418</v>
      </c>
      <c r="I4" s="3245"/>
      <c r="J4" s="3245" t="s">
        <v>4116</v>
      </c>
      <c r="K4" s="3251"/>
      <c r="L4" s="3245" t="s">
        <v>6434</v>
      </c>
      <c r="M4" s="3245"/>
      <c r="N4" s="1342" t="s">
        <v>4117</v>
      </c>
      <c r="O4" s="1348"/>
      <c r="P4" s="1309" t="s">
        <v>4405</v>
      </c>
      <c r="Q4" s="1310"/>
      <c r="R4" s="1347"/>
      <c r="S4" s="822"/>
      <c r="T4" s="822"/>
      <c r="U4" s="822"/>
      <c r="V4" s="822"/>
      <c r="W4" s="822"/>
      <c r="X4" s="822"/>
      <c r="Y4" s="822"/>
      <c r="Z4" s="822"/>
      <c r="AA4" s="822"/>
    </row>
    <row r="5" spans="1:27" s="823" customFormat="1" ht="24.9" customHeight="1">
      <c r="A5" s="1346"/>
      <c r="B5" s="3245"/>
      <c r="C5" s="3245"/>
      <c r="D5" s="3245"/>
      <c r="E5" s="3245"/>
      <c r="F5" s="3245"/>
      <c r="G5" s="3245"/>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t="str">
        <f>IFERROR(VLOOKUP(A6,Solieu!G:M,2,0),"")</f>
        <v>Thibidi</v>
      </c>
      <c r="G6" s="1592" t="str">
        <f>IFERROR(VLOOKUP(A6,Solieu!G:M,3,0),"")</f>
        <v>Thibidi</v>
      </c>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4</v>
      </c>
      <c r="F7" s="1592" t="s">
        <v>4123</v>
      </c>
      <c r="G7" s="1592" t="s">
        <v>4124</v>
      </c>
      <c r="H7" s="1735" t="s">
        <v>6435</v>
      </c>
      <c r="I7" s="1596">
        <v>44091</v>
      </c>
      <c r="J7" s="1597">
        <f>IFERROR(VLOOKUP(A7,Solieu!G:M,4,0),"")</f>
        <v>0</v>
      </c>
      <c r="K7" s="1598">
        <f>IFERROR(VLOOKUP(A7,Solieu!G:M,5,0),"")</f>
        <v>0</v>
      </c>
      <c r="L7" s="1735" t="str">
        <f>IFERROR(VLOOKUP(A7,Solieu!G:M,6,0),"")</f>
        <v>29234/BB-FCO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FCO200-22</v>
      </c>
      <c r="B8" s="1592">
        <f>SUM($O$6:O8)</f>
        <v>3</v>
      </c>
      <c r="C8" s="1593" t="str">
        <f>(VLOOKUP(A8,TongHopKL!B:F,5,0))</f>
        <v xml:space="preserve">FCO 24KV - 200A </v>
      </c>
      <c r="D8" s="1594" t="str">
        <f>IFERROR(VLOOKUP(A8,DG!A:D,4,0),0)</f>
        <v>cái</v>
      </c>
      <c r="E8" s="1595">
        <f>SUMIF(TongHopKL!B:B,'NT-VT'!A8,ThiCong)</f>
        <v>3</v>
      </c>
      <c r="F8" s="1592" t="str">
        <f>IFERROR(VLOOKUP(A8,Solieu!G:M,2,0),"")</f>
        <v>Chance</v>
      </c>
      <c r="G8" s="1592" t="str">
        <f>IFERROR(VLOOKUP(A8,Solieu!G:M,3,0),"")</f>
        <v>Chance</v>
      </c>
      <c r="H8" s="1592"/>
      <c r="I8" s="1596"/>
      <c r="J8" s="1597">
        <f>IFERROR(VLOOKUP(A8,Solieu!G:M,4,0),"")</f>
        <v>0</v>
      </c>
      <c r="K8" s="1598">
        <f>IFERROR(VLOOKUP(A8,Solieu!G:M,5,0),"")</f>
        <v>0</v>
      </c>
      <c r="L8" s="1735" t="str">
        <f>IFERROR(VLOOKUP(A8,Solieu!G:M,6,0),"")</f>
        <v>29235/BB-FCO</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LA18</v>
      </c>
      <c r="B9" s="1592">
        <f>SUM($O$6:O9)</f>
        <v>4</v>
      </c>
      <c r="C9" s="1593" t="str">
        <f>(VLOOKUP(A9,TongHopKL!B:F,5,0))</f>
        <v>Chống sét van LA-18KV-10KA</v>
      </c>
      <c r="D9" s="1594" t="str">
        <f>IFERROR(VLOOKUP(A9,DG!A:D,4,0),0)</f>
        <v>cái</v>
      </c>
      <c r="E9" s="1595">
        <f>SUMIF(TongHopKL!B:B,'NT-VT'!A9,ThiCong)</f>
        <v>12</v>
      </c>
      <c r="F9" s="1592" t="str">
        <f>IFERROR(VLOOKUP(A9,Solieu!G:M,2,0),"")</f>
        <v>Cooper</v>
      </c>
      <c r="G9" s="1592" t="str">
        <f>IFERROR(VLOOKUP(A9,Solieu!G:M,3,0),"")</f>
        <v>Cooper</v>
      </c>
      <c r="H9" s="1592"/>
      <c r="I9" s="1596"/>
      <c r="J9" s="1597" t="str">
        <f>IFERROR(VLOOKUP(A9,Solieu!G:M,4,0),"")</f>
        <v>13FCO/XXTA</v>
      </c>
      <c r="K9" s="1598">
        <f>IFERROR(VLOOKUP(A9,Solieu!G:M,5,0),"")</f>
        <v>43955</v>
      </c>
      <c r="L9" s="1735" t="str">
        <f>IFERROR(VLOOKUP(A9,Solieu!G:M,6,0),"")</f>
        <v>29237/BB-LA</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acb1600</v>
      </c>
      <c r="B10" s="1592">
        <f>SUM($O$6:O10)</f>
        <v>5</v>
      </c>
      <c r="C10" s="1593" t="str">
        <f>(VLOOKUP(A10,TongHopKL!B:F,5,0))</f>
        <v>ACB 3P - 1600A - 65KA (nạp lò xo bằng tay)</v>
      </c>
      <c r="D10" s="1594" t="str">
        <f>IFERROR(VLOOKUP(A10,DG!A:D,4,0),0)</f>
        <v>cái</v>
      </c>
      <c r="E10" s="1595">
        <f>SUMIF(TongHopKL!B:B,'NT-VT'!A10,ThiCong)</f>
        <v>1</v>
      </c>
      <c r="F10" s="1592" t="str">
        <f>IFERROR(VLOOKUP(A10,Solieu!G:M,2,0),"")</f>
        <v>Himel</v>
      </c>
      <c r="G10" s="1592" t="str">
        <f>IFERROR(VLOOKUP(A10,Solieu!G:M,3,0),"")</f>
        <v>Himel</v>
      </c>
      <c r="H10" s="1592"/>
      <c r="I10" s="1596"/>
      <c r="J10" s="1597">
        <f>IFERROR(VLOOKUP(A10,Solieu!G:M,4,0),"")</f>
        <v>0</v>
      </c>
      <c r="K10" s="1598">
        <f>IFERROR(VLOOKUP(A10,Solieu!G:M,5,0),"")</f>
        <v>0</v>
      </c>
      <c r="L10" s="1735" t="str">
        <f>IFERROR(VLOOKUP(A10,Solieu!G:M,6,0),"")</f>
        <v>29236/BB-ACB</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SD</v>
      </c>
      <c r="B11" s="1592">
        <f>SUM($O$6:O11)</f>
        <v>6</v>
      </c>
      <c r="C11" s="1593" t="str">
        <f>(VLOOKUP(A11,TongHopKL!B:F,5,0))</f>
        <v xml:space="preserve">Sứ đứng 24KV </v>
      </c>
      <c r="D11" s="1594" t="str">
        <f>IFERROR(VLOOKUP(A11,DG!A:D,4,0),0)</f>
        <v>cái</v>
      </c>
      <c r="E11" s="1595">
        <f>SUMIF(TongHopKL!B:B,'NT-VT'!A11,ThiCong)</f>
        <v>33</v>
      </c>
      <c r="F11" s="1592" t="str">
        <f>IFERROR(VLOOKUP(A11,Solieu!G:M,2,0),"")</f>
        <v>Minh Long</v>
      </c>
      <c r="G11" s="1592" t="str">
        <f>IFERROR(VLOOKUP(A11,Solieu!G:M,3,0),"")</f>
        <v>Minh Long</v>
      </c>
      <c r="H11" s="1592"/>
      <c r="I11" s="1596"/>
      <c r="J11" s="1597">
        <f>IFERROR(VLOOKUP(A11,Solieu!G:M,4,0),"")</f>
        <v>0</v>
      </c>
      <c r="K11" s="1598">
        <f>IFERROR(VLOOKUP(A11,Solieu!G:M,5,0),"")</f>
        <v>0</v>
      </c>
      <c r="L11" s="1735" t="str">
        <f>IFERROR(VLOOKUP(A11,Solieu!G:M,6,0),"")</f>
        <v>29243/BB-SCĐ</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Stply</v>
      </c>
      <c r="B12" s="1592">
        <f>SUM($O$6:O12)</f>
        <v>7</v>
      </c>
      <c r="C12" s="1593" t="str">
        <f>(VLOOKUP(A12,TongHopKL!B:F,5,0))</f>
        <v>Sứ treo polymer</v>
      </c>
      <c r="D12" s="1594" t="str">
        <f>IFERROR(VLOOKUP(A12,DG!A:D,4,0),0)</f>
        <v>chuỗi</v>
      </c>
      <c r="E12" s="1595">
        <f>SUMIF(TongHopKL!B:B,'NT-VT'!A12,ThiCong)</f>
        <v>22</v>
      </c>
      <c r="F12" s="1592" t="str">
        <f>IFERROR(VLOOKUP(A12,Solieu!G:M,2,0),"")</f>
        <v>DTR</v>
      </c>
      <c r="G12" s="1592" t="str">
        <f>IFERROR(VLOOKUP(A12,Solieu!G:M,3,0),"")</f>
        <v>DTR</v>
      </c>
      <c r="H12" s="1592"/>
      <c r="I12" s="1596"/>
      <c r="J12" s="1597" t="str">
        <f>IFERROR(VLOOKUP(A12,Solieu!G:M,4,0),"")</f>
        <v>0213.XLDQA.20</v>
      </c>
      <c r="K12" s="1598">
        <f>IFERROR(VLOOKUP(A12,Solieu!G:M,5,0),"")</f>
        <v>43957</v>
      </c>
      <c r="L12" s="1735" t="str">
        <f>IFERROR(VLOOKUP(A12,Solieu!G:M,6,0),"")</f>
        <v>29244/BB-SCĐ</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cxv25</v>
      </c>
      <c r="B13" s="1592">
        <f>SUM($O$6:O13)</f>
        <v>8</v>
      </c>
      <c r="C13" s="1593" t="str">
        <f>(VLOOKUP(A13,TongHopKL!B:F,5,0))</f>
        <v>Cáp đồng bọc 24KV-CXV-25</v>
      </c>
      <c r="D13" s="1594" t="str">
        <f>IFERROR(VLOOKUP(A13,DG!A:D,4,0),0)</f>
        <v>mét</v>
      </c>
      <c r="E13" s="1595">
        <f>SUMIF(TongHopKL!B:B,'NT-VT'!A13,ThiCong)</f>
        <v>46</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29239/BB-MVC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cv240</v>
      </c>
      <c r="B14" s="1592">
        <f>SUM($O$6:O14)</f>
        <v>9</v>
      </c>
      <c r="C14" s="1593" t="str">
        <f>(VLOOKUP(A14,TongHopKL!B:F,5,0))</f>
        <v>Cáp đồng bọc CV240</v>
      </c>
      <c r="D14" s="1594" t="str">
        <f>IFERROR(VLOOKUP(A14,DG!A:D,4,0),0)</f>
        <v>mét</v>
      </c>
      <c r="E14" s="1595">
        <f>SUMIF(TongHopKL!B:B,'NT-VT'!A14,ThiCong)</f>
        <v>72</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TTT-030KCS0220/11</v>
      </c>
      <c r="K14" s="1598">
        <f>IFERROR(VLOOKUP(A14,Solieu!G:M,5,0),"")</f>
        <v>43959</v>
      </c>
      <c r="L14" s="1735" t="str">
        <f>IFERROR(VLOOKUP(A14,Solieu!G:M,6,0),"")</f>
        <v>29241/BB-LVC</v>
      </c>
      <c r="M14" s="1596">
        <f>IFERROR(VLOOKUP(A14,Solieu!G:M,7,0),"")</f>
        <v>44137</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CVV4X4</v>
      </c>
      <c r="B15" s="1592">
        <f>SUM($O$6:O15)</f>
        <v>10</v>
      </c>
      <c r="C15" s="1593" t="str">
        <f>(VLOOKUP(A15,TongHopKL!B:F,5,0))</f>
        <v xml:space="preserve">Cáp CVV 4x4mm2  </v>
      </c>
      <c r="D15" s="1594" t="str">
        <f>IFERROR(VLOOKUP(A15,DG!A:D,4,0),0)</f>
        <v>mét</v>
      </c>
      <c r="E15" s="1595">
        <f>SUMIF(TongHopKL!B:B,'NT-VT'!A15,ThiCong)</f>
        <v>33</v>
      </c>
      <c r="F15" s="1592" t="str">
        <f>IFERROR(VLOOKUP(A15,Solieu!G:M,2,0),"")</f>
        <v>Cty TNHHSX-TM Dây &amp; Cáp Điện Tài Trường Thành</v>
      </c>
      <c r="G15" s="1592" t="str">
        <f>IFERROR(VLOOKUP(A15,Solieu!G:M,3,0),"")</f>
        <v>Cty TNHHSX-TM Dây &amp; Cáp Điện Tài Trường Thành</v>
      </c>
      <c r="H15" s="1592"/>
      <c r="I15" s="1596"/>
      <c r="J15" s="1597">
        <f>IFERROR(VLOOKUP(A15,Solieu!G:M,4,0),"")</f>
        <v>0</v>
      </c>
      <c r="K15" s="1598">
        <f>IFERROR(VLOOKUP(A15,Solieu!G:M,5,0),"")</f>
        <v>0</v>
      </c>
      <c r="L15" s="1735" t="str">
        <f>IFERROR(VLOOKUP(A15,Solieu!G:M,6,0),"")</f>
        <v>29242/BB-LVC</v>
      </c>
      <c r="M15" s="1596">
        <f>IFERROR(VLOOKUP(A15,Solieu!G:M,7,0),"")</f>
        <v>44137</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cxv50</v>
      </c>
      <c r="B16" s="1592">
        <f>SUM($O$6:O16)</f>
        <v>11</v>
      </c>
      <c r="C16" s="1593" t="str">
        <f>(VLOOKUP(A16,TongHopKL!B:F,5,0))</f>
        <v>Cáp đồng bọc 24KV-CXV-50</v>
      </c>
      <c r="D16" s="1594" t="str">
        <f>IFERROR(VLOOKUP(A16,DG!A:D,4,0),0)</f>
        <v>mét</v>
      </c>
      <c r="E16" s="1595">
        <f>SUMIF(TongHopKL!B:B,'NT-VT'!A16,ThiCong)</f>
        <v>19.5</v>
      </c>
      <c r="F16" s="1592" t="str">
        <f>IFERROR(VLOOKUP(A16,Solieu!G:M,2,0),"")</f>
        <v>Cty TNHHSX-TM Dây &amp; Cáp Điện Tài Trường Thành</v>
      </c>
      <c r="G16" s="1592" t="str">
        <f>IFERROR(VLOOKUP(A16,Solieu!G:M,3,0),"")</f>
        <v>Cty TNHHSX-TM Dây &amp; Cáp Điện Tài Trường Thành</v>
      </c>
      <c r="H16" s="1592"/>
      <c r="I16" s="1596"/>
      <c r="J16" s="1597" t="str">
        <f>IFERROR(VLOOKUP(A16,Solieu!G:M,4,0),"")</f>
        <v>TTT-084LA.KCS0420/06</v>
      </c>
      <c r="K16" s="1598">
        <f>IFERROR(VLOOKUP(A16,Solieu!G:M,5,0),"")</f>
        <v>43959</v>
      </c>
      <c r="L16" s="1735" t="str">
        <f>IFERROR(VLOOKUP(A16,Solieu!G:M,6,0),"")</f>
        <v>29238/BB-LVC</v>
      </c>
      <c r="M16" s="1596">
        <f>IFERROR(VLOOKUP(A16,Solieu!G:M,7,0),"")</f>
        <v>44137</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acxh50</v>
      </c>
      <c r="B17" s="1592">
        <f>SUM($O$6:O17)</f>
        <v>12</v>
      </c>
      <c r="C17" s="1593" t="str">
        <f>(VLOOKUP(A17,TongHopKL!B:F,5,0))</f>
        <v>Cáp 24KV ACXH 50mm2</v>
      </c>
      <c r="D17" s="1594" t="str">
        <f>IFERROR(VLOOKUP(A17,DG!A:D,4,0),0)</f>
        <v>mét</v>
      </c>
      <c r="E17" s="1595">
        <f>SUMIF(TongHopKL!B:B,'NT-VT'!A17,ThiCong)</f>
        <v>795.6</v>
      </c>
      <c r="F17" s="1592" t="str">
        <f>IFERROR(VLOOKUP(A17,Solieu!G:M,2,0),"")</f>
        <v>Cty TNHHSX-TM Dây &amp; Cáp Điện Tài Trường Thành</v>
      </c>
      <c r="G17" s="1592" t="str">
        <f>IFERROR(VLOOKUP(A17,Solieu!G:M,3,0),"")</f>
        <v>Cty TNHHSX-TM Dây &amp; Cáp Điện Tài Trường Thành</v>
      </c>
      <c r="H17" s="1592"/>
      <c r="I17" s="1596"/>
      <c r="J17" s="1597">
        <f>IFERROR(VLOOKUP(A17,Solieu!G:M,4,0),"")</f>
        <v>0</v>
      </c>
      <c r="K17" s="1598">
        <f>IFERROR(VLOOKUP(A17,Solieu!G:M,5,0),"")</f>
        <v>0</v>
      </c>
      <c r="L17" s="1735" t="str">
        <f>IFERROR(VLOOKUP(A17,Solieu!G:M,6,0),"")</f>
        <v>29240/BB-MVC</v>
      </c>
      <c r="M17" s="1596">
        <f>IFERROR(VLOOKUP(A17,Solieu!G:M,7,0),"")</f>
        <v>44137</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LBS630</v>
      </c>
      <c r="B18" s="1592">
        <f>SUM($O$6:O18)</f>
        <v>13</v>
      </c>
      <c r="C18" s="1593" t="str">
        <f>(VLOOKUP(A18,TongHopKL!B:F,5,0))</f>
        <v xml:space="preserve"> LBS SF6 3pha 24kV 630A - 16kA (MBA cấp nguồn + Phụ kiện)</v>
      </c>
      <c r="D18" s="1594" t="str">
        <f>IFERROR(VLOOKUP(A18,DG!A:D,4,0),0)</f>
        <v>Bộ</v>
      </c>
      <c r="E18" s="1595">
        <f>SUMIF(TongHopKL!B:B,'NT-VT'!A18,ThiCong)</f>
        <v>1</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M25</v>
      </c>
      <c r="B19" s="1592">
        <f>SUM($O$6:O19)</f>
        <v>14</v>
      </c>
      <c r="C19" s="1593" t="str">
        <f>(VLOOKUP(A19,TongHopKL!B:F,5,0))</f>
        <v>Cáp đồng trần M25mm2: 10m noái leân voû caùc thieát bò</v>
      </c>
      <c r="D19" s="1594" t="str">
        <f>IFERROR(VLOOKUP(A19,DG!A:D,4,0),0)</f>
        <v>kg</v>
      </c>
      <c r="E19" s="1595">
        <f>SUMIF(TongHopKL!B:B,'NT-VT'!A19,ThiCong)</f>
        <v>25.981999999999999</v>
      </c>
      <c r="F19" s="1592" t="str">
        <f>IFERROR(VLOOKUP(A19,Solieu!G:M,2,0),"")</f>
        <v>Cty TNHHSX-TM Dây &amp; Cáp Điện Tài Trường Thành</v>
      </c>
      <c r="G19" s="1592" t="str">
        <f>IFERROR(VLOOKUP(A19,Solieu!G:M,3,0),"")</f>
        <v>Cty TNHHSX-TM Dây &amp; Cáp Điện Tài Trường Thành</v>
      </c>
      <c r="H19" s="1592"/>
      <c r="I19" s="1596"/>
      <c r="J19" s="1597" t="str">
        <f>IFERROR(VLOOKUP(A19,Solieu!G:M,4,0),"")</f>
        <v>TTT-021KCS0320/63</v>
      </c>
      <c r="K19" s="1598">
        <f>IFERROR(VLOOKUP(A19,Solieu!G:M,5,0),"")</f>
        <v>43959</v>
      </c>
      <c r="L19" s="1735" t="str">
        <f>IFERROR(VLOOKUP(A19,Solieu!G:M,6,0),"")</f>
        <v>TTT - 061KCS0718/112</v>
      </c>
      <c r="M19" s="1596">
        <f>IFERROR(VLOOKUP(A19,Solieu!G:M,7,0),"")</f>
        <v>43721</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T12</v>
      </c>
      <c r="B20" s="1592">
        <f>SUM($O$6:O20)</f>
        <v>15</v>
      </c>
      <c r="C20" s="1593" t="str">
        <f>(VLOOKUP(A20,TongHopKL!B:F,5,0))</f>
        <v>Trụ BTLT 12m F540 dự ứng lực</v>
      </c>
      <c r="D20" s="1594" t="str">
        <f>IFERROR(VLOOKUP(A20,DG!A:D,4,0),0)</f>
        <v>trụ</v>
      </c>
      <c r="E20" s="1595">
        <f>SUMIF(TongHopKL!B:B,'NT-VT'!A20,ThiCong)</f>
        <v>12</v>
      </c>
      <c r="F20" s="1592" t="str">
        <f>IFERROR(VLOOKUP(A20,Solieu!G:M,2,0),"")</f>
        <v>Cty Cổ phần Bê tông ly tâm Thủ Đức</v>
      </c>
      <c r="G20" s="1592" t="str">
        <f>IFERROR(VLOOKUP(A20,Solieu!G:M,3,0),"")</f>
        <v>Cty Cổ phần Bê tông ly tâm Thủ Đức</v>
      </c>
      <c r="H20" s="1592"/>
      <c r="I20" s="1596"/>
      <c r="J20" s="1597">
        <f>IFERROR(VLOOKUP(A20,Solieu!G:M,4,0),"")</f>
        <v>0</v>
      </c>
      <c r="K20" s="1598">
        <f>IFERROR(VLOOKUP(A20,Solieu!G:M,5,0),"")</f>
        <v>0</v>
      </c>
      <c r="L20" s="1735" t="str">
        <f>IFERROR(VLOOKUP(A20,Solieu!G:M,6,0),"")</f>
        <v>136/NTXX-KHKD/TDC</v>
      </c>
      <c r="M20" s="1596">
        <f>IFERROR(VLOOKUP(A20,Solieu!G:M,7,0),"")</f>
        <v>43864</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AC50</v>
      </c>
      <c r="B21" s="1592">
        <f>SUM($O$6:O21)</f>
        <v>16</v>
      </c>
      <c r="C21" s="1593" t="str">
        <f>(VLOOKUP(A21,TongHopKL!B:F,5,0))</f>
        <v>Cáp nhôm lõi thép AC-50/8</v>
      </c>
      <c r="D21" s="1594" t="str">
        <f>IFERROR(VLOOKUP(A21,DG!A:D,4,0),0)</f>
        <v>kg</v>
      </c>
      <c r="E21" s="1595">
        <f>SUMIF(TongHopKL!B:B,'NT-VT'!A21,ThiCong)</f>
        <v>51.713999999999999</v>
      </c>
      <c r="F21" s="1592" t="str">
        <f>IFERROR(VLOOKUP(A21,Solieu!G:M,2,0),"")</f>
        <v>Cty TNHHSX-TM Dây &amp; Cáp Điện Tài Trường Thành</v>
      </c>
      <c r="G21" s="1592" t="str">
        <f>IFERROR(VLOOKUP(A21,Solieu!G:M,3,0),"")</f>
        <v>Cty TNHHSX-TM Dây &amp; Cáp Điện Tài Trường Thành</v>
      </c>
      <c r="H21" s="1592"/>
      <c r="I21" s="1596"/>
      <c r="J21" s="1597">
        <f>IFERROR(VLOOKUP(A21,Solieu!G:M,4,0),"")</f>
        <v>0</v>
      </c>
      <c r="K21" s="1598">
        <f>IFERROR(VLOOKUP(A21,Solieu!G:M,5,0),"")</f>
        <v>0</v>
      </c>
      <c r="L21" s="1735" t="str">
        <f>IFERROR(VLOOKUP(A21,Solieu!G:M,6,0),"")</f>
        <v>TTT-056KCS0719/16</v>
      </c>
      <c r="M21" s="1596">
        <f>IFERROR(VLOOKUP(A21,Solieu!G:M,7,0),"")</f>
        <v>43665</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CHI40K</v>
      </c>
      <c r="B22" s="1592">
        <f>SUM($O$6:O22)</f>
        <v>17</v>
      </c>
      <c r="C22" s="1593" t="str">
        <f>(VLOOKUP(A22,TongHopKL!B:F,5,0))</f>
        <v>Dây chảy 40K</v>
      </c>
      <c r="D22" s="1594" t="str">
        <f>IFERROR(VLOOKUP(A22,DG!A:D,4,0),0)</f>
        <v>Sợi</v>
      </c>
      <c r="E22" s="1595">
        <f>SUMIF(TongHopKL!B:B,'NT-VT'!A22,ThiCong)</f>
        <v>3</v>
      </c>
      <c r="F22" s="1592" t="str">
        <f>IFERROR(VLOOKUP(A22,Solieu!G:M,2,0),"")</f>
        <v>Cty TNHH MTV Đại Thiên An</v>
      </c>
      <c r="G22" s="1592" t="str">
        <f>IFERROR(VLOOKUP(A22,Solieu!G:M,3,0),"")</f>
        <v>Cty TNHH MTV Đại Thiên An</v>
      </c>
      <c r="H22" s="1592"/>
      <c r="I22" s="1596"/>
      <c r="J22" s="1597" t="str">
        <f>IFERROR(VLOOKUP(A22,Solieu!G:M,4,0),"")</f>
        <v>0520/CNXX20</v>
      </c>
      <c r="K22" s="1598">
        <f>IFERROR(VLOOKUP(A22,Solieu!G:M,5,0),"")</f>
        <v>43954</v>
      </c>
      <c r="L22" s="1735" t="str">
        <f>IFERROR(VLOOKUP(A22,Solieu!G:M,6,0),"")</f>
        <v>01.2019/BBXX/DTA-TL</v>
      </c>
      <c r="M22" s="1596">
        <f>IFERROR(VLOOKUP(A22,Solieu!G:M,7,0),"")</f>
        <v>43525</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COM110x800x5-2,4</v>
      </c>
      <c r="B23" s="1592">
        <f>SUM($O$6:O23)</f>
        <v>18</v>
      </c>
      <c r="C23" s="1593" t="str">
        <f>(VLOOKUP(A23,TongHopKL!B:F,5,0))</f>
        <v>Xà composite 110x800x5 dài 2,4m</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COM40X10X920</v>
      </c>
      <c r="B24" s="1592">
        <f>SUM($O$6:O24)</f>
        <v>19</v>
      </c>
      <c r="C24" s="1593" t="str">
        <f>(VLOOKUP(A24,TongHopKL!B:F,5,0))</f>
        <v>Chống composite 40x10x920</v>
      </c>
      <c r="D24" s="1594" t="str">
        <f>IFERROR(VLOOKUP(A24,DG!A:D,4,0),0)</f>
        <v>cái</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B16250</v>
      </c>
      <c r="B25" s="1592">
        <f>SUM($O$6:O25)</f>
        <v>20</v>
      </c>
      <c r="C25" s="1593" t="str">
        <f>(VLOOKUP(A25,TongHopKL!B:F,5,0))</f>
        <v>Boulon 16x250+ 2 long đền vuông D18-50x50x3/Zn</v>
      </c>
      <c r="D25" s="1594" t="str">
        <f>IFERROR(VLOOKUP(A25,DG!A:D,4,0),0)</f>
        <v>bộ</v>
      </c>
      <c r="E25" s="1595">
        <f>SUMIF(TongHopKL!B:B,'NT-VT'!A25,ThiCong)</f>
        <v>3</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B16350</v>
      </c>
      <c r="B26" s="1592">
        <f>SUM($O$6:O26)</f>
        <v>21</v>
      </c>
      <c r="C26" s="1593" t="str">
        <f>(VLOOKUP(A26,TongHopKL!B:F,5,0))</f>
        <v>Boulon 16x350+ 2 long đền vuông D18-50x50x3/Zn</v>
      </c>
      <c r="D26" s="1594" t="str">
        <f>IFERROR(VLOOKUP(A26,DG!A:D,4,0),0)</f>
        <v>bộ</v>
      </c>
      <c r="E26" s="1595">
        <f>SUMIF(TongHopKL!B:B,'NT-VT'!A26,ThiCong)</f>
        <v>6</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BATLL</v>
      </c>
      <c r="B27" s="1592">
        <f>SUM($O$6:O27)</f>
        <v>22</v>
      </c>
      <c r="C27" s="1593" t="str">
        <f>(VLOOKUP(A27,TongHopKL!B:F,5,0))</f>
        <v>Bass LL bắt FCO, LA</v>
      </c>
      <c r="D27" s="1594" t="str">
        <f>IFERROR(VLOOKUP(A27,DG!A:D,4,0),0)</f>
        <v>bộ</v>
      </c>
      <c r="E27" s="1595">
        <f>SUMIF(TongHopKL!B:B,'NT-VT'!A27,ThiCong)</f>
        <v>3</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BATLi</v>
      </c>
      <c r="B28" s="1592">
        <f>SUM($O$6:O28)</f>
        <v>23</v>
      </c>
      <c r="C28" s="1593" t="str">
        <f>(VLOOKUP(A28,TongHopKL!B:F,5,0))</f>
        <v>Bass LI bắt FCO</v>
      </c>
      <c r="D28" s="1594" t="str">
        <f>IFERROR(VLOOKUP(A28,DG!A:D,4,0),0)</f>
        <v>Bộ</v>
      </c>
      <c r="E28" s="1595">
        <f>SUMIF(TongHopKL!B:B,'NT-VT'!A28,ThiCong)</f>
        <v>3</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sl75-2400</v>
      </c>
      <c r="B29" s="1592">
        <f>SUM($O$6:O29)</f>
        <v>24</v>
      </c>
      <c r="C29" s="1593" t="str">
        <f>(VLOOKUP(A29,TongHopKL!B:F,5,0))</f>
        <v>Sắt góc L75 x75 x8 x</v>
      </c>
      <c r="D29" s="1594" t="str">
        <f>IFERROR(VLOOKUP(A29,DG!A:D,4,0),0)</f>
        <v>cái</v>
      </c>
      <c r="E29" s="1595">
        <f>SUMIF(TongHopKL!B:B,'NT-VT'!A29,ThiCong)</f>
        <v>2</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sl50-920</v>
      </c>
      <c r="B30" s="1592">
        <f>SUM($O$6:O30)</f>
        <v>25</v>
      </c>
      <c r="C30" s="1593" t="str">
        <f>(VLOOKUP(A30,TongHopKL!B:F,5,0))</f>
        <v>Sắt góc L50 x50 x5 x</v>
      </c>
      <c r="D30" s="1594" t="str">
        <f>IFERROR(VLOOKUP(A30,DG!A:D,4,0),0)</f>
        <v>cái</v>
      </c>
      <c r="E30" s="1595">
        <f>SUMIF(TongHopKL!B:B,'NT-VT'!A30,ThiCong)</f>
        <v>2</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B16300</v>
      </c>
      <c r="B31" s="1592">
        <f>SUM($O$6:O31)</f>
        <v>26</v>
      </c>
      <c r="C31" s="1593" t="str">
        <f>(VLOOKUP(A31,TongHopKL!B:F,5,0))</f>
        <v>Boulon 16x300+ 2 long đền vuông D18-50x50x3/Zn</v>
      </c>
      <c r="D31" s="1594" t="str">
        <f>IFERROR(VLOOKUP(A31,DG!A:D,4,0),0)</f>
        <v>bộ</v>
      </c>
      <c r="E31" s="1595">
        <f>SUMIF(TongHopKL!B:B,'NT-VT'!A31,ThiCong)</f>
        <v>22</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B1650</v>
      </c>
      <c r="B32" s="1592">
        <f>SUM($O$6:O32)</f>
        <v>27</v>
      </c>
      <c r="C32" s="1593" t="str">
        <f>(VLOOKUP(A32,TongHopKL!B:F,5,0))</f>
        <v>Boulon 16x50+ 2 long đền vuông D18-50x50x3/Zn</v>
      </c>
      <c r="D32" s="1594" t="str">
        <f>IFERROR(VLOOKUP(A32,DG!A:D,4,0),0)</f>
        <v>bộ</v>
      </c>
      <c r="E32" s="1595">
        <f>SUMIF(TongHopKL!B:B,'NT-VT'!A32,ThiCong)</f>
        <v>35</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B16300V</v>
      </c>
      <c r="B33" s="1592">
        <f>SUM($O$6:O33)</f>
        <v>28</v>
      </c>
      <c r="C33" s="1593" t="str">
        <f>(VLOOKUP(A33,TongHopKL!B:F,5,0))</f>
        <v>Boulon 16x300VRS+ 4 long đền vuông D18-50x50x3/Zn</v>
      </c>
      <c r="D33" s="1594" t="str">
        <f>IFERROR(VLOOKUP(A33,DG!A:D,4,0),0)</f>
        <v>bộ</v>
      </c>
      <c r="E33" s="1595">
        <f>SUMIF(TongHopKL!B:B,'NT-VT'!A33,ThiCong)</f>
        <v>17</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CTD+K</v>
      </c>
      <c r="B34" s="1592">
        <f>SUM($O$6:O34)</f>
        <v>29</v>
      </c>
      <c r="C34" s="1593" t="str">
        <f>(VLOOKUP(A34,TongHopKL!B:F,5,0))</f>
        <v>Cọc tiếp đất Þ 16- 2,4m + kẹp cọc mạ đồng</v>
      </c>
      <c r="D34" s="1594" t="str">
        <f>IFERROR(VLOOKUP(A34,DG!A:D,4,0),0)</f>
        <v>bộ</v>
      </c>
      <c r="E34" s="1595">
        <f>SUMIF(TongHopKL!B:B,'NT-VT'!A34,ThiCong)</f>
        <v>20</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KE50</v>
      </c>
      <c r="B35" s="1592">
        <f>SUM($O$6:O35)</f>
        <v>30</v>
      </c>
      <c r="C35" s="1593" t="str">
        <f>(VLOOKUP(A35,TongHopKL!B:F,5,0))</f>
        <v>Kẹp ép WR cỡ dây 50mm2</v>
      </c>
      <c r="D35" s="1594" t="str">
        <f>IFERROR(VLOOKUP(A35,DG!A:D,4,0),0)</f>
        <v>cái</v>
      </c>
      <c r="E35" s="1595">
        <f>SUMIF(TongHopKL!B:B,'NT-VT'!A35,ThiCong)</f>
        <v>32</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oxc25</v>
      </c>
      <c r="B36" s="1592">
        <f>SUM($O$6:O36)</f>
        <v>31</v>
      </c>
      <c r="C36" s="1593" t="str">
        <f>(VLOOKUP(A36,TongHopKL!B:F,5,0))</f>
        <v>Ốc siết cáp cỡ 25mm2</v>
      </c>
      <c r="D36" s="1594" t="str">
        <f>IFERROR(VLOOKUP(A36,DG!A:D,4,0),0)</f>
        <v>cái</v>
      </c>
      <c r="E36" s="1595">
        <f>SUMIF(TongHopKL!B:B,'NT-VT'!A36,ThiCong)</f>
        <v>21</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TUACB1600</v>
      </c>
      <c r="B37" s="1592">
        <f>SUM($O$6:O37)</f>
        <v>32</v>
      </c>
      <c r="C37" s="1593" t="str">
        <f>(VLOOKUP(A37,TongHopKL!B:F,5,0))</f>
        <v>Tủ ACB + thanh cái 1600A</v>
      </c>
      <c r="D37" s="1594" t="str">
        <f>IFERROR(VLOOKUP(A37,DG!A:D,4,0),0)</f>
        <v>cái</v>
      </c>
      <c r="E37" s="1595">
        <f>SUMIF(TongHopKL!B:B,'NT-VT'!A37,ThiCong)</f>
        <v>1</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BAKE</v>
      </c>
      <c r="B38" s="1592">
        <f>SUM($O$6:O38)</f>
        <v>33</v>
      </c>
      <c r="C38" s="1593" t="str">
        <f>(VLOOKUP(A38,TongHopKL!B:F,5,0))</f>
        <v xml:space="preserve">Bakelit 550x450 dầy 10mm </v>
      </c>
      <c r="D38" s="1594" t="str">
        <f>IFERROR(VLOOKUP(A38,DG!A:D,4,0),0)</f>
        <v>cái</v>
      </c>
      <c r="E38" s="1595">
        <f>SUMIF(TongHopKL!B:B,'NT-VT'!A38,ThiCong)</f>
        <v>1</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BANG</v>
      </c>
      <c r="B39" s="1592">
        <f>SUM($O$6:O39)</f>
        <v>34</v>
      </c>
      <c r="C39" s="1593" t="str">
        <f>(VLOOKUP(A39,TongHopKL!B:F,5,0))</f>
        <v>Bảng tên trạm, bảng báo nguy hiểm + đinh vít</v>
      </c>
      <c r="D39" s="1594" t="str">
        <f>IFERROR(VLOOKUP(A39,DG!A:D,4,0),0)</f>
        <v>bộ</v>
      </c>
      <c r="E39" s="1595">
        <f>SUMIF(TongHopKL!B:B,'NT-VT'!A39,ThiCong)</f>
        <v>1</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KQ4/0</v>
      </c>
      <c r="B40" s="1592">
        <f>SUM($O$6:O40)</f>
        <v>35</v>
      </c>
      <c r="C40" s="1593" t="str">
        <f>(VLOOKUP(A40,TongHopKL!B:F,5,0))</f>
        <v>Kẹp quai 4/0</v>
      </c>
      <c r="D40" s="1594" t="str">
        <f>IFERROR(VLOOKUP(A40,DG!A:D,4,0),0)</f>
        <v>cái</v>
      </c>
      <c r="E40" s="1595">
        <f>SUMIF(TongHopKL!B:B,'NT-VT'!A40,ThiCong)</f>
        <v>3</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KH4/0</v>
      </c>
      <c r="B41" s="1592">
        <f>SUM($O$6:O41)</f>
        <v>36</v>
      </c>
      <c r="C41" s="1593" t="str">
        <f>(VLOOKUP(A41,TongHopKL!B:F,5,0))</f>
        <v xml:space="preserve">Kẹp hotline 4/0: </v>
      </c>
      <c r="D41" s="1594" t="str">
        <f>IFERROR(VLOOKUP(A41,DG!A:D,4,0),0)</f>
        <v>cái</v>
      </c>
      <c r="E41" s="1595">
        <f>SUMIF(TongHopKL!B:B,'NT-VT'!A41,ThiCong)</f>
        <v>3</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chmba</v>
      </c>
      <c r="B42" s="1592">
        <f>SUM($O$6:O42)</f>
        <v>37</v>
      </c>
      <c r="C42" s="1593" t="str">
        <f>(VLOOKUP(A42,TongHopKL!B:F,5,0))</f>
        <v>Chụp đầu MBA</v>
      </c>
      <c r="D42" s="1594" t="str">
        <f>IFERROR(VLOOKUP(A42,DG!A:D,4,0),0)</f>
        <v>cái</v>
      </c>
      <c r="E42" s="1595">
        <f>SUMIF(TongHopKL!B:B,'NT-VT'!A42,ThiCong)</f>
        <v>3</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chla</v>
      </c>
      <c r="B43" s="1592">
        <f>SUM($O$6:O43)</f>
        <v>38</v>
      </c>
      <c r="C43" s="1593" t="str">
        <f>(VLOOKUP(A43,TongHopKL!B:F,5,0))</f>
        <v>Chụp đầu cực LA</v>
      </c>
      <c r="D43" s="1594" t="str">
        <f>IFERROR(VLOOKUP(A43,DG!A:D,4,0),0)</f>
        <v>cái</v>
      </c>
      <c r="E43" s="1595">
        <f>SUMIF(TongHopKL!B:B,'NT-VT'!A43,ThiCong)</f>
        <v>6</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chfco</v>
      </c>
      <c r="B44" s="1592">
        <f>SUM($O$6:O44)</f>
        <v>39</v>
      </c>
      <c r="C44" s="1593" t="str">
        <f>(VLOOKUP(A44,TongHopKL!B:F,5,0))</f>
        <v>Chụp đầu cực FCO (bộ 2 cái)</v>
      </c>
      <c r="D44" s="1594" t="str">
        <f>IFERROR(VLOOKUP(A44,DG!A:D,4,0),0)</f>
        <v>bộ</v>
      </c>
      <c r="E44" s="1595">
        <f>SUMIF(TongHopKL!B:B,'NT-VT'!A44,ThiCong)</f>
        <v>3</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chupTuTi</v>
      </c>
      <c r="B45" s="1592">
        <f>SUM($O$6:O45)</f>
        <v>40</v>
      </c>
      <c r="C45" s="1593" t="str">
        <f>(VLOOKUP(A45,TongHopKL!B:F,5,0))</f>
        <v>Chụp đầu cực TI, TU</v>
      </c>
      <c r="D45" s="1594" t="str">
        <f>IFERROR(VLOOKUP(A45,DG!A:D,4,0),0)</f>
        <v>Cái</v>
      </c>
      <c r="E45" s="1595">
        <f>SUMIF(TongHopKL!B:B,'NT-VT'!A45,ThiCong)</f>
        <v>9</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CSD</v>
      </c>
      <c r="B46" s="1592">
        <f>SUM($O$6:O46)</f>
        <v>41</v>
      </c>
      <c r="C46" s="1593" t="str">
        <f>(VLOOKUP(A46,TongHopKL!B:F,5,0))</f>
        <v>Chân sứ đứng D20</v>
      </c>
      <c r="D46" s="1594" t="str">
        <f>IFERROR(VLOOKUP(A46,DG!A:D,4,0),0)</f>
        <v>cái</v>
      </c>
      <c r="E46" s="1595">
        <f>SUMIF(TongHopKL!B:B,'NT-VT'!A46,ThiCong)</f>
        <v>33</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ttf-50</v>
      </c>
      <c r="B47" s="1592">
        <f>SUM($O$6:O47)</f>
        <v>42</v>
      </c>
      <c r="C47" s="1593" t="str">
        <f>(VLOOKUP(A47,TongHopKL!B:F,5,0))</f>
        <v>Dây buộc đầu sứ cỡ dây 50mm2</v>
      </c>
      <c r="D47" s="1594" t="str">
        <f>IFERROR(VLOOKUP(A47,DG!A:D,4,0),0)</f>
        <v>cái</v>
      </c>
      <c r="E47" s="1595">
        <f>SUMIF(TongHopKL!B:B,'NT-VT'!A47,ThiCong)</f>
        <v>27</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COS240</v>
      </c>
      <c r="B48" s="1592">
        <f>SUM($O$6:O48)</f>
        <v>43</v>
      </c>
      <c r="C48" s="1593" t="str">
        <f>(VLOOKUP(A48,TongHopKL!B:F,5,0))</f>
        <v>Đầu cosse ép Cu 240mm2</v>
      </c>
      <c r="D48" s="1594" t="str">
        <f>IFERROR(VLOOKUP(A48,DG!A:D,4,0),0)</f>
        <v>cái</v>
      </c>
      <c r="E48" s="1595">
        <f>SUMIF(TongHopKL!B:B,'NT-VT'!A48,ThiCong)</f>
        <v>28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CHCOS240</v>
      </c>
      <c r="B49" s="1592">
        <f>SUM($O$6:O49)</f>
        <v>44</v>
      </c>
      <c r="C49" s="1593" t="str">
        <f>(VLOOKUP(A49,TongHopKL!B:F,5,0))</f>
        <v>Chụp đầu cosse  240mm2</v>
      </c>
      <c r="D49" s="1594" t="str">
        <f>IFERROR(VLOOKUP(A49,DG!A:D,4,0),0)</f>
        <v>cái</v>
      </c>
      <c r="E49" s="1595">
        <f>SUMIF(TongHopKL!B:B,'NT-VT'!A49,ThiCong)</f>
        <v>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PVC114</v>
      </c>
      <c r="B50" s="1592">
        <f>SUM($O$6:O50)</f>
        <v>45</v>
      </c>
      <c r="C50" s="1593" t="str">
        <f>(VLOOKUP(A50,TongHopKL!B:F,5,0))</f>
        <v xml:space="preserve">Ống PVC D114x4,9mm </v>
      </c>
      <c r="D50" s="1594" t="str">
        <f>IFERROR(VLOOKUP(A50,DG!A:D,4,0),0)</f>
        <v>m</v>
      </c>
      <c r="E50" s="1595">
        <f>SUMIF(TongHopKL!B:B,'NT-VT'!A50,ThiCong)</f>
        <v>8</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keobit</v>
      </c>
      <c r="B51" s="1592">
        <f>SUM($O$6:O51)</f>
        <v>46</v>
      </c>
      <c r="C51" s="1593" t="str">
        <f>(VLOOKUP(A51,TongHopKL!B:F,5,0))</f>
        <v>Keo silicon bít miệng ống:</v>
      </c>
      <c r="D51" s="1594" t="str">
        <f>IFERROR(VLOOKUP(A51,DG!A:D,4,0),0)</f>
        <v>ống</v>
      </c>
      <c r="E51" s="1595">
        <f>SUMIF(TongHopKL!B:B,'NT-VT'!A51,ThiCong)</f>
        <v>7</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drc</v>
      </c>
      <c r="B52" s="1592">
        <f>SUM($O$6:O52)</f>
        <v>47</v>
      </c>
      <c r="C52" s="1593" t="str">
        <f>(VLOOKUP(A52,TongHopKL!B:F,5,0))</f>
        <v>Dây rút cáp</v>
      </c>
      <c r="D52" s="1594" t="str">
        <f>IFERROR(VLOOKUP(A52,DG!A:D,4,0),0)</f>
        <v>bọc</v>
      </c>
      <c r="E52" s="1595">
        <f>SUMIF(TongHopKL!B:B,'NT-VT'!A52,ThiCong)</f>
        <v>3</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BANGKEO</v>
      </c>
      <c r="B53" s="1592">
        <f>SUM($O$6:O53)</f>
        <v>48</v>
      </c>
      <c r="C53" s="1593" t="str">
        <f>(VLOOKUP(A53,TongHopKL!B:F,5,0))</f>
        <v>Băng keo cách điện</v>
      </c>
      <c r="D53" s="1594" t="str">
        <f>IFERROR(VLOOKUP(A53,DG!A:D,4,0),0)</f>
        <v>cuộn</v>
      </c>
      <c r="E53" s="1595">
        <f>SUMIF(TongHopKL!B:B,'NT-VT'!A53,ThiCong)</f>
        <v>2</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SO10</v>
      </c>
      <c r="B54" s="1592">
        <f>SUM($O$6:O54)</f>
        <v>49</v>
      </c>
      <c r="C54" s="1593" t="str">
        <f>(VLOOKUP(A54,TongHopKL!B:F,5,0))</f>
        <v>Sắt Ø10</v>
      </c>
      <c r="D54" s="1594" t="str">
        <f>IFERROR(VLOOKUP(A54,DG!A:D,4,0),0)</f>
        <v>kg</v>
      </c>
      <c r="E54" s="1595">
        <f>SUMIF(TongHopKL!B:B,'NT-VT'!A54,ThiCong)</f>
        <v>1.1399999999999999</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stk76</v>
      </c>
      <c r="B55" s="1592">
        <f>SUM($O$6:O55)</f>
        <v>50</v>
      </c>
      <c r="C55" s="1593" t="str">
        <f>(VLOOKUP(A55,TongHopKL!B:F,5,0))</f>
        <v>Ông sắt tráng kẽm D76</v>
      </c>
      <c r="D55" s="1594" t="str">
        <f>IFERROR(VLOOKUP(A55,DG!A:D,4,0),0)</f>
        <v>mét</v>
      </c>
      <c r="E55" s="1595">
        <f>SUMIF(TongHopKL!B:B,'NT-VT'!A55,ThiCong)</f>
        <v>18</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SATV5</v>
      </c>
      <c r="B56" s="1592">
        <f>SUM($O$6:O56)</f>
        <v>51</v>
      </c>
      <c r="C56" s="1593" t="str">
        <f>(VLOOKUP(A56,TongHopKL!B:F,5,0))</f>
        <v>Thanh sắt V50x50x5-4000 - 16kg/thanh</v>
      </c>
      <c r="D56" s="1594" t="str">
        <f>IFERROR(VLOOKUP(A56,DG!A:D,4,0),0)</f>
        <v>kg</v>
      </c>
      <c r="E56" s="1595">
        <f>SUMIF(TongHopKL!B:B,'NT-VT'!A56,ThiCong)</f>
        <v>128</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SATV4</v>
      </c>
      <c r="B57" s="1592">
        <f>SUM($O$6:O57)</f>
        <v>52</v>
      </c>
      <c r="C57" s="1593" t="str">
        <f>(VLOOKUP(A57,TongHopKL!B:F,5,0))</f>
        <v>Thanh sắt V40x40x3-6000 - 17,7kg/thanh</v>
      </c>
      <c r="D57" s="1594" t="str">
        <f>IFERROR(VLOOKUP(A57,DG!A:D,4,0),0)</f>
        <v>kg</v>
      </c>
      <c r="E57" s="1595">
        <f>SUMIF(TongHopKL!B:B,'NT-VT'!A57,ThiCong)</f>
        <v>47.2</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S60</v>
      </c>
      <c r="B58" s="1592">
        <f>SUM($O$6:O58)</f>
        <v>53</v>
      </c>
      <c r="C58" s="1593" t="str">
        <f>(VLOOKUP(A58,TongHopKL!B:F,5,0))</f>
        <v>Sắt dẹt 60 x 6</v>
      </c>
      <c r="D58" s="1594" t="str">
        <f>IFERROR(VLOOKUP(A58,DG!A:D,4,0),0)</f>
        <v>kg</v>
      </c>
      <c r="E58" s="1595">
        <f>SUMIF(TongHopKL!B:B,'NT-VT'!A58,ThiCong)</f>
        <v>3</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b40</v>
      </c>
      <c r="B59" s="1592">
        <f>SUM($O$6:O59)</f>
        <v>54</v>
      </c>
      <c r="C59" s="1593" t="str">
        <f>(VLOOKUP(A59,TongHopKL!B:F,5,0))</f>
        <v>Lưới B40 - 1800-3/Zn</v>
      </c>
      <c r="D59" s="1594" t="str">
        <f>IFERROR(VLOOKUP(A59,DG!A:D,4,0),0)</f>
        <v>mét</v>
      </c>
      <c r="E59" s="1595">
        <f>SUMIF(TongHopKL!B:B,'NT-VT'!A59,ThiCong)</f>
        <v>14.2</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so8</v>
      </c>
      <c r="B60" s="1592">
        <f>SUM($O$6:O60)</f>
        <v>55</v>
      </c>
      <c r="C60" s="1593" t="str">
        <f>(VLOOKUP(A60,TongHopKL!B:F,5,0))</f>
        <v>Sắt Ø8</v>
      </c>
      <c r="D60" s="1594" t="str">
        <f>IFERROR(VLOOKUP(A60,DG!A:D,4,0),0)</f>
        <v>kg</v>
      </c>
      <c r="E60" s="1595">
        <f>SUMIF(TongHopKL!B:B,'NT-VT'!A60,ThiCong)</f>
        <v>16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B14350</v>
      </c>
      <c r="B61" s="1592">
        <f>SUM($O$6:O61)</f>
        <v>56</v>
      </c>
      <c r="C61" s="1593" t="str">
        <f>(VLOOKUP(A61,TongHopKL!B:F,5,0))</f>
        <v>Boulon 14x350+ 2 long đền vuông D16-50x50x3/Zn</v>
      </c>
      <c r="D61" s="1594" t="str">
        <f>IFERROR(VLOOKUP(A61,DG!A:D,4,0),0)</f>
        <v>bộ</v>
      </c>
      <c r="E61" s="1595">
        <f>SUMIF(TongHopKL!B:B,'NT-VT'!A61,ThiCong)</f>
        <v>36</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b1050</v>
      </c>
      <c r="B62" s="1592">
        <f>SUM($O$6:O62)</f>
        <v>57</v>
      </c>
      <c r="C62" s="1593" t="str">
        <f>(VLOOKUP(A62,TongHopKL!B:F,5,0))</f>
        <v>Boulon 10x50+ 2 long đền vuông D12-50x50x3/Zn</v>
      </c>
      <c r="D62" s="1594" t="str">
        <f>IFERROR(VLOOKUP(A62,DG!A:D,4,0),0)</f>
        <v>bộ</v>
      </c>
      <c r="E62" s="1595">
        <f>SUMIF(TongHopKL!B:B,'NT-VT'!A62,ThiCong)</f>
        <v>24</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xAtuti</v>
      </c>
      <c r="B63" s="1592">
        <f>SUM($O$6:O63)</f>
        <v>58</v>
      </c>
      <c r="C63" s="1593" t="str">
        <f>(VLOOKUP(A63,TongHopKL!B:F,5,0))</f>
        <v>Xà kẹp TU, TI U50x32x4 350</v>
      </c>
      <c r="D63" s="1594" t="str">
        <f>IFERROR(VLOOKUP(A63,DG!A:D,4,0),0)</f>
        <v>Bộ</v>
      </c>
      <c r="E63" s="1595">
        <f>SUMIF(TongHopKL!B:B,'NT-VT'!A63,ThiCong)</f>
        <v>24</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COS4</v>
      </c>
      <c r="B64" s="1592">
        <f>SUM($O$6:O64)</f>
        <v>59</v>
      </c>
      <c r="C64" s="1593" t="str">
        <f>(VLOOKUP(A64,TongHopKL!B:F,5,0))</f>
        <v>Đầu cosse ép Cu 4mm2 + bao PVC  (ñaáu TU)</v>
      </c>
      <c r="D64" s="1594" t="str">
        <f>IFERROR(VLOOKUP(A64,DG!A:D,4,0),0)</f>
        <v>cái</v>
      </c>
      <c r="E64" s="1595">
        <f>SUMIF(TongHopKL!B:B,'NT-VT'!A64,ThiCong)</f>
        <v>16</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PVC60</v>
      </c>
      <c r="B65" s="1592">
        <f>SUM($O$6:O65)</f>
        <v>60</v>
      </c>
      <c r="C65" s="1593" t="str">
        <f>(VLOOKUP(A65,TongHopKL!B:F,5,0))</f>
        <v>Ống PVC D60x2,8mm</v>
      </c>
      <c r="D65" s="1594" t="str">
        <f>IFERROR(VLOOKUP(A65,DG!A:D,4,0),0)</f>
        <v>m</v>
      </c>
      <c r="E65" s="1595">
        <f>SUMIF(TongHopKL!B:B,'NT-VT'!A65,ThiCong)</f>
        <v>24</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CD60</v>
      </c>
      <c r="B66" s="1592">
        <f>SUM($O$6:O66)</f>
        <v>61</v>
      </c>
      <c r="C66" s="1593" t="str">
        <f>(VLOOKUP(A66,TongHopKL!B:F,5,0))</f>
        <v>Cổ dê kẹp ống PVC Ø 60</v>
      </c>
      <c r="D66" s="1594" t="str">
        <f>IFERROR(VLOOKUP(A66,DG!A:D,4,0),0)</f>
        <v>bộ</v>
      </c>
      <c r="E66" s="1595">
        <f>SUMIF(TongHopKL!B:B,'NT-VT'!A66,ThiCong)</f>
        <v>4</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CUT60</v>
      </c>
      <c r="B67" s="1592">
        <f>SUM($O$6:O67)</f>
        <v>62</v>
      </c>
      <c r="C67" s="1593" t="str">
        <f>(VLOOKUP(A67,TongHopKL!B:F,5,0))</f>
        <v>Co 90 độ PVC 60</v>
      </c>
      <c r="D67" s="1594" t="str">
        <f>IFERROR(VLOOKUP(A67,DG!A:D,4,0),0)</f>
        <v>cái</v>
      </c>
      <c r="E67" s="1595">
        <f>SUMIF(TongHopKL!B:B,'NT-VT'!A67,ThiCong)</f>
        <v>8</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Noi60</v>
      </c>
      <c r="B68" s="1592">
        <f>SUM($O$6:O68)</f>
        <v>63</v>
      </c>
      <c r="C68" s="1593" t="str">
        <f>(VLOOKUP(A68,TongHopKL!B:F,5,0))</f>
        <v>Nối ống PVC 60</v>
      </c>
      <c r="D68" s="1594" t="str">
        <f>IFERROR(VLOOKUP(A68,DG!A:D,4,0),0)</f>
        <v>cái</v>
      </c>
      <c r="E68" s="1595">
        <f>SUMIF(TongHopKL!B:B,'NT-VT'!A68,ThiCong)</f>
        <v>5</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customHeight="1">
      <c r="A69" s="1917" t="str">
        <f>VLOOKUP(ROW()-ROW($A$5),TongHopKL!A:B,2,0)</f>
        <v>KEO</v>
      </c>
      <c r="B69" s="1592">
        <f>SUM($O$6:O69)</f>
        <v>64</v>
      </c>
      <c r="C69" s="1593" t="str">
        <f>(VLOOKUP(A69,TongHopKL!B:F,5,0))</f>
        <v>Keo dán ống PVC (500gr)</v>
      </c>
      <c r="D69" s="1594" t="str">
        <f>IFERROR(VLOOKUP(A69,DG!A:D,4,0),0)</f>
        <v>lon</v>
      </c>
      <c r="E69" s="1595">
        <f>SUMIF(TongHopKL!B:B,'NT-VT'!A69,ThiCong)</f>
        <v>1</v>
      </c>
      <c r="F69" s="1592" t="str">
        <f>IFERROR(VLOOKUP(A69,Solieu!G:M,2,0),"")</f>
        <v>nt</v>
      </c>
      <c r="G69" s="1592" t="str">
        <f>IFERROR(VLOOKUP(A69,Solieu!G:M,3,0),"")</f>
        <v>nt</v>
      </c>
      <c r="H69" s="1592"/>
      <c r="I69" s="1596"/>
      <c r="J69" s="1597" t="str">
        <f>IFERROR(VLOOKUP(A69,Solieu!G:M,4,0),"")</f>
        <v>nt</v>
      </c>
      <c r="K69" s="1598" t="str">
        <f>IFERROR(VLOOKUP(A69,Solieu!G:M,5,0),"")</f>
        <v>nt</v>
      </c>
      <c r="L69" s="1735">
        <f>IFERROR(VLOOKUP(A69,Solieu!G:M,6,0),"")</f>
        <v>0</v>
      </c>
      <c r="M69" s="1596" t="str">
        <f>IFERROR(VLOOKUP(A69,Solieu!G:M,7,0),"")</f>
        <v/>
      </c>
      <c r="N69" s="1191" t="s">
        <v>4122</v>
      </c>
      <c r="O69" s="1349">
        <f t="shared" si="0"/>
        <v>1</v>
      </c>
      <c r="P69" s="1187"/>
      <c r="Q69" s="1308"/>
      <c r="R69" s="1350"/>
      <c r="S69" s="822"/>
      <c r="T69" s="822"/>
      <c r="U69" s="822"/>
      <c r="V69" s="822"/>
      <c r="W69" s="822"/>
      <c r="X69" s="822"/>
      <c r="Y69" s="822"/>
      <c r="Z69" s="822"/>
      <c r="AA69" s="822"/>
    </row>
    <row r="70" spans="1:27" s="823" customFormat="1" ht="34.950000000000003" customHeight="1">
      <c r="A70" s="1917" t="str">
        <f>VLOOKUP(ROW()-ROW($A$5),TongHopKL!A:B,2,0)</f>
        <v>KVRT60</v>
      </c>
      <c r="B70" s="1592">
        <f>SUM($O$6:O70)</f>
        <v>65</v>
      </c>
      <c r="C70" s="1593" t="str">
        <f>(VLOOKUP(A70,TongHopKL!B:F,5,0))</f>
        <v>Khâu ven răng trong D60</v>
      </c>
      <c r="D70" s="1594" t="str">
        <f>IFERROR(VLOOKUP(A70,DG!A:D,4,0),0)</f>
        <v>cái</v>
      </c>
      <c r="E70" s="1595">
        <f>SUMIF(TongHopKL!B:B,'NT-VT'!A70,ThiCong)</f>
        <v>1</v>
      </c>
      <c r="F70" s="1592" t="str">
        <f>IFERROR(VLOOKUP(A70,Solieu!G:M,2,0),"")</f>
        <v>nt</v>
      </c>
      <c r="G70" s="1592" t="str">
        <f>IFERROR(VLOOKUP(A70,Solieu!G:M,3,0),"")</f>
        <v>nt</v>
      </c>
      <c r="H70" s="1592"/>
      <c r="I70" s="1596"/>
      <c r="J70" s="1597" t="str">
        <f>IFERROR(VLOOKUP(A70,Solieu!G:M,4,0),"")</f>
        <v>nt</v>
      </c>
      <c r="K70" s="1598" t="str">
        <f>IFERROR(VLOOKUP(A70,Solieu!G:M,5,0),"")</f>
        <v>nt</v>
      </c>
      <c r="L70" s="1735">
        <f>IFERROR(VLOOKUP(A70,Solieu!G:M,6,0),"")</f>
        <v>0</v>
      </c>
      <c r="M70" s="1596" t="str">
        <f>IFERROR(VLOOKUP(A70,Solieu!G:M,7,0),"")</f>
        <v/>
      </c>
      <c r="N70" s="1191" t="s">
        <v>4122</v>
      </c>
      <c r="O70" s="1349">
        <f t="shared" si="0"/>
        <v>1</v>
      </c>
      <c r="P70" s="1187"/>
      <c r="Q70" s="1308"/>
      <c r="R70" s="1350"/>
      <c r="S70" s="822"/>
      <c r="T70" s="822"/>
      <c r="U70" s="822"/>
      <c r="V70" s="822"/>
      <c r="W70" s="822"/>
      <c r="X70" s="822"/>
      <c r="Y70" s="822"/>
      <c r="Z70" s="822"/>
      <c r="AA70" s="822"/>
    </row>
    <row r="71" spans="1:27" s="823" customFormat="1" ht="34.950000000000003" customHeight="1">
      <c r="A71" s="1917" t="str">
        <f>VLOOKUP(ROW()-ROW($A$5),TongHopKL!A:B,2,0)</f>
        <v>KVRN60</v>
      </c>
      <c r="B71" s="1592">
        <f>SUM($O$6:O71)</f>
        <v>66</v>
      </c>
      <c r="C71" s="1593" t="str">
        <f>(VLOOKUP(A71,TongHopKL!B:F,5,0))</f>
        <v>Khâu ven răng ngoài D60</v>
      </c>
      <c r="D71" s="1594" t="str">
        <f>IFERROR(VLOOKUP(A71,DG!A:D,4,0),0)</f>
        <v>cái</v>
      </c>
      <c r="E71" s="1595">
        <f>SUMIF(TongHopKL!B:B,'NT-VT'!A71,ThiCong)</f>
        <v>1</v>
      </c>
      <c r="F71" s="1592" t="str">
        <f>IFERROR(VLOOKUP(A71,Solieu!G:M,2,0),"")</f>
        <v>nt</v>
      </c>
      <c r="G71" s="1592" t="str">
        <f>IFERROR(VLOOKUP(A71,Solieu!G:M,3,0),"")</f>
        <v>nt</v>
      </c>
      <c r="H71" s="1592"/>
      <c r="I71" s="1596"/>
      <c r="J71" s="1597" t="str">
        <f>IFERROR(VLOOKUP(A71,Solieu!G:M,4,0),"")</f>
        <v>nt</v>
      </c>
      <c r="K71" s="1598" t="str">
        <f>IFERROR(VLOOKUP(A71,Solieu!G:M,5,0),"")</f>
        <v>nt</v>
      </c>
      <c r="L71" s="1735">
        <f>IFERROR(VLOOKUP(A71,Solieu!G:M,6,0),"")</f>
        <v>0</v>
      </c>
      <c r="M71" s="1596" t="str">
        <f>IFERROR(VLOOKUP(A71,Solieu!G:M,7,0),"")</f>
        <v/>
      </c>
      <c r="N71" s="1191" t="s">
        <v>4122</v>
      </c>
      <c r="O71" s="1349">
        <f t="shared" ref="O71:O127" si="1">IF(ISERROR(C71),"",1)</f>
        <v>1</v>
      </c>
      <c r="P71" s="1187"/>
      <c r="Q71" s="1308"/>
      <c r="R71" s="1350"/>
      <c r="S71" s="822"/>
      <c r="T71" s="822"/>
      <c r="U71" s="822"/>
      <c r="V71" s="822"/>
      <c r="W71" s="822"/>
      <c r="X71" s="822"/>
      <c r="Y71" s="822"/>
      <c r="Z71" s="822"/>
      <c r="AA71" s="822"/>
    </row>
    <row r="72" spans="1:27" s="823" customFormat="1" ht="34.950000000000003" customHeight="1">
      <c r="A72" s="1917" t="str">
        <f>VLOOKUP(ROW()-ROW($A$5),TongHopKL!A:B,2,0)</f>
        <v>CD320</v>
      </c>
      <c r="B72" s="1592">
        <f>SUM($O$6:O72)</f>
        <v>67</v>
      </c>
      <c r="C72" s="1593" t="str">
        <f>(VLOOKUP(A72,TongHopKL!B:F,5,0))</f>
        <v>Cổ dê CDĐKĐT( bắt thùng điện kế)</v>
      </c>
      <c r="D72" s="1594" t="str">
        <f>IFERROR(VLOOKUP(A72,DG!A:D,4,0),0)</f>
        <v>bộ</v>
      </c>
      <c r="E72" s="1595">
        <f>SUMIF(TongHopKL!B:B,'NT-VT'!A72,ThiCong)</f>
        <v>1</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4122</v>
      </c>
      <c r="O72" s="1349">
        <f t="shared" si="1"/>
        <v>1</v>
      </c>
      <c r="P72" s="1187"/>
      <c r="Q72" s="1308"/>
      <c r="R72" s="1350"/>
      <c r="S72" s="822"/>
      <c r="T72" s="822"/>
      <c r="U72" s="822"/>
      <c r="V72" s="822"/>
      <c r="W72" s="822"/>
      <c r="X72" s="822"/>
      <c r="Y72" s="822"/>
      <c r="Z72" s="822"/>
      <c r="AA72" s="822"/>
    </row>
    <row r="73" spans="1:27" s="823" customFormat="1" ht="34.950000000000003" customHeight="1">
      <c r="A73" s="1917" t="str">
        <f>VLOOKUP(ROW()-ROW($A$5),TongHopKL!A:B,2,0)</f>
        <v>TUDKDT</v>
      </c>
      <c r="B73" s="1592">
        <f>SUM($O$6:O73)</f>
        <v>68</v>
      </c>
      <c r="C73" s="1593" t="str">
        <f>(VLOOKUP(A73,TongHopKL!B:F,5,0))</f>
        <v>Thùng điện kế 450x300x200mm đo đếm trung thế</v>
      </c>
      <c r="D73" s="1594" t="str">
        <f>IFERROR(VLOOKUP(A73,DG!A:D,4,0),0)</f>
        <v>cái</v>
      </c>
      <c r="E73" s="1595">
        <f>SUMIF(TongHopKL!B:B,'NT-VT'!A73,ThiCong)</f>
        <v>1</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4122</v>
      </c>
      <c r="O73" s="1349">
        <f t="shared" si="1"/>
        <v>1</v>
      </c>
      <c r="P73" s="1187"/>
      <c r="Q73" s="1308"/>
      <c r="R73" s="1350"/>
      <c r="S73" s="822"/>
      <c r="T73" s="822"/>
      <c r="U73" s="822"/>
      <c r="V73" s="822"/>
      <c r="W73" s="822"/>
      <c r="X73" s="822"/>
      <c r="Y73" s="822"/>
      <c r="Z73" s="822"/>
      <c r="AA73" s="822"/>
    </row>
    <row r="74" spans="1:27" s="823" customFormat="1" ht="34.950000000000003" customHeight="1">
      <c r="A74" s="1917" t="str">
        <f>VLOOKUP(ROW()-ROW($A$5),TongHopKL!A:B,2,0)</f>
        <v>M5M</v>
      </c>
      <c r="B74" s="1592">
        <f>SUM($O$6:O74)</f>
        <v>69</v>
      </c>
      <c r="C74" s="1593" t="str">
        <f>(VLOOKUP(A74,TongHopKL!B:F,5,0))</f>
        <v>Dây đồng trần mềm dẹt</v>
      </c>
      <c r="D74" s="1594" t="str">
        <f>IFERROR(VLOOKUP(A74,DG!A:D,4,0),0)</f>
        <v>mét</v>
      </c>
      <c r="E74" s="1595">
        <f>SUMIF(TongHopKL!B:B,'NT-VT'!A74,ThiCong)</f>
        <v>4</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4122</v>
      </c>
      <c r="O74" s="1349">
        <f t="shared" si="1"/>
        <v>1</v>
      </c>
      <c r="P74" s="1187"/>
      <c r="Q74" s="1308"/>
      <c r="R74" s="1350"/>
      <c r="S74" s="822"/>
      <c r="T74" s="822"/>
      <c r="U74" s="822"/>
      <c r="V74" s="822"/>
      <c r="W74" s="822"/>
      <c r="X74" s="822"/>
      <c r="Y74" s="822"/>
      <c r="Z74" s="822"/>
      <c r="AA74" s="822"/>
    </row>
    <row r="75" spans="1:27" s="823" customFormat="1" ht="34.950000000000003" customHeight="1">
      <c r="A75" s="1917" t="str">
        <f>VLOOKUP(ROW()-ROW($A$5),TongHopKL!A:B,2,0)</f>
        <v>B16650v</v>
      </c>
      <c r="B75" s="1592">
        <f>SUM($O$6:O75)</f>
        <v>70</v>
      </c>
      <c r="C75" s="1593" t="str">
        <f>(VLOOKUP(A75,TongHopKL!B:F,5,0))</f>
        <v>Boulon 16x650VRS+ 4 long đền vuông D18-50x50x3/Zn</v>
      </c>
      <c r="D75" s="1594" t="str">
        <f>IFERROR(VLOOKUP(A75,DG!A:D,4,0),0)</f>
        <v>bộ</v>
      </c>
      <c r="E75" s="1595">
        <f>SUMIF(TongHopKL!B:B,'NT-VT'!A75,ThiCong)</f>
        <v>4</v>
      </c>
      <c r="F75" s="1592" t="str">
        <f>IFERROR(VLOOKUP(A75,Solieu!G:M,2,0),"")</f>
        <v>nt</v>
      </c>
      <c r="G75" s="1592" t="str">
        <f>IFERROR(VLOOKUP(A75,Solieu!G:M,3,0),"")</f>
        <v>nt</v>
      </c>
      <c r="H75" s="1592"/>
      <c r="I75" s="1596"/>
      <c r="J75" s="1597" t="str">
        <f>IFERROR(VLOOKUP(A75,Solieu!G:M,4,0),"")</f>
        <v>nt</v>
      </c>
      <c r="K75" s="1598" t="str">
        <f>IFERROR(VLOOKUP(A75,Solieu!G:M,5,0),"")</f>
        <v>nt</v>
      </c>
      <c r="L75" s="1735">
        <f>IFERROR(VLOOKUP(A75,Solieu!G:M,6,0),"")</f>
        <v>0</v>
      </c>
      <c r="M75" s="1596" t="str">
        <f>IFERROR(VLOOKUP(A75,Solieu!G:M,7,0),"")</f>
        <v/>
      </c>
      <c r="N75" s="1191" t="s">
        <v>4122</v>
      </c>
      <c r="O75" s="1349">
        <f t="shared" si="1"/>
        <v>1</v>
      </c>
      <c r="P75" s="1187"/>
      <c r="Q75" s="1308"/>
      <c r="R75" s="1350"/>
      <c r="S75" s="822"/>
      <c r="T75" s="822"/>
      <c r="U75" s="822"/>
      <c r="V75" s="822"/>
      <c r="W75" s="822"/>
      <c r="X75" s="822"/>
      <c r="Y75" s="822"/>
      <c r="Z75" s="822"/>
      <c r="AA75" s="822"/>
    </row>
    <row r="76" spans="1:27" s="823" customFormat="1" ht="34.950000000000003" customHeight="1">
      <c r="A76" s="1917" t="str">
        <f>VLOOKUP(ROW()-ROW($A$5),TongHopKL!A:B,2,0)</f>
        <v>B16750v</v>
      </c>
      <c r="B76" s="1592">
        <f>SUM($O$6:O76)</f>
        <v>71</v>
      </c>
      <c r="C76" s="1593" t="str">
        <f>(VLOOKUP(A76,TongHopKL!B:F,5,0))</f>
        <v>Boulon 16x750VRS+ 4 long đền vuông D18-50x50x3/Zn</v>
      </c>
      <c r="D76" s="1594" t="str">
        <f>IFERROR(VLOOKUP(A76,DG!A:D,4,0),0)</f>
        <v>bộ</v>
      </c>
      <c r="E76" s="1595">
        <f>SUMIF(TongHopKL!B:B,'NT-VT'!A76,ThiCong)</f>
        <v>4</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4122</v>
      </c>
      <c r="O76" s="1349">
        <f t="shared" si="1"/>
        <v>1</v>
      </c>
      <c r="P76" s="1187"/>
      <c r="Q76" s="1308"/>
      <c r="R76" s="1350"/>
      <c r="S76" s="822"/>
      <c r="T76" s="822"/>
      <c r="U76" s="822"/>
      <c r="V76" s="822"/>
      <c r="W76" s="822"/>
      <c r="X76" s="822"/>
      <c r="Y76" s="822"/>
      <c r="Z76" s="822"/>
      <c r="AA76" s="822"/>
    </row>
    <row r="77" spans="1:27" s="823" customFormat="1" ht="34.950000000000003" customHeight="1">
      <c r="A77" s="1917" t="str">
        <f>VLOOKUP(ROW()-ROW($A$5),TongHopKL!A:B,2,0)</f>
        <v>Ke185</v>
      </c>
      <c r="B77" s="1592">
        <f>SUM($O$6:O77)</f>
        <v>72</v>
      </c>
      <c r="C77" s="1593" t="str">
        <f>(VLOOKUP(A77,TongHopKL!B:F,5,0))</f>
        <v>Kẹp ép WR cỡ dây 185mm2</v>
      </c>
      <c r="D77" s="1594" t="str">
        <f>IFERROR(VLOOKUP(A77,DG!A:D,4,0),0)</f>
        <v>cái</v>
      </c>
      <c r="E77" s="1595">
        <f>SUMIF(TongHopKL!B:B,'NT-VT'!A77,ThiCong)</f>
        <v>2</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4122</v>
      </c>
      <c r="O77" s="1349">
        <f t="shared" si="1"/>
        <v>1</v>
      </c>
      <c r="P77" s="1187"/>
      <c r="Q77" s="1308"/>
      <c r="R77" s="1351"/>
    </row>
    <row r="78" spans="1:27" s="823" customFormat="1" ht="34.950000000000003" customHeight="1">
      <c r="A78" s="1917" t="str">
        <f>VLOOKUP(ROW()-ROW($A$5),TongHopKL!A:B,2,0)</f>
        <v>SL75-2200</v>
      </c>
      <c r="B78" s="1592">
        <f>SUM($O$6:O78)</f>
        <v>73</v>
      </c>
      <c r="C78" s="1593" t="str">
        <f>(VLOOKUP(A78,TongHopKL!B:F,5,0))</f>
        <v>Sắt góc L75 x75 x8 x</v>
      </c>
      <c r="D78" s="1594" t="str">
        <f>IFERROR(VLOOKUP(A78,DG!A:D,4,0),0)</f>
        <v>cái</v>
      </c>
      <c r="E78" s="1595">
        <f>SUMIF(TongHopKL!B:B,'NT-VT'!A78,ThiCong)</f>
        <v>12</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4122</v>
      </c>
      <c r="O78" s="1349">
        <f t="shared" si="1"/>
        <v>1</v>
      </c>
      <c r="P78" s="1187"/>
      <c r="Q78" s="1308"/>
      <c r="R78" s="1351"/>
    </row>
    <row r="79" spans="1:27" s="823" customFormat="1" ht="34.950000000000003" customHeight="1">
      <c r="A79" s="1917" t="str">
        <f>VLOOKUP(ROW()-ROW($A$5),TongHopKL!A:B,2,0)</f>
        <v>SL50-810</v>
      </c>
      <c r="B79" s="1592">
        <f>SUM($O$6:O79)</f>
        <v>74</v>
      </c>
      <c r="C79" s="1593" t="str">
        <f>(VLOOKUP(A79,TongHopKL!B:F,5,0))</f>
        <v>Sắt góc L50 x50 x5 - 810</v>
      </c>
      <c r="D79" s="1594" t="str">
        <f>IFERROR(VLOOKUP(A79,DG!A:D,4,0),0)</f>
        <v>cái</v>
      </c>
      <c r="E79" s="1595">
        <f>SUMIF(TongHopKL!B:B,'NT-VT'!A79,ThiCong)</f>
        <v>24</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4122</v>
      </c>
      <c r="O79" s="1349">
        <f t="shared" si="1"/>
        <v>1</v>
      </c>
      <c r="P79" s="1187"/>
      <c r="Q79" s="1308"/>
      <c r="R79" s="1351"/>
    </row>
    <row r="80" spans="1:27" s="823" customFormat="1" ht="34.950000000000003" customHeight="1">
      <c r="A80" s="1917" t="str">
        <f>VLOOKUP(ROW()-ROW($A$5),TongHopKL!A:B,2,0)</f>
        <v>B16500</v>
      </c>
      <c r="B80" s="1592">
        <f>SUM($O$6:O80)</f>
        <v>75</v>
      </c>
      <c r="C80" s="1593" t="str">
        <f>(VLOOKUP(A80,TongHopKL!B:F,5,0))</f>
        <v>Boulon 16x500+ 2 long đền vuông D18-50x50x3/Zn</v>
      </c>
      <c r="D80" s="1594" t="str">
        <f>IFERROR(VLOOKUP(A80,DG!A:D,4,0),0)</f>
        <v>bộ</v>
      </c>
      <c r="E80" s="1595">
        <f>SUMIF(TongHopKL!B:B,'NT-VT'!A80,ThiCong)</f>
        <v>3</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4122</v>
      </c>
      <c r="O80" s="1349">
        <f t="shared" si="1"/>
        <v>1</v>
      </c>
      <c r="P80" s="1187"/>
      <c r="Q80" s="1308"/>
      <c r="R80" s="1351"/>
    </row>
    <row r="81" spans="1:18" s="823" customFormat="1" ht="34.950000000000003" customHeight="1">
      <c r="A81" s="1917" t="str">
        <f>VLOOKUP(ROW()-ROW($A$5),TongHopKL!A:B,2,0)</f>
        <v>B16600</v>
      </c>
      <c r="B81" s="1592">
        <f>SUM($O$6:O81)</f>
        <v>76</v>
      </c>
      <c r="C81" s="1593" t="str">
        <f>(VLOOKUP(A81,TongHopKL!B:F,5,0))</f>
        <v>Boulon 16x600+ 2 long đền vuông D18-50x50x3/Zn</v>
      </c>
      <c r="D81" s="1594" t="str">
        <f>IFERROR(VLOOKUP(A81,DG!A:D,4,0),0)</f>
        <v>bộ</v>
      </c>
      <c r="E81" s="1595">
        <f>SUMIF(TongHopKL!B:B,'NT-VT'!A81,ThiCong)</f>
        <v>3</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4122</v>
      </c>
      <c r="O81" s="1349">
        <f t="shared" si="1"/>
        <v>1</v>
      </c>
      <c r="P81" s="1187"/>
      <c r="Q81" s="1308"/>
      <c r="R81" s="1351"/>
    </row>
    <row r="82" spans="1:18" s="823" customFormat="1" ht="34.950000000000003" customHeight="1">
      <c r="A82" s="1917" t="str">
        <f>VLOOKUP(ROW()-ROW($A$5),TongHopKL!A:B,2,0)</f>
        <v>B16550v</v>
      </c>
      <c r="B82" s="1592">
        <f>SUM($O$6:O82)</f>
        <v>77</v>
      </c>
      <c r="C82" s="1593" t="str">
        <f>(VLOOKUP(A82,TongHopKL!B:F,5,0))</f>
        <v>Boulon 16x550VRS+ 4 long đền vuông D18-50x50x3/Zn</v>
      </c>
      <c r="D82" s="1594" t="str">
        <f>IFERROR(VLOOKUP(A82,DG!A:D,4,0),0)</f>
        <v>bộ</v>
      </c>
      <c r="E82" s="1595">
        <f>SUMIF(TongHopKL!B:B,'NT-VT'!A82,ThiCong)</f>
        <v>6</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4122</v>
      </c>
      <c r="O82" s="1349">
        <f t="shared" si="1"/>
        <v>1</v>
      </c>
      <c r="P82" s="1187"/>
      <c r="Q82" s="1347"/>
      <c r="R82" s="1351"/>
    </row>
    <row r="83" spans="1:18" s="823" customFormat="1" ht="34.950000000000003" customHeight="1">
      <c r="A83" s="1917" t="str">
        <f>VLOOKUP(ROW()-ROW($A$5),TongHopKL!A:B,2,0)</f>
        <v>SL75-2100</v>
      </c>
      <c r="B83" s="1592">
        <f>SUM($O$6:O83)</f>
        <v>78</v>
      </c>
      <c r="C83" s="1593" t="str">
        <f>(VLOOKUP(A83,TongHopKL!B:F,5,0))</f>
        <v>Sắt góc L75 x75 x8-2100</v>
      </c>
      <c r="D83" s="1594" t="str">
        <f>IFERROR(VLOOKUP(A83,DG!A:D,4,0),0)</f>
        <v>cái</v>
      </c>
      <c r="E83" s="1595">
        <f>SUMIF(TongHopKL!B:B,'NT-VT'!A83,ThiCong)</f>
        <v>5</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4122</v>
      </c>
      <c r="O83" s="1349">
        <f t="shared" si="1"/>
        <v>1</v>
      </c>
      <c r="P83" s="1187"/>
      <c r="Q83" s="1347"/>
      <c r="R83" s="1351"/>
    </row>
    <row r="84" spans="1:18" s="823" customFormat="1" ht="34.950000000000003" customHeight="1">
      <c r="A84" s="1917" t="str">
        <f>VLOOKUP(ROW()-ROW($A$5),TongHopKL!A:B,2,0)</f>
        <v>SL50-1190</v>
      </c>
      <c r="B84" s="1592">
        <f>SUM($O$6:O84)</f>
        <v>79</v>
      </c>
      <c r="C84" s="1593" t="str">
        <f>(VLOOKUP(A84,TongHopKL!B:F,5,0))</f>
        <v>Sắt góc L50 x50 x5 x</v>
      </c>
      <c r="D84" s="1594" t="str">
        <f>IFERROR(VLOOKUP(A84,DG!A:D,4,0),0)</f>
        <v>cái</v>
      </c>
      <c r="E84" s="1595">
        <f>SUMIF(TongHopKL!B:B,'NT-VT'!A84,ThiCong)</f>
        <v>5</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4122</v>
      </c>
      <c r="O84" s="1349">
        <f t="shared" si="1"/>
        <v>1</v>
      </c>
      <c r="P84" s="1187"/>
      <c r="Q84" s="1347"/>
      <c r="R84" s="1351"/>
    </row>
    <row r="85" spans="1:18" s="823" customFormat="1" ht="34.950000000000003" customHeight="1">
      <c r="A85" s="1917" t="str">
        <f>VLOOKUP(ROW()-ROW($A$5),TongHopKL!A:B,2,0)</f>
        <v>B1635</v>
      </c>
      <c r="B85" s="1592">
        <f>SUM($O$6:O85)</f>
        <v>80</v>
      </c>
      <c r="C85" s="1593" t="str">
        <f>(VLOOKUP(A85,TongHopKL!B:F,5,0))</f>
        <v>Boulon 16x35+ 2 long đền vuông D18-50x50x3/Zn</v>
      </c>
      <c r="D85" s="1594" t="str">
        <f>IFERROR(VLOOKUP(A85,DG!A:D,4,0),0)</f>
        <v>bộ</v>
      </c>
      <c r="E85" s="1595">
        <f>SUMIF(TongHopKL!B:B,'NT-VT'!A85,ThiCong)</f>
        <v>2</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4122</v>
      </c>
      <c r="O85" s="1349">
        <f t="shared" si="1"/>
        <v>1</v>
      </c>
      <c r="P85" s="1187"/>
      <c r="Q85" s="1347"/>
      <c r="R85" s="1351"/>
    </row>
    <row r="86" spans="1:18" s="823" customFormat="1" ht="34.950000000000003" customHeight="1">
      <c r="A86" s="1917" t="str">
        <f>VLOOKUP(ROW()-ROW($A$5),TongHopKL!A:B,2,0)</f>
        <v>com800</v>
      </c>
      <c r="B86" s="1592">
        <f>SUM($O$6:O86)</f>
        <v>81</v>
      </c>
      <c r="C86" s="1593" t="str">
        <f>(VLOOKUP(A86,TongHopKL!B:F,5,0))</f>
        <v>Đà composite 0,8m</v>
      </c>
      <c r="D86" s="1594" t="str">
        <f>IFERROR(VLOOKUP(A86,DG!A:D,4,0),0)</f>
        <v>cây</v>
      </c>
      <c r="E86" s="1595">
        <f>SUMIF(TongHopKL!B:B,'NT-VT'!A86,ThiCong)</f>
        <v>1</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4122</v>
      </c>
      <c r="O86" s="1349">
        <f t="shared" si="1"/>
        <v>1</v>
      </c>
      <c r="P86" s="1187"/>
      <c r="Q86" s="1347"/>
      <c r="R86" s="1351"/>
    </row>
    <row r="87" spans="1:18" s="823" customFormat="1" ht="34.950000000000003" customHeight="1">
      <c r="A87" s="1917" t="str">
        <f>VLOOKUP(ROW()-ROW($A$5),TongHopKL!A:B,2,0)</f>
        <v>B16150</v>
      </c>
      <c r="B87" s="1592">
        <f>SUM($O$6:O87)</f>
        <v>82</v>
      </c>
      <c r="C87" s="1593" t="str">
        <f>(VLOOKUP(A87,TongHopKL!B:F,5,0))</f>
        <v>Boulon 16x150+ 2 long đền vuông D18-50x50x3/Zn</v>
      </c>
      <c r="D87" s="1594" t="str">
        <f>IFERROR(VLOOKUP(A87,DG!A:D,4,0),0)</f>
        <v>bộ</v>
      </c>
      <c r="E87" s="1595">
        <f>SUMIF(TongHopKL!B:B,'NT-VT'!A87,ThiCong)</f>
        <v>4</v>
      </c>
      <c r="F87" s="1592" t="str">
        <f>IFERROR(VLOOKUP(A87,Solieu!G:M,2,0),"")</f>
        <v>nt</v>
      </c>
      <c r="G87" s="1592" t="str">
        <f>IFERROR(VLOOKUP(A87,Solieu!G:M,3,0),"")</f>
        <v>nt</v>
      </c>
      <c r="H87" s="1592"/>
      <c r="I87" s="1596"/>
      <c r="J87" s="1597" t="str">
        <f>IFERROR(VLOOKUP(A87,Solieu!G:M,4,0),"")</f>
        <v>nt</v>
      </c>
      <c r="K87" s="1598" t="str">
        <f>IFERROR(VLOOKUP(A87,Solieu!G:M,5,0),"")</f>
        <v>nt</v>
      </c>
      <c r="L87" s="1735">
        <f>IFERROR(VLOOKUP(A87,Solieu!G:M,6,0),"")</f>
        <v>0</v>
      </c>
      <c r="M87" s="1596" t="str">
        <f>IFERROR(VLOOKUP(A87,Solieu!G:M,7,0),"")</f>
        <v/>
      </c>
      <c r="N87" s="1191" t="s">
        <v>4122</v>
      </c>
      <c r="O87" s="1349">
        <f t="shared" si="1"/>
        <v>1</v>
      </c>
      <c r="P87" s="1187"/>
      <c r="Q87" s="1347"/>
      <c r="R87" s="1351"/>
    </row>
    <row r="88" spans="1:18" s="823" customFormat="1" ht="35.1" customHeight="1">
      <c r="A88" s="1917" t="str">
        <f>VLOOKUP(ROW()-ROW($A$5),TongHopKL!A:B,2,0)</f>
        <v>B16400</v>
      </c>
      <c r="B88" s="1592">
        <f>SUM($O$6:O88)</f>
        <v>83</v>
      </c>
      <c r="C88" s="1593" t="str">
        <f>(VLOOKUP(A88,TongHopKL!B:F,5,0))</f>
        <v>Boulon 16x400+ 2 long đền vuông D18-50x50x3/Zn</v>
      </c>
      <c r="D88" s="1594" t="str">
        <f>IFERROR(VLOOKUP(A88,DG!A:D,4,0),0)</f>
        <v>bộ</v>
      </c>
      <c r="E88" s="1595">
        <f>SUMIF(TongHopKL!B:B,'NT-VT'!A88,ThiCong)</f>
        <v>2</v>
      </c>
      <c r="F88" s="1592" t="str">
        <f>IFERROR(VLOOKUP(A88,Solieu!G:M,2,0),"")</f>
        <v>nt</v>
      </c>
      <c r="G88" s="1592" t="str">
        <f>IFERROR(VLOOKUP(A88,Solieu!G:M,3,0),"")</f>
        <v>nt</v>
      </c>
      <c r="H88" s="1592"/>
      <c r="I88" s="1596"/>
      <c r="J88" s="1597" t="str">
        <f>IFERROR(VLOOKUP(A88,Solieu!G:M,4,0),"")</f>
        <v>nt</v>
      </c>
      <c r="K88" s="1598" t="str">
        <f>IFERROR(VLOOKUP(A88,Solieu!G:M,5,0),"")</f>
        <v>nt</v>
      </c>
      <c r="L88" s="1735">
        <f>IFERROR(VLOOKUP(A88,Solieu!G:M,6,0),"")</f>
        <v>0</v>
      </c>
      <c r="M88" s="1596" t="str">
        <f>IFERROR(VLOOKUP(A88,Solieu!G:M,7,0),"")</f>
        <v/>
      </c>
      <c r="N88" s="1191" t="s">
        <v>4122</v>
      </c>
      <c r="O88" s="1349">
        <f t="shared" si="1"/>
        <v>1</v>
      </c>
      <c r="P88" s="1187"/>
      <c r="Q88" s="1347"/>
      <c r="R88" s="1351"/>
    </row>
    <row r="89" spans="1:18" s="823" customFormat="1" ht="35.1" customHeight="1">
      <c r="A89" s="1917" t="str">
        <f>VLOOKUP(ROW()-ROW($A$5),TongHopKL!A:B,2,0)</f>
        <v>R1</v>
      </c>
      <c r="B89" s="1592">
        <f>SUM($O$6:O89)</f>
        <v>84</v>
      </c>
      <c r="C89" s="1593" t="str">
        <f>(VLOOKUP(A89,TongHopKL!B:F,5,0))</f>
        <v>Uclevis + sứ ống chỉ</v>
      </c>
      <c r="D89" s="1594" t="str">
        <f>IFERROR(VLOOKUP(A89,DG!A:D,4,0),0)</f>
        <v>bộ</v>
      </c>
      <c r="E89" s="1595">
        <f>SUMIF(TongHopKL!B:B,'NT-VT'!A89,ThiCong)</f>
        <v>4</v>
      </c>
      <c r="F89" s="1592" t="str">
        <f>IFERROR(VLOOKUP(A89,Solieu!G:M,2,0),"")</f>
        <v>nt</v>
      </c>
      <c r="G89" s="1592" t="str">
        <f>IFERROR(VLOOKUP(A89,Solieu!G:M,3,0),"")</f>
        <v>nt</v>
      </c>
      <c r="H89" s="1592"/>
      <c r="I89" s="1596"/>
      <c r="J89" s="1597" t="str">
        <f>IFERROR(VLOOKUP(A89,Solieu!G:M,4,0),"")</f>
        <v>nt</v>
      </c>
      <c r="K89" s="1598" t="str">
        <f>IFERROR(VLOOKUP(A89,Solieu!G:M,5,0),"")</f>
        <v>nt</v>
      </c>
      <c r="L89" s="1735">
        <f>IFERROR(VLOOKUP(A89,Solieu!G:M,6,0),"")</f>
        <v>0</v>
      </c>
      <c r="M89" s="1596" t="str">
        <f>IFERROR(VLOOKUP(A89,Solieu!G:M,7,0),"")</f>
        <v/>
      </c>
      <c r="N89" s="1191" t="s">
        <v>4122</v>
      </c>
      <c r="O89" s="1349">
        <f t="shared" si="1"/>
        <v>1</v>
      </c>
      <c r="P89" s="1187"/>
      <c r="Q89" s="1347"/>
      <c r="R89" s="1351"/>
    </row>
    <row r="90" spans="1:18" s="823" customFormat="1" ht="35.1" customHeight="1">
      <c r="A90" s="1917" t="str">
        <f>VLOOKUP(ROW()-ROW($A$5),TongHopKL!A:B,2,0)</f>
        <v>kn50</v>
      </c>
      <c r="B90" s="1592">
        <f>SUM($O$6:O90)</f>
        <v>85</v>
      </c>
      <c r="C90" s="1593" t="str">
        <f>(VLOOKUP(A90,TongHopKL!B:F,5,0))</f>
        <v>Khóa néo dây cỡ dây 50</v>
      </c>
      <c r="D90" s="1594" t="str">
        <f>IFERROR(VLOOKUP(A90,DG!A:D,4,0),0)</f>
        <v>cái</v>
      </c>
      <c r="E90" s="1595">
        <f>SUMIF(TongHopKL!B:B,'NT-VT'!A90,ThiCong)</f>
        <v>1</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4122</v>
      </c>
      <c r="O90" s="1349">
        <f t="shared" si="1"/>
        <v>1</v>
      </c>
      <c r="P90" s="1187"/>
      <c r="Q90" s="1347"/>
      <c r="R90" s="1351"/>
    </row>
    <row r="91" spans="1:18" s="823" customFormat="1" ht="35.1" customHeight="1">
      <c r="A91" s="1917" t="str">
        <f>VLOOKUP(ROW()-ROW($A$5),TongHopKL!A:B,2,0)</f>
        <v>BM16300</v>
      </c>
      <c r="B91" s="1592">
        <f>SUM($O$6:O91)</f>
        <v>86</v>
      </c>
      <c r="C91" s="1593" t="str">
        <f>(VLOOKUP(A91,TongHopKL!B:F,5,0))</f>
        <v>Boulon mắt 16x300+ 2 long đền vuông D18-50x50x3/Zn</v>
      </c>
      <c r="D91" s="1594" t="str">
        <f>IFERROR(VLOOKUP(A91,DG!A:D,4,0),0)</f>
        <v>bộ</v>
      </c>
      <c r="E91" s="1595">
        <f>SUMIF(TongHopKL!B:B,'NT-VT'!A91,ThiCong)</f>
        <v>1</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4122</v>
      </c>
      <c r="O91" s="1349">
        <f t="shared" si="1"/>
        <v>1</v>
      </c>
      <c r="P91" s="1187"/>
      <c r="Q91" s="1347"/>
      <c r="R91" s="1351"/>
    </row>
    <row r="92" spans="1:18" s="823" customFormat="1" ht="35.1" customHeight="1">
      <c r="A92" s="1917" t="str">
        <f>VLOOKUP(ROW()-ROW($A$5),TongHopKL!A:B,2,0)</f>
        <v>kn70</v>
      </c>
      <c r="B92" s="1592">
        <f>SUM($O$6:O92)</f>
        <v>87</v>
      </c>
      <c r="C92" s="1593" t="str">
        <f>(VLOOKUP(A92,TongHopKL!B:F,5,0))</f>
        <v>Khóa néo dây cỡ dây 70</v>
      </c>
      <c r="D92" s="1594" t="str">
        <f>IFERROR(VLOOKUP(A92,DG!A:D,4,0),0)</f>
        <v>cái</v>
      </c>
      <c r="E92" s="1595">
        <f>SUMIF(TongHopKL!B:B,'NT-VT'!A92,ThiCong)</f>
        <v>10</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4122</v>
      </c>
      <c r="O92" s="1349">
        <f t="shared" si="1"/>
        <v>1</v>
      </c>
      <c r="P92" s="1187"/>
      <c r="Q92" s="1347"/>
      <c r="R92" s="1351"/>
    </row>
    <row r="93" spans="1:18" s="823" customFormat="1" ht="35.1" customHeight="1">
      <c r="A93" s="1917" t="str">
        <f>VLOOKUP(ROW()-ROW($A$5),TongHopKL!A:B,2,0)</f>
        <v>BM16550</v>
      </c>
      <c r="B93" s="1592">
        <f>SUM($O$6:O93)</f>
        <v>88</v>
      </c>
      <c r="C93" s="1593" t="str">
        <f>(VLOOKUP(A93,TongHopKL!B:F,5,0))</f>
        <v>Boulon mắt 16x550+ 1 long đền vuông D18-50x50x3/Zn</v>
      </c>
      <c r="D93" s="1594" t="str">
        <f>IFERROR(VLOOKUP(A93,DG!A:D,4,0),0)</f>
        <v>bộ</v>
      </c>
      <c r="E93" s="1595">
        <f>SUMIF(TongHopKL!B:B,'NT-VT'!A93,ThiCong)</f>
        <v>1</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4122</v>
      </c>
      <c r="O93" s="1349">
        <f t="shared" si="1"/>
        <v>1</v>
      </c>
      <c r="P93" s="1187"/>
      <c r="Q93" s="1347"/>
      <c r="R93" s="1351"/>
    </row>
    <row r="94" spans="1:18" s="823" customFormat="1" ht="35.1" customHeight="1">
      <c r="A94" s="1917" t="str">
        <f>VLOOKUP(ROW()-ROW($A$5),TongHopKL!A:B,2,0)</f>
        <v>MT</v>
      </c>
      <c r="B94" s="1592">
        <f>SUM($O$6:O94)</f>
        <v>89</v>
      </c>
      <c r="C94" s="1593" t="str">
        <f>(VLOOKUP(A94,TongHopKL!B:F,5,0))</f>
        <v xml:space="preserve">Móc treo chữ U </v>
      </c>
      <c r="D94" s="1594" t="str">
        <f>IFERROR(VLOOKUP(A94,DG!A:D,4,0),0)</f>
        <v>cái</v>
      </c>
      <c r="E94" s="1595">
        <f>SUMIF(TongHopKL!B:B,'NT-VT'!A94,ThiCong)</f>
        <v>44</v>
      </c>
      <c r="F94" s="1592" t="str">
        <f>IFERROR(VLOOKUP(A94,Solieu!G:M,2,0),"")</f>
        <v>nt</v>
      </c>
      <c r="G94" s="1592" t="str">
        <f>IFERROR(VLOOKUP(A94,Solieu!G:M,3,0),"")</f>
        <v>nt</v>
      </c>
      <c r="H94" s="1592"/>
      <c r="I94" s="1596"/>
      <c r="J94" s="1597" t="str">
        <f>IFERROR(VLOOKUP(A94,Solieu!G:M,4,0),"")</f>
        <v>nt</v>
      </c>
      <c r="K94" s="1598" t="str">
        <f>IFERROR(VLOOKUP(A94,Solieu!G:M,5,0),"")</f>
        <v>nt</v>
      </c>
      <c r="L94" s="1735">
        <f>IFERROR(VLOOKUP(A94,Solieu!G:M,6,0),"")</f>
        <v>0</v>
      </c>
      <c r="M94" s="1596" t="str">
        <f>IFERROR(VLOOKUP(A94,Solieu!G:M,7,0),"")</f>
        <v/>
      </c>
      <c r="N94" s="1191" t="s">
        <v>4122</v>
      </c>
      <c r="O94" s="1349">
        <f t="shared" si="1"/>
        <v>1</v>
      </c>
      <c r="P94" s="1187"/>
      <c r="Q94" s="1347"/>
      <c r="R94" s="1351"/>
    </row>
    <row r="95" spans="1:18" s="823" customFormat="1" ht="35.1" customHeight="1">
      <c r="A95" s="1917" t="str">
        <f>VLOOKUP(ROW()-ROW($A$5),TongHopKL!A:B,2,0)</f>
        <v>GNIU95b</v>
      </c>
      <c r="B95" s="1592">
        <f>SUM($O$6:O95)</f>
        <v>90</v>
      </c>
      <c r="C95" s="1593" t="str">
        <f>(VLOOKUP(A95,TongHopKL!B:F,5,0))</f>
        <v>Giáp níu dừng dây bọc (70-95mm2)</v>
      </c>
      <c r="D95" s="1594" t="str">
        <f>IFERROR(VLOOKUP(A95,DG!A:D,4,0),0)</f>
        <v>cái</v>
      </c>
      <c r="E95" s="1595">
        <f>SUMIF(TongHopKL!B:B,'NT-VT'!A95,ThiCong)</f>
        <v>22</v>
      </c>
      <c r="F95" s="1592" t="str">
        <f>IFERROR(VLOOKUP(A95,Solieu!G:M,2,0),"")</f>
        <v>nt</v>
      </c>
      <c r="G95" s="1592" t="str">
        <f>IFERROR(VLOOKUP(A95,Solieu!G:M,3,0),"")</f>
        <v>nt</v>
      </c>
      <c r="H95" s="1592"/>
      <c r="I95" s="1596"/>
      <c r="J95" s="1597" t="str">
        <f>IFERROR(VLOOKUP(A95,Solieu!G:M,4,0),"")</f>
        <v>nt</v>
      </c>
      <c r="K95" s="1598" t="str">
        <f>IFERROR(VLOOKUP(A95,Solieu!G:M,5,0),"")</f>
        <v>nt</v>
      </c>
      <c r="L95" s="1735">
        <f>IFERROR(VLOOKUP(A95,Solieu!G:M,6,0),"")</f>
        <v>0</v>
      </c>
      <c r="M95" s="1596" t="str">
        <f>IFERROR(VLOOKUP(A95,Solieu!G:M,7,0),"")</f>
        <v/>
      </c>
      <c r="N95" s="1191" t="s">
        <v>4122</v>
      </c>
      <c r="O95" s="1349">
        <f t="shared" si="1"/>
        <v>1</v>
      </c>
      <c r="P95" s="1187"/>
      <c r="Q95" s="1347"/>
      <c r="R95" s="1351"/>
    </row>
    <row r="96" spans="1:18" s="823" customFormat="1" ht="35.1" customHeight="1">
      <c r="A96" s="1917" t="str">
        <f>VLOOKUP(ROW()-ROW($A$5),TongHopKL!A:B,2,0)</f>
        <v>ssf-50-2</v>
      </c>
      <c r="B96" s="1592">
        <f>SUM($O$6:O96)</f>
        <v>91</v>
      </c>
      <c r="C96" s="1593" t="str">
        <f>(VLOOKUP(A96,TongHopKL!B:F,5,0))</f>
        <v>Dây buộc cổ sứ đôi cỡ dây 50 mm2</v>
      </c>
      <c r="D96" s="1594" t="str">
        <f>IFERROR(VLOOKUP(A96,DG!A:D,4,0),0)</f>
        <v>cái</v>
      </c>
      <c r="E96" s="1595">
        <f>SUMIF(TongHopKL!B:B,'NT-VT'!A96,ThiCong)</f>
        <v>6</v>
      </c>
      <c r="F96" s="1592" t="str">
        <f>IFERROR(VLOOKUP(A96,Solieu!G:M,2,0),"")</f>
        <v>nt</v>
      </c>
      <c r="G96" s="1592" t="str">
        <f>IFERROR(VLOOKUP(A96,Solieu!G:M,3,0),"")</f>
        <v>nt</v>
      </c>
      <c r="H96" s="1592"/>
      <c r="I96" s="1596"/>
      <c r="J96" s="1597" t="str">
        <f>IFERROR(VLOOKUP(A96,Solieu!G:M,4,0),"")</f>
        <v>nt</v>
      </c>
      <c r="K96" s="1598" t="str">
        <f>IFERROR(VLOOKUP(A96,Solieu!G:M,5,0),"")</f>
        <v>nt</v>
      </c>
      <c r="L96" s="1735">
        <f>IFERROR(VLOOKUP(A96,Solieu!G:M,6,0),"")</f>
        <v>0</v>
      </c>
      <c r="M96" s="1596" t="str">
        <f>IFERROR(VLOOKUP(A96,Solieu!G:M,7,0),"")</f>
        <v/>
      </c>
      <c r="N96" s="1191" t="s">
        <v>4122</v>
      </c>
      <c r="O96" s="1349">
        <f t="shared" si="1"/>
        <v>1</v>
      </c>
      <c r="P96" s="1187"/>
      <c r="Q96" s="1347"/>
      <c r="R96" s="1351"/>
    </row>
    <row r="97" spans="1:18" s="823" customFormat="1" ht="35.1" customHeight="1">
      <c r="A97" s="1917" t="str">
        <f>VLOOKUP(ROW()-ROW($A$5),TongHopKL!A:B,2,0)</f>
        <v>KQ2/0</v>
      </c>
      <c r="B97" s="1592">
        <f>SUM($O$6:O97)</f>
        <v>92</v>
      </c>
      <c r="C97" s="1593" t="str">
        <f>(VLOOKUP(A97,TongHopKL!B:F,5,0))</f>
        <v>Kẹp quai 2/0</v>
      </c>
      <c r="D97" s="1594" t="str">
        <f>IFERROR(VLOOKUP(A97,DG!A:D,4,0),0)</f>
        <v>cái</v>
      </c>
      <c r="E97" s="1595">
        <f>SUMIF(TongHopKL!B:B,'NT-VT'!A97,ThiCong)</f>
        <v>7</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4122</v>
      </c>
      <c r="O97" s="1349">
        <f t="shared" si="1"/>
        <v>1</v>
      </c>
      <c r="P97" s="1187"/>
      <c r="Q97" s="1347"/>
      <c r="R97" s="1351"/>
    </row>
    <row r="98" spans="1:18" s="823" customFormat="1" ht="35.1" customHeight="1">
      <c r="A98" s="1917" t="str">
        <f>VLOOKUP(ROW()-ROW($A$5),TongHopKL!A:B,2,0)</f>
        <v>KH2/0</v>
      </c>
      <c r="B98" s="1592">
        <f>SUM($O$6:O98)</f>
        <v>93</v>
      </c>
      <c r="C98" s="1593" t="str">
        <f>(VLOOKUP(A98,TongHopKL!B:F,5,0))</f>
        <v>Kẹp hotline 2/0</v>
      </c>
      <c r="D98" s="1594" t="str">
        <f>IFERROR(VLOOKUP(A98,DG!A:D,4,0),0)</f>
        <v>cái</v>
      </c>
      <c r="E98" s="1595">
        <f>SUMIF(TongHopKL!B:B,'NT-VT'!A98,ThiCong)</f>
        <v>7</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4122</v>
      </c>
      <c r="O98" s="1349">
        <f t="shared" si="1"/>
        <v>1</v>
      </c>
      <c r="P98" s="1187"/>
      <c r="Q98" s="1347"/>
      <c r="R98" s="1351"/>
    </row>
    <row r="99" spans="1:18" s="823" customFormat="1" ht="35.1" customHeight="1">
      <c r="A99" s="1917" t="str">
        <f>VLOOKUP(ROW()-ROW($A$5),TongHopKL!A:B,2,0)</f>
        <v>COSe50</v>
      </c>
      <c r="B99" s="1592">
        <f>SUM($O$6:O99)</f>
        <v>94</v>
      </c>
      <c r="C99" s="1593" t="str">
        <f>(VLOOKUP(A99,TongHopKL!B:F,5,0))</f>
        <v>Đầu cosse ép Cu-Al 50mm2</v>
      </c>
      <c r="D99" s="1594" t="str">
        <f>IFERROR(VLOOKUP(A99,DG!A:D,4,0),0)</f>
        <v>cái</v>
      </c>
      <c r="E99" s="1595">
        <f>SUMIF(TongHopKL!B:B,'NT-VT'!A99,ThiCong)</f>
        <v>3</v>
      </c>
      <c r="F99" s="1592" t="str">
        <f>IFERROR(VLOOKUP(A99,Solieu!G:M,2,0),"")</f>
        <v>nt</v>
      </c>
      <c r="G99" s="1592" t="str">
        <f>IFERROR(VLOOKUP(A99,Solieu!G:M,3,0),"")</f>
        <v>nt</v>
      </c>
      <c r="H99" s="1592"/>
      <c r="I99" s="1596"/>
      <c r="J99" s="1597" t="str">
        <f>IFERROR(VLOOKUP(A99,Solieu!G:M,4,0),"")</f>
        <v>nt</v>
      </c>
      <c r="K99" s="1598" t="str">
        <f>IFERROR(VLOOKUP(A99,Solieu!G:M,5,0),"")</f>
        <v>nt</v>
      </c>
      <c r="L99" s="1735">
        <f>IFERROR(VLOOKUP(A99,Solieu!G:M,6,0),"")</f>
        <v>0</v>
      </c>
      <c r="M99" s="1596" t="str">
        <f>IFERROR(VLOOKUP(A99,Solieu!G:M,7,0),"")</f>
        <v/>
      </c>
      <c r="N99" s="1191" t="s">
        <v>4122</v>
      </c>
      <c r="O99" s="1349">
        <f t="shared" si="1"/>
        <v>1</v>
      </c>
      <c r="P99" s="1187"/>
      <c r="Q99" s="1347"/>
      <c r="R99" s="1351"/>
    </row>
    <row r="100" spans="1:18" s="823" customFormat="1" ht="35.1" customHeight="1">
      <c r="A100" s="1917" t="str">
        <f>VLOOKUP(ROW()-ROW($A$5),TongHopKL!A:B,2,0)</f>
        <v>COS50</v>
      </c>
      <c r="B100" s="1592">
        <f>SUM($O$6:O100)</f>
        <v>95</v>
      </c>
      <c r="C100" s="1593" t="str">
        <f>(VLOOKUP(A100,TongHopKL!B:F,5,0))</f>
        <v>Đầu cosse ép Cu 50mm2</v>
      </c>
      <c r="D100" s="1594" t="str">
        <f>IFERROR(VLOOKUP(A100,DG!A:D,4,0),0)</f>
        <v>cái</v>
      </c>
      <c r="E100" s="1595">
        <f>SUMIF(TongHopKL!B:B,'NT-VT'!A100,ThiCong)</f>
        <v>3</v>
      </c>
      <c r="F100" s="1592" t="str">
        <f>IFERROR(VLOOKUP(A100,Solieu!G:M,2,0),"")</f>
        <v>nt</v>
      </c>
      <c r="G100" s="1592" t="str">
        <f>IFERROR(VLOOKUP(A100,Solieu!G:M,3,0),"")</f>
        <v>nt</v>
      </c>
      <c r="H100" s="1592"/>
      <c r="I100" s="1596"/>
      <c r="J100" s="1597" t="str">
        <f>IFERROR(VLOOKUP(A100,Solieu!G:M,4,0),"")</f>
        <v>nt</v>
      </c>
      <c r="K100" s="1598" t="str">
        <f>IFERROR(VLOOKUP(A100,Solieu!G:M,5,0),"")</f>
        <v>nt</v>
      </c>
      <c r="L100" s="1735">
        <f>IFERROR(VLOOKUP(A100,Solieu!G:M,6,0),"")</f>
        <v>0</v>
      </c>
      <c r="M100" s="1596" t="str">
        <f>IFERROR(VLOOKUP(A100,Solieu!G:M,7,0),"")</f>
        <v/>
      </c>
      <c r="N100" s="1191" t="s">
        <v>4122</v>
      </c>
      <c r="O100" s="1349">
        <f t="shared" si="1"/>
        <v>1</v>
      </c>
      <c r="P100" s="1187"/>
      <c r="Q100" s="1347"/>
      <c r="R100" s="1351"/>
    </row>
    <row r="101" spans="1:18" s="823" customFormat="1" ht="35.1" customHeight="1">
      <c r="A101" s="1917" t="str">
        <f>VLOOKUP(ROW()-ROW($A$5),TongHopKL!A:B,2,0)</f>
        <v>COS25</v>
      </c>
      <c r="B101" s="1592">
        <f>SUM($O$6:O101)</f>
        <v>96</v>
      </c>
      <c r="C101" s="1593" t="str">
        <f>(VLOOKUP(A101,TongHopKL!B:F,5,0))</f>
        <v>Đầu cosse ép Cu 25mm2</v>
      </c>
      <c r="D101" s="1594" t="str">
        <f>IFERROR(VLOOKUP(A101,DG!A:D,4,0),0)</f>
        <v>cái</v>
      </c>
      <c r="E101" s="1595">
        <f>SUMIF(TongHopKL!B:B,'NT-VT'!A101,TongHopKL!H:H)</f>
        <v>6</v>
      </c>
      <c r="F101" s="1592" t="str">
        <f>IFERROR(VLOOKUP(A101,Solieu!G:M,2,0),"")</f>
        <v>nt</v>
      </c>
      <c r="G101" s="1592" t="str">
        <f>IFERROR(VLOOKUP(A101,Solieu!G:M,3,0),"")</f>
        <v>nt</v>
      </c>
      <c r="H101" s="1592"/>
      <c r="I101" s="1596"/>
      <c r="J101" s="1597" t="str">
        <f>IFERROR(VLOOKUP(A101,Solieu!G:M,4,0),"")</f>
        <v>nt</v>
      </c>
      <c r="K101" s="1598" t="str">
        <f>IFERROR(VLOOKUP(A101,Solieu!G:M,5,0),"")</f>
        <v>nt</v>
      </c>
      <c r="L101" s="1735">
        <f>IFERROR(VLOOKUP(A101,Solieu!G:M,6,0),"")</f>
        <v>0</v>
      </c>
      <c r="M101" s="1596" t="str">
        <f>IFERROR(VLOOKUP(A101,Solieu!G:M,7,0),"")</f>
        <v/>
      </c>
      <c r="N101" s="1191" t="s">
        <v>4122</v>
      </c>
      <c r="O101" s="1349">
        <f t="shared" si="1"/>
        <v>1</v>
      </c>
      <c r="P101" s="1187"/>
      <c r="Q101" s="1347"/>
      <c r="R101" s="1351"/>
    </row>
    <row r="102" spans="1:18" s="823" customFormat="1" ht="35.1" customHeight="1">
      <c r="A102" s="1917" t="str">
        <f>VLOOKUP(ROW()-ROW($A$5),TongHopKL!A:B,2,0)</f>
        <v>OCN</v>
      </c>
      <c r="B102" s="1592">
        <f>SUM($O$6:O102)</f>
        <v>97</v>
      </c>
      <c r="C102" s="1593" t="str">
        <f>(VLOOKUP(A102,TongHopKL!B:F,5,0))</f>
        <v>Ống co nhiệt</v>
      </c>
      <c r="D102" s="1594" t="str">
        <f>IFERROR(VLOOKUP(A102,DG!A:D,4,0),0)</f>
        <v>m</v>
      </c>
      <c r="E102" s="1595">
        <f>SUMIF(TongHopKL!B:B,'NT-VT'!A102,TongHopKL!H:H)</f>
        <v>6</v>
      </c>
      <c r="F102" s="1592" t="str">
        <f>IFERROR(VLOOKUP(A102,Solieu!G:M,2,0),"")</f>
        <v>nt</v>
      </c>
      <c r="G102" s="1592" t="str">
        <f>IFERROR(VLOOKUP(A102,Solieu!G:M,3,0),"")</f>
        <v>nt</v>
      </c>
      <c r="H102" s="1592"/>
      <c r="I102" s="1596"/>
      <c r="J102" s="1597" t="str">
        <f>IFERROR(VLOOKUP(A102,Solieu!G:M,4,0),"")</f>
        <v>nt</v>
      </c>
      <c r="K102" s="1598" t="str">
        <f>IFERROR(VLOOKUP(A102,Solieu!G:M,5,0),"")</f>
        <v>nt</v>
      </c>
      <c r="L102" s="1735">
        <f>IFERROR(VLOOKUP(A102,Solieu!G:M,6,0),"")</f>
        <v>0</v>
      </c>
      <c r="M102" s="1596" t="str">
        <f>IFERROR(VLOOKUP(A102,Solieu!G:M,7,0),"")</f>
        <v/>
      </c>
      <c r="N102" s="1191" t="s">
        <v>4122</v>
      </c>
      <c r="O102" s="1349">
        <f t="shared" si="1"/>
        <v>1</v>
      </c>
      <c r="P102" s="1187"/>
      <c r="Q102" s="1347"/>
      <c r="R102" s="1351"/>
    </row>
    <row r="103" spans="1:18" s="823" customFormat="1" ht="35.1" customHeight="1">
      <c r="A103" s="1917" t="str">
        <f>VLOOKUP(ROW()-ROW($A$5),TongHopKL!A:B,2,0)</f>
        <v>BANGKEOTT</v>
      </c>
      <c r="B103" s="1592">
        <f>SUM($O$6:O103)</f>
        <v>98</v>
      </c>
      <c r="C103" s="1593" t="str">
        <f>(VLOOKUP(A103,TongHopKL!B:F,5,0))</f>
        <v>Băng keo cách điện trung thế</v>
      </c>
      <c r="D103" s="1594" t="str">
        <f>IFERROR(VLOOKUP(A103,DG!A:D,4,0),0)</f>
        <v>cuộn</v>
      </c>
      <c r="E103" s="1595">
        <f>SUMIF(TongHopKL!B:B,'NT-VT'!A103,TongHopKL!H:H)</f>
        <v>4</v>
      </c>
      <c r="F103" s="1592" t="str">
        <f>IFERROR(VLOOKUP(A103,Solieu!G:M,2,0),"")</f>
        <v>nt</v>
      </c>
      <c r="G103" s="1592" t="str">
        <f>IFERROR(VLOOKUP(A103,Solieu!G:M,3,0),"")</f>
        <v>nt</v>
      </c>
      <c r="H103" s="1592"/>
      <c r="I103" s="1596"/>
      <c r="J103" s="1597" t="str">
        <f>IFERROR(VLOOKUP(A103,Solieu!G:M,4,0),"")</f>
        <v>nt</v>
      </c>
      <c r="K103" s="1598" t="str">
        <f>IFERROR(VLOOKUP(A103,Solieu!G:M,5,0),"")</f>
        <v>nt</v>
      </c>
      <c r="L103" s="1735">
        <f>IFERROR(VLOOKUP(A103,Solieu!G:M,6,0),"")</f>
        <v>0</v>
      </c>
      <c r="M103" s="1596" t="str">
        <f>IFERROR(VLOOKUP(A103,Solieu!G:M,7,0),"")</f>
        <v/>
      </c>
      <c r="N103" s="1191" t="s">
        <v>4122</v>
      </c>
      <c r="O103" s="1349">
        <f t="shared" si="1"/>
        <v>1</v>
      </c>
      <c r="P103" s="1187"/>
      <c r="Q103" s="1347"/>
      <c r="R103" s="1351"/>
    </row>
    <row r="104" spans="1:18" s="823" customFormat="1" ht="35.1" customHeight="1">
      <c r="A104" s="1917" t="str">
        <f>VLOOKUP(ROW()-ROW($A$5),TongHopKL!A:B,2,0)</f>
        <v>batlA</v>
      </c>
      <c r="B104" s="1592">
        <f>SUM($O$6:O104)</f>
        <v>99</v>
      </c>
      <c r="C104" s="1593" t="str">
        <f>(VLOOKUP(A104,TongHopKL!B:F,5,0))</f>
        <v>Bass LI bắt LA</v>
      </c>
      <c r="D104" s="1594" t="str">
        <f>IFERROR(VLOOKUP(A104,DG!A:D,4,0),0)</f>
        <v>Bộ</v>
      </c>
      <c r="E104" s="1595">
        <f>SUMIF(TongHopKL!B:B,'NT-VT'!A104,TongHopKL!H:H)</f>
        <v>10</v>
      </c>
      <c r="F104" s="1592" t="str">
        <f>IFERROR(VLOOKUP(A104,Solieu!G:M,2,0),"")</f>
        <v>nt</v>
      </c>
      <c r="G104" s="1592" t="str">
        <f>IFERROR(VLOOKUP(A104,Solieu!G:M,3,0),"")</f>
        <v>nt</v>
      </c>
      <c r="H104" s="1592"/>
      <c r="I104" s="1596"/>
      <c r="J104" s="1597" t="str">
        <f>IFERROR(VLOOKUP(A104,Solieu!G:M,4,0),"")</f>
        <v>nt</v>
      </c>
      <c r="K104" s="1598" t="str">
        <f>IFERROR(VLOOKUP(A104,Solieu!G:M,5,0),"")</f>
        <v>nt</v>
      </c>
      <c r="L104" s="1735">
        <f>IFERROR(VLOOKUP(A104,Solieu!G:M,6,0),"")</f>
        <v>0</v>
      </c>
      <c r="M104" s="1596" t="str">
        <f>IFERROR(VLOOKUP(A104,Solieu!G:M,7,0),"")</f>
        <v/>
      </c>
      <c r="N104" s="1191" t="s">
        <v>4122</v>
      </c>
      <c r="O104" s="1349">
        <f t="shared" si="1"/>
        <v>1</v>
      </c>
      <c r="P104" s="1187"/>
      <c r="Q104" s="1347"/>
      <c r="R104" s="1351"/>
    </row>
    <row r="105" spans="1:18" s="823" customFormat="1" ht="35.1" customHeight="1">
      <c r="A105" s="1917" t="str">
        <f>VLOOKUP(ROW()-ROW($A$5),TongHopKL!A:B,2,0)</f>
        <v>CHUPKQ</v>
      </c>
      <c r="B105" s="1592">
        <f>SUM($O$6:O105)</f>
        <v>100</v>
      </c>
      <c r="C105" s="1593" t="str">
        <f>(VLOOKUP(A105,TongHopKL!B:F,5,0))</f>
        <v>Chụp cách điện kẹp quai</v>
      </c>
      <c r="D105" s="1594" t="str">
        <f>IFERROR(VLOOKUP(A105,DG!A:D,4,0),0)</f>
        <v>Cái</v>
      </c>
      <c r="E105" s="1595">
        <f>SUMIF(TongHopKL!B:B,'NT-VT'!A105,TongHopKL!H:H)</f>
        <v>7</v>
      </c>
      <c r="F105" s="1592" t="str">
        <f>IFERROR(VLOOKUP(A105,Solieu!G:M,2,0),"")</f>
        <v>nt</v>
      </c>
      <c r="G105" s="1592" t="str">
        <f>IFERROR(VLOOKUP(A105,Solieu!G:M,3,0),"")</f>
        <v>nt</v>
      </c>
      <c r="H105" s="1592"/>
      <c r="I105" s="1596"/>
      <c r="J105" s="1597" t="str">
        <f>IFERROR(VLOOKUP(A105,Solieu!G:M,4,0),"")</f>
        <v>nt</v>
      </c>
      <c r="K105" s="1598" t="str">
        <f>IFERROR(VLOOKUP(A105,Solieu!G:M,5,0),"")</f>
        <v>nt</v>
      </c>
      <c r="L105" s="1735">
        <f>IFERROR(VLOOKUP(A105,Solieu!G:M,6,0),"")</f>
        <v>0</v>
      </c>
      <c r="M105" s="1596" t="str">
        <f>IFERROR(VLOOKUP(A105,Solieu!G:M,7,0),"")</f>
        <v/>
      </c>
      <c r="N105" s="1191" t="s">
        <v>4122</v>
      </c>
      <c r="O105" s="1349">
        <f t="shared" si="1"/>
        <v>1</v>
      </c>
      <c r="P105" s="1187"/>
      <c r="Q105" s="1347"/>
      <c r="R105" s="1351"/>
    </row>
    <row r="106" spans="1:18" s="823" customFormat="1" ht="35.1" customHeight="1">
      <c r="A106" s="1917" t="str">
        <f>VLOOKUP(ROW()-ROW($A$5),TongHopKL!A:B,2,0)</f>
        <v>CHUPLBS</v>
      </c>
      <c r="B106" s="1592">
        <f>SUM($O$6:O106)</f>
        <v>101</v>
      </c>
      <c r="C106" s="1593" t="str">
        <f>(VLOOKUP(A106,TongHopKL!B:F,5,0))</f>
        <v>Nắp che đầu sứ LBS (Recloser)</v>
      </c>
      <c r="D106" s="1594" t="str">
        <f>IFERROR(VLOOKUP(A106,DG!A:D,4,0),0)</f>
        <v>cái</v>
      </c>
      <c r="E106" s="1595">
        <f>SUMIF(TongHopKL!B:B,'NT-VT'!A106,TongHopKL!H:H)</f>
        <v>6</v>
      </c>
      <c r="F106" s="1592" t="str">
        <f>IFERROR(VLOOKUP(A106,Solieu!G:M,2,0),"")</f>
        <v>nt</v>
      </c>
      <c r="G106" s="1592" t="str">
        <f>IFERROR(VLOOKUP(A106,Solieu!G:M,3,0),"")</f>
        <v>nt</v>
      </c>
      <c r="H106" s="1592"/>
      <c r="I106" s="1596"/>
      <c r="J106" s="1597" t="str">
        <f>IFERROR(VLOOKUP(A106,Solieu!G:M,4,0),"")</f>
        <v>nt</v>
      </c>
      <c r="K106" s="1598" t="str">
        <f>IFERROR(VLOOKUP(A106,Solieu!G:M,5,0),"")</f>
        <v>nt</v>
      </c>
      <c r="L106" s="1735">
        <f>IFERROR(VLOOKUP(A106,Solieu!G:M,6,0),"")</f>
        <v>0</v>
      </c>
      <c r="M106" s="1596" t="str">
        <f>IFERROR(VLOOKUP(A106,Solieu!G:M,7,0),"")</f>
        <v/>
      </c>
      <c r="N106" s="1191" t="s">
        <v>4122</v>
      </c>
      <c r="O106" s="1349">
        <f t="shared" si="1"/>
        <v>1</v>
      </c>
      <c r="P106" s="1187"/>
      <c r="Q106" s="1347"/>
      <c r="R106" s="1351"/>
    </row>
    <row r="107" spans="1:18" s="823" customFormat="1" ht="35.1" customHeight="1">
      <c r="A107" s="1917" t="str">
        <f>VLOOKUP(ROW()-ROW($A$5),TongHopKL!A:B,2,0)</f>
        <v>CHUPFCO</v>
      </c>
      <c r="B107" s="1592">
        <f>SUM($O$6:O107)</f>
        <v>102</v>
      </c>
      <c r="C107" s="1593" t="str">
        <f>(VLOOKUP(A107,DG!A:C,3,0))</f>
        <v>Nắp che đầu cực FCO</v>
      </c>
      <c r="D107" s="1594" t="str">
        <f>IFERROR(VLOOKUP(A107,DG!A:D,4,0),0)</f>
        <v>cái</v>
      </c>
      <c r="E107" s="1595">
        <f>SUMIF(TongHopKL!B:B,'NT-VT'!A107,TongHopKL!H:H)</f>
        <v>4</v>
      </c>
      <c r="F107" s="1592" t="str">
        <f>IFERROR(VLOOKUP(A107,Solieu!G:M,2,0),"")</f>
        <v>nt</v>
      </c>
      <c r="G107" s="1592" t="str">
        <f>IFERROR(VLOOKUP(A107,Solieu!G:M,3,0),"")</f>
        <v>nt</v>
      </c>
      <c r="H107" s="1592"/>
      <c r="I107" s="1596"/>
      <c r="J107" s="1597" t="str">
        <f>IFERROR(VLOOKUP(A107,Solieu!G:M,4,0),"")</f>
        <v>nt</v>
      </c>
      <c r="K107" s="1598" t="str">
        <f>IFERROR(VLOOKUP(A107,Solieu!G:M,5,0),"")</f>
        <v>nt</v>
      </c>
      <c r="L107" s="1735">
        <f>IFERROR(VLOOKUP(A107,Solieu!G:M,6,0),"")</f>
        <v>0</v>
      </c>
      <c r="M107" s="1596" t="str">
        <f>IFERROR(VLOOKUP(A107,Solieu!G:M,7,0),"")</f>
        <v/>
      </c>
      <c r="N107" s="1191" t="s">
        <v>4122</v>
      </c>
      <c r="O107" s="1349">
        <f t="shared" si="1"/>
        <v>1</v>
      </c>
      <c r="P107" s="1187"/>
      <c r="Q107" s="1347"/>
      <c r="R107" s="1351"/>
    </row>
    <row r="108" spans="1:18" s="823" customFormat="1" ht="35.1" customHeight="1">
      <c r="A108" s="1917" t="str">
        <f>VLOOKUP(ROW()-ROW($A$5),TongHopKL!A:B,2,0)</f>
        <v>CHUPLA</v>
      </c>
      <c r="B108" s="1592">
        <f>SUM($O$6:O108)</f>
        <v>103</v>
      </c>
      <c r="C108" s="1593" t="str">
        <f>(VLOOKUP(A108,DG!A:C,3,0))</f>
        <v>Nắp che đầu cực LA</v>
      </c>
      <c r="D108" s="1594" t="str">
        <f>IFERROR(VLOOKUP(A108,DG!A:D,4,0),0)</f>
        <v>cái</v>
      </c>
      <c r="E108" s="1595">
        <f>SUMIF(TongHopKL!B:B,'NT-VT'!A108,TongHopKL!H:H)</f>
        <v>6</v>
      </c>
      <c r="F108" s="1592" t="str">
        <f>IFERROR(VLOOKUP(A108,Solieu!G:M,2,0),"")</f>
        <v>nt</v>
      </c>
      <c r="G108" s="1592" t="str">
        <f>IFERROR(VLOOKUP(A108,Solieu!G:M,3,0),"")</f>
        <v>nt</v>
      </c>
      <c r="H108" s="1592"/>
      <c r="I108" s="1596"/>
      <c r="J108" s="1597" t="str">
        <f>IFERROR(VLOOKUP(A108,Solieu!G:M,4,0),"")</f>
        <v>nt</v>
      </c>
      <c r="K108" s="1598" t="str">
        <f>IFERROR(VLOOKUP(A108,Solieu!G:M,5,0),"")</f>
        <v>nt</v>
      </c>
      <c r="L108" s="1735">
        <f>IFERROR(VLOOKUP(A108,Solieu!G:M,6,0),"")</f>
        <v>0</v>
      </c>
      <c r="M108" s="1596" t="str">
        <f>IFERROR(VLOOKUP(A108,Solieu!G:M,7,0),"")</f>
        <v/>
      </c>
      <c r="N108" s="1191" t="s">
        <v>4122</v>
      </c>
      <c r="O108" s="1349">
        <f t="shared" si="1"/>
        <v>1</v>
      </c>
      <c r="P108" s="1187"/>
      <c r="Q108" s="1347"/>
      <c r="R108" s="1351"/>
    </row>
    <row r="109" spans="1:18" s="823" customFormat="1" ht="35.1" customHeight="1">
      <c r="A109" s="1917" t="str">
        <f>VLOOKUP(ROW()-ROW($A$5),TongHopKL!A:B,2,0)</f>
        <v>PVC42</v>
      </c>
      <c r="B109" s="1592">
        <f>SUM($O$6:O109)</f>
        <v>104</v>
      </c>
      <c r="C109" s="1593" t="str">
        <f>(VLOOKUP(A109,DG!A:C,3,0))</f>
        <v>Ống PVC D42x2,1mm</v>
      </c>
      <c r="D109" s="1594" t="str">
        <f>IFERROR(VLOOKUP(A109,DG!A:D,4,0),0)</f>
        <v>m</v>
      </c>
      <c r="E109" s="1595">
        <f>SUMIF(TongHopKL!B:B,'NT-VT'!A109,TongHopKL!H:H)</f>
        <v>7</v>
      </c>
      <c r="F109" s="1592" t="str">
        <f>IFERROR(VLOOKUP(A109,Solieu!G:M,2,0),"")</f>
        <v>nt</v>
      </c>
      <c r="G109" s="1592" t="str">
        <f>IFERROR(VLOOKUP(A109,Solieu!G:M,3,0),"")</f>
        <v>nt</v>
      </c>
      <c r="H109" s="1592"/>
      <c r="I109" s="1596"/>
      <c r="J109" s="1597" t="str">
        <f>IFERROR(VLOOKUP(A109,Solieu!G:M,4,0),"")</f>
        <v>nt</v>
      </c>
      <c r="K109" s="1598" t="str">
        <f>IFERROR(VLOOKUP(A109,Solieu!G:M,5,0),"")</f>
        <v>nt</v>
      </c>
      <c r="L109" s="1735">
        <f>IFERROR(VLOOKUP(A109,Solieu!G:M,6,0),"")</f>
        <v>0</v>
      </c>
      <c r="M109" s="1596" t="str">
        <f>IFERROR(VLOOKUP(A109,Solieu!G:M,7,0),"")</f>
        <v/>
      </c>
      <c r="N109" s="1191" t="s">
        <v>4122</v>
      </c>
      <c r="O109" s="1349">
        <f t="shared" si="1"/>
        <v>1</v>
      </c>
      <c r="P109" s="1187"/>
      <c r="Q109" s="1347"/>
      <c r="R109" s="1351"/>
    </row>
    <row r="110" spans="1:18" s="823" customFormat="1" ht="35.1" customHeight="1">
      <c r="A110" s="1917" t="str">
        <f>VLOOKUP(ROW()-ROW($A$5),TongHopKL!A:B,2,0)</f>
        <v>CD25x2</v>
      </c>
      <c r="B110" s="1592">
        <f>SUM($O$6:O110)</f>
        <v>105</v>
      </c>
      <c r="C110" s="1593" t="str">
        <f>(VLOOKUP(A110,DG!A:C,3,0))</f>
        <v>Côllier 25x2</v>
      </c>
      <c r="D110" s="1594" t="str">
        <f>IFERROR(VLOOKUP(A110,DG!A:D,4,0),0)</f>
        <v>bộ</v>
      </c>
      <c r="E110" s="1595">
        <f>SUMIF(TongHopKL!B:B,'NT-VT'!A110,TongHopKL!H:H)</f>
        <v>6</v>
      </c>
      <c r="F110" s="1592" t="str">
        <f>IFERROR(VLOOKUP(A110,Solieu!G:M,2,0),"")</f>
        <v>nt</v>
      </c>
      <c r="G110" s="1592" t="str">
        <f>IFERROR(VLOOKUP(A110,Solieu!G:M,3,0),"")</f>
        <v>nt</v>
      </c>
      <c r="H110" s="1592"/>
      <c r="I110" s="1596"/>
      <c r="J110" s="1597" t="str">
        <f>IFERROR(VLOOKUP(A110,Solieu!G:M,4,0),"")</f>
        <v>nt</v>
      </c>
      <c r="K110" s="1598" t="str">
        <f>IFERROR(VLOOKUP(A110,Solieu!G:M,5,0),"")</f>
        <v>nt</v>
      </c>
      <c r="L110" s="1735">
        <f>IFERROR(VLOOKUP(A110,Solieu!G:M,6,0),"")</f>
        <v>0</v>
      </c>
      <c r="M110" s="1596" t="str">
        <f>IFERROR(VLOOKUP(A110,Solieu!G:M,7,0),"")</f>
        <v/>
      </c>
      <c r="N110" s="1191" t="s">
        <v>4122</v>
      </c>
      <c r="O110" s="1349">
        <f t="shared" si="1"/>
        <v>1</v>
      </c>
      <c r="P110" s="1187"/>
      <c r="Q110" s="1347"/>
      <c r="R110" s="1351"/>
    </row>
    <row r="111" spans="1:18" s="823" customFormat="1" ht="35.1" customHeight="1">
      <c r="A111" s="1917" t="str">
        <f>VLOOKUP(ROW()-ROW($A$5),TongHopKL!A:B,2,0)</f>
        <v>CUT42</v>
      </c>
      <c r="B111" s="1592">
        <f>SUM($O$6:O111)</f>
        <v>106</v>
      </c>
      <c r="C111" s="1593" t="str">
        <f>(VLOOKUP(A111,DG!A:C,3,0))</f>
        <v>Co 90 độ PVC 42</v>
      </c>
      <c r="D111" s="1594" t="str">
        <f>IFERROR(VLOOKUP(A111,DG!A:D,4,0),0)</f>
        <v>cái</v>
      </c>
      <c r="E111" s="1595">
        <f>SUMIF(TongHopKL!B:B,'NT-VT'!A111,TongHopKL!H:H)</f>
        <v>2</v>
      </c>
      <c r="F111" s="1592" t="str">
        <f>IFERROR(VLOOKUP(A111,Solieu!G:M,2,0),"")</f>
        <v>nt</v>
      </c>
      <c r="G111" s="1592" t="str">
        <f>IFERROR(VLOOKUP(A111,Solieu!G:M,3,0),"")</f>
        <v>nt</v>
      </c>
      <c r="H111" s="1592"/>
      <c r="I111" s="1596"/>
      <c r="J111" s="1597" t="str">
        <f>IFERROR(VLOOKUP(A111,Solieu!G:M,4,0),"")</f>
        <v>nt</v>
      </c>
      <c r="K111" s="1598" t="str">
        <f>IFERROR(VLOOKUP(A111,Solieu!G:M,5,0),"")</f>
        <v>nt</v>
      </c>
      <c r="L111" s="1735">
        <f>IFERROR(VLOOKUP(A111,Solieu!G:M,6,0),"")</f>
        <v>0</v>
      </c>
      <c r="M111" s="1596" t="str">
        <f>IFERROR(VLOOKUP(A111,Solieu!G:M,7,0),"")</f>
        <v/>
      </c>
      <c r="N111" s="1191" t="s">
        <v>4122</v>
      </c>
      <c r="O111" s="1349">
        <f t="shared" si="1"/>
        <v>1</v>
      </c>
      <c r="P111" s="1187"/>
      <c r="Q111" s="1347"/>
      <c r="R111" s="1351"/>
    </row>
    <row r="112" spans="1:18" s="823" customFormat="1" ht="35.1" customHeight="1">
      <c r="A112" s="1917" t="str">
        <f>VLOOKUP(ROW()-ROW($A$5),TongHopKL!A:B,2,0)</f>
        <v>CD6x60</v>
      </c>
      <c r="B112" s="1592">
        <f>SUM($O$6:O112)</f>
        <v>107</v>
      </c>
      <c r="C112" s="1593" t="str">
        <f>(VLOOKUP(A112,DG!A:C,3,0))</f>
        <v>Cổ dê bắt tủ trạm trụ ghép D320/60x6</v>
      </c>
      <c r="D112" s="1594" t="str">
        <f>IFERROR(VLOOKUP(A112,DG!A:D,4,0),0)</f>
        <v>bộ</v>
      </c>
      <c r="E112" s="1595">
        <f>SUMIF(TongHopKL!B:B,'NT-VT'!A112,TongHopKL!H:H)</f>
        <v>1</v>
      </c>
      <c r="F112" s="1592" t="str">
        <f>IFERROR(VLOOKUP(A112,Solieu!G:M,2,0),"")</f>
        <v>nt</v>
      </c>
      <c r="G112" s="1592" t="str">
        <f>IFERROR(VLOOKUP(A112,Solieu!G:M,3,0),"")</f>
        <v>nt</v>
      </c>
      <c r="H112" s="1592"/>
      <c r="I112" s="1596"/>
      <c r="J112" s="1597" t="str">
        <f>IFERROR(VLOOKUP(A112,Solieu!G:M,4,0),"")</f>
        <v>nt</v>
      </c>
      <c r="K112" s="1598" t="str">
        <f>IFERROR(VLOOKUP(A112,Solieu!G:M,5,0),"")</f>
        <v>nt</v>
      </c>
      <c r="L112" s="1735">
        <f>IFERROR(VLOOKUP(A112,Solieu!G:M,6,0),"")</f>
        <v>0</v>
      </c>
      <c r="M112" s="1596" t="str">
        <f>IFERROR(VLOOKUP(A112,Solieu!G:M,7,0),"")</f>
        <v/>
      </c>
      <c r="N112" s="1191" t="s">
        <v>4122</v>
      </c>
      <c r="O112" s="1349">
        <f t="shared" si="1"/>
        <v>1</v>
      </c>
      <c r="P112" s="1187"/>
      <c r="Q112" s="1347"/>
      <c r="R112" s="1351"/>
    </row>
    <row r="113" spans="1:18" s="823" customFormat="1" ht="35.1" customHeight="1">
      <c r="A113" s="1917" t="str">
        <f>VLOOKUP(ROW()-ROW($A$5),TongHopKL!A:B,2,0)</f>
        <v>chi3K</v>
      </c>
      <c r="B113" s="1592">
        <f>SUM($O$6:O113)</f>
        <v>108</v>
      </c>
      <c r="C113" s="1593" t="str">
        <f>(VLOOKUP(A113,DG!A:C,3,0))</f>
        <v>Dây chảy 3K</v>
      </c>
      <c r="D113" s="1594" t="str">
        <f>IFERROR(VLOOKUP(A113,DG!A:D,4,0),0)</f>
        <v>Sợi</v>
      </c>
      <c r="E113" s="1595">
        <f>SUMIF(TongHopKL!B:B,'NT-VT'!A113,TongHopKL!H:H)</f>
        <v>1</v>
      </c>
      <c r="F113" s="1592" t="str">
        <f>IFERROR(VLOOKUP(A113,Solieu!G:M,2,0),"")</f>
        <v>nt</v>
      </c>
      <c r="G113" s="1592" t="str">
        <f>IFERROR(VLOOKUP(A113,Solieu!G:M,3,0),"")</f>
        <v>nt</v>
      </c>
      <c r="H113" s="1592"/>
      <c r="I113" s="1596"/>
      <c r="J113" s="1597" t="str">
        <f>IFERROR(VLOOKUP(A113,Solieu!G:M,4,0),"")</f>
        <v>nt</v>
      </c>
      <c r="K113" s="1598" t="str">
        <f>IFERROR(VLOOKUP(A113,Solieu!G:M,5,0),"")</f>
        <v>nt</v>
      </c>
      <c r="L113" s="1735">
        <f>IFERROR(VLOOKUP(A113,Solieu!G:M,6,0),"")</f>
        <v>0</v>
      </c>
      <c r="M113" s="1596" t="str">
        <f>IFERROR(VLOOKUP(A113,Solieu!G:M,7,0),"")</f>
        <v/>
      </c>
      <c r="N113" s="1191" t="s">
        <v>4122</v>
      </c>
      <c r="O113" s="1349">
        <f t="shared" si="1"/>
        <v>1</v>
      </c>
      <c r="P113" s="1187"/>
      <c r="Q113" s="1347"/>
      <c r="R113" s="1351"/>
    </row>
    <row r="114" spans="1:18" s="823" customFormat="1" ht="35.1" customHeight="1">
      <c r="A114" s="1917" t="str">
        <f>VLOOKUP(ROW()-ROW($A$5),TongHopKL!A:B,2,0)</f>
        <v>chi100K</v>
      </c>
      <c r="B114" s="1592">
        <f>SUM($O$6:O114)</f>
        <v>109</v>
      </c>
      <c r="C114" s="1593" t="str">
        <f>(VLOOKUP(A114,DG!A:C,3,0))</f>
        <v>Dây chảy 100K</v>
      </c>
      <c r="D114" s="1594" t="str">
        <f>IFERROR(VLOOKUP(A114,DG!A:D,4,0),0)</f>
        <v>Sợi</v>
      </c>
      <c r="E114" s="1595">
        <f>SUMIF(TongHopKL!B:B,'NT-VT'!A114,TongHopKL!H:H)</f>
        <v>3</v>
      </c>
      <c r="F114" s="1592" t="str">
        <f>IFERROR(VLOOKUP(A114,Solieu!G:M,2,0),"")</f>
        <v>nt</v>
      </c>
      <c r="G114" s="1592" t="str">
        <f>IFERROR(VLOOKUP(A114,Solieu!G:M,3,0),"")</f>
        <v>nt</v>
      </c>
      <c r="H114" s="1592"/>
      <c r="I114" s="1596"/>
      <c r="J114" s="1597" t="str">
        <f>IFERROR(VLOOKUP(A114,Solieu!G:M,4,0),"")</f>
        <v>nt</v>
      </c>
      <c r="K114" s="1598" t="str">
        <f>IFERROR(VLOOKUP(A114,Solieu!G:M,5,0),"")</f>
        <v>nt</v>
      </c>
      <c r="L114" s="1735">
        <f>IFERROR(VLOOKUP(A114,Solieu!G:M,6,0),"")</f>
        <v>0</v>
      </c>
      <c r="M114" s="1596" t="str">
        <f>IFERROR(VLOOKUP(A114,Solieu!G:M,7,0),"")</f>
        <v/>
      </c>
      <c r="N114" s="1191" t="s">
        <v>4122</v>
      </c>
      <c r="O114" s="1349">
        <f t="shared" si="1"/>
        <v>1</v>
      </c>
      <c r="P114" s="1187"/>
      <c r="Q114" s="1347"/>
      <c r="R114" s="1351"/>
    </row>
    <row r="115" spans="1:18" s="823" customFormat="1" ht="35.1" customHeight="1">
      <c r="A115" s="1917" t="str">
        <f>VLOOKUP(ROW()-ROW($A$5),TongHopKL!A:B,2,0)</f>
        <v>XM</v>
      </c>
      <c r="B115" s="1592">
        <f>SUM($O$6:O115)</f>
        <v>110</v>
      </c>
      <c r="C115" s="1593" t="str">
        <f>(VLOOKUP(A115,DG!A:C,3,0))</f>
        <v>Ximăng (PC40)</v>
      </c>
      <c r="D115" s="1594" t="str">
        <f>IFERROR(VLOOKUP(A115,DG!A:D,4,0),0)</f>
        <v>kg</v>
      </c>
      <c r="E115" s="1595">
        <f>SUMIF(TongHopKL!B:B,'NT-VT'!A115,TongHopKL!H:H)</f>
        <v>1294.52</v>
      </c>
      <c r="F115" s="1592" t="str">
        <f>IFERROR(VLOOKUP(A115,Solieu!G:M,2,0),"")</f>
        <v>Địa phương</v>
      </c>
      <c r="G115" s="1592" t="str">
        <f>IFERROR(VLOOKUP(A115,Solieu!G:M,3,0),"")</f>
        <v>Địa phương</v>
      </c>
      <c r="H115" s="1592"/>
      <c r="I115" s="1596"/>
      <c r="J115" s="1597" t="str">
        <f>IFERROR(VLOOKUP(A115,Solieu!G:M,4,0),"")</f>
        <v xml:space="preserve"> </v>
      </c>
      <c r="K115" s="1598" t="str">
        <f>IFERROR(VLOOKUP(A115,Solieu!G:M,5,0),"")</f>
        <v xml:space="preserve"> </v>
      </c>
      <c r="L115" s="1735">
        <f>IFERROR(VLOOKUP(A115,Solieu!G:M,6,0),"")</f>
        <v>0</v>
      </c>
      <c r="M115" s="1596" t="str">
        <f>IFERROR(VLOOKUP(A115,Solieu!G:M,7,0),"")</f>
        <v xml:space="preserve"> </v>
      </c>
      <c r="N115" s="1191" t="s">
        <v>4122</v>
      </c>
      <c r="O115" s="1349">
        <f t="shared" si="1"/>
        <v>1</v>
      </c>
      <c r="P115" s="1187"/>
      <c r="Q115" s="1347"/>
      <c r="R115" s="1351"/>
    </row>
    <row r="116" spans="1:18" s="823" customFormat="1" ht="35.1" customHeight="1">
      <c r="A116" s="1917" t="str">
        <f>VLOOKUP(ROW()-ROW($A$5),TongHopKL!A:B,2,0)</f>
        <v>Cat</v>
      </c>
      <c r="B116" s="1592">
        <f>SUM($O$6:O116)</f>
        <v>111</v>
      </c>
      <c r="C116" s="1593" t="str">
        <f>(VLOOKUP(A116,DG!A:C,3,0))</f>
        <v>Cát vàng</v>
      </c>
      <c r="D116" s="1594" t="str">
        <f>IFERROR(VLOOKUP(A116,DG!A:D,4,0),0)</f>
        <v>m3</v>
      </c>
      <c r="E116" s="1595">
        <f>SUMIF(TongHopKL!B:B,'NT-VT'!A116,TongHopKL!H:H)</f>
        <v>3.036</v>
      </c>
      <c r="F116" s="1592" t="str">
        <f>IFERROR(VLOOKUP(A116,Solieu!G:M,2,0),"")</f>
        <v>nt</v>
      </c>
      <c r="G116" s="1592" t="str">
        <f>IFERROR(VLOOKUP(A116,Solieu!G:M,3,0),"")</f>
        <v>nt</v>
      </c>
      <c r="H116" s="1592"/>
      <c r="I116" s="1596"/>
      <c r="J116" s="1597" t="str">
        <f>IFERROR(VLOOKUP(A116,Solieu!G:M,4,0),"")</f>
        <v xml:space="preserve"> </v>
      </c>
      <c r="K116" s="1598" t="str">
        <f>IFERROR(VLOOKUP(A116,Solieu!G:M,5,0),"")</f>
        <v xml:space="preserve"> </v>
      </c>
      <c r="L116" s="1735">
        <f>IFERROR(VLOOKUP(A116,Solieu!G:M,6,0),"")</f>
        <v>0</v>
      </c>
      <c r="M116" s="1596" t="str">
        <f>IFERROR(VLOOKUP(A116,Solieu!G:M,7,0),"")</f>
        <v xml:space="preserve"> </v>
      </c>
      <c r="N116" s="1191" t="s">
        <v>4122</v>
      </c>
      <c r="O116" s="1349">
        <f t="shared" si="1"/>
        <v>1</v>
      </c>
      <c r="P116" s="1187"/>
      <c r="Q116" s="1347"/>
      <c r="R116" s="1351"/>
    </row>
    <row r="117" spans="1:18" s="823" customFormat="1" ht="35.1" customHeight="1">
      <c r="A117" s="1917" t="str">
        <f>VLOOKUP(ROW()-ROW($A$5),TongHopKL!A:B,2,0)</f>
        <v>D1X2</v>
      </c>
      <c r="B117" s="1592">
        <f>SUM($O$6:O117)</f>
        <v>112</v>
      </c>
      <c r="C117" s="1593" t="str">
        <f>(VLOOKUP(A117,DG!A:C,3,0))</f>
        <v>Đá 1x2</v>
      </c>
      <c r="D117" s="1594" t="str">
        <f>IFERROR(VLOOKUP(A117,DG!A:D,4,0),0)</f>
        <v>m3</v>
      </c>
      <c r="E117" s="1595">
        <f>SUMIF(TongHopKL!B:B,'NT-VT'!A117,TongHopKL!H:H)</f>
        <v>5.008</v>
      </c>
      <c r="F117" s="1592" t="str">
        <f>IFERROR(VLOOKUP(A117,Solieu!G:M,2,0),"")</f>
        <v>nt</v>
      </c>
      <c r="G117" s="1592" t="str">
        <f>IFERROR(VLOOKUP(A117,Solieu!G:M,3,0),"")</f>
        <v>nt</v>
      </c>
      <c r="H117" s="1592"/>
      <c r="I117" s="1596"/>
      <c r="J117" s="1597" t="str">
        <f>IFERROR(VLOOKUP(A117,Solieu!G:M,4,0),"")</f>
        <v xml:space="preserve"> </v>
      </c>
      <c r="K117" s="1598" t="str">
        <f>IFERROR(VLOOKUP(A117,Solieu!G:M,5,0),"")</f>
        <v xml:space="preserve"> </v>
      </c>
      <c r="L117" s="1735">
        <f>IFERROR(VLOOKUP(A117,Solieu!G:M,6,0),"")</f>
        <v>0</v>
      </c>
      <c r="M117" s="1596" t="str">
        <f>IFERROR(VLOOKUP(A117,Solieu!G:M,7,0),"")</f>
        <v xml:space="preserve"> </v>
      </c>
      <c r="N117" s="1191" t="s">
        <v>4122</v>
      </c>
      <c r="O117" s="1349">
        <f t="shared" si="1"/>
        <v>1</v>
      </c>
      <c r="P117" s="1187"/>
      <c r="Q117" s="1347"/>
      <c r="R117" s="1351"/>
    </row>
    <row r="118" spans="1:18" s="823" customFormat="1" ht="35.1" customHeight="1">
      <c r="A118" s="1917" t="str">
        <f>VLOOKUP(ROW()-ROW($A$5),TongHopKL!A:B,2,0)</f>
        <v>gachong</v>
      </c>
      <c r="B118" s="1592">
        <f>SUM($O$6:O118)</f>
        <v>113</v>
      </c>
      <c r="C118" s="1593" t="str">
        <f>(VLOOKUP(A118,DG!A:C,3,0))</f>
        <v>Gạch ống</v>
      </c>
      <c r="D118" s="1594" t="str">
        <f>IFERROR(VLOOKUP(A118,DG!A:D,4,0),0)</f>
        <v>viên</v>
      </c>
      <c r="E118" s="1595">
        <f>SUMIF(TongHopKL!B:B,'NT-VT'!A118,TongHopKL!H:H)</f>
        <v>350</v>
      </c>
      <c r="F118" s="1592" t="str">
        <f>IFERROR(VLOOKUP(A118,Solieu!G:M,2,0),"")</f>
        <v>nt</v>
      </c>
      <c r="G118" s="1592" t="str">
        <f>IFERROR(VLOOKUP(A118,Solieu!G:M,3,0),"")</f>
        <v>nt</v>
      </c>
      <c r="H118" s="1592"/>
      <c r="I118" s="1596"/>
      <c r="J118" s="1597" t="str">
        <f>IFERROR(VLOOKUP(A118,Solieu!G:M,4,0),"")</f>
        <v>nt</v>
      </c>
      <c r="K118" s="1598" t="str">
        <f>IFERROR(VLOOKUP(A118,Solieu!G:M,5,0),"")</f>
        <v>nt</v>
      </c>
      <c r="L118" s="1735">
        <f>IFERROR(VLOOKUP(A118,Solieu!G:M,6,0),"")</f>
        <v>0</v>
      </c>
      <c r="M118" s="1596" t="str">
        <f>IFERROR(VLOOKUP(A118,Solieu!G:M,7,0),"")</f>
        <v/>
      </c>
      <c r="N118" s="1191" t="s">
        <v>4122</v>
      </c>
      <c r="O118" s="1349">
        <f t="shared" si="1"/>
        <v>1</v>
      </c>
      <c r="P118" s="1187"/>
      <c r="Q118" s="1347"/>
      <c r="R118" s="1351"/>
    </row>
    <row r="119" spans="1:18" s="823" customFormat="1" ht="35.1" hidden="1" customHeight="1">
      <c r="A119" s="1917" t="e">
        <f>VLOOKUP(ROW()-ROW($A$5),TongHopKL!A:B,2,0)</f>
        <v>#N/A</v>
      </c>
      <c r="B119" s="1592">
        <f>SUM($O$6:O119)</f>
        <v>113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113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113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113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113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113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113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113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113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52" t="s">
        <v>4555</v>
      </c>
      <c r="B1" s="3252"/>
      <c r="C1" s="3252"/>
      <c r="D1" s="3252"/>
      <c r="E1" s="3252"/>
      <c r="F1" s="3252"/>
      <c r="G1" s="2631"/>
      <c r="H1" s="1208"/>
    </row>
    <row r="2" spans="1:9" s="809" customFormat="1" ht="31.2">
      <c r="A2" s="1301" t="s">
        <v>4132</v>
      </c>
      <c r="B2" s="1301" t="s">
        <v>4111</v>
      </c>
      <c r="C2" s="1301" t="s">
        <v>4112</v>
      </c>
      <c r="D2" s="1301" t="s">
        <v>4113</v>
      </c>
      <c r="E2" s="1301" t="s">
        <v>4114</v>
      </c>
      <c r="F2" s="1301" t="s">
        <v>4115</v>
      </c>
      <c r="G2" s="1343" t="s">
        <v>1951</v>
      </c>
      <c r="H2" s="832"/>
      <c r="I2" s="842"/>
    </row>
    <row r="3" spans="1:9" ht="31.2">
      <c r="A3" s="1302">
        <f>SUM($G$3:G3)</f>
        <v>1</v>
      </c>
      <c r="B3" s="1303" t="str">
        <f>'NT-VT'!C6</f>
        <v>Máy biến áp 22/0,4kV- 1000kVA</v>
      </c>
      <c r="C3" s="1304" t="str">
        <f>'NT-VT'!D6</f>
        <v>máy</v>
      </c>
      <c r="D3" s="1305">
        <f>'NT-VT'!E6</f>
        <v>1</v>
      </c>
      <c r="E3" s="1302" t="str">
        <f>'NT-VT'!F6</f>
        <v>Thibidi</v>
      </c>
      <c r="F3" s="1302" t="str">
        <f>'NT-VT'!G6</f>
        <v>Thibidi</v>
      </c>
      <c r="G3" s="835">
        <v>1</v>
      </c>
      <c r="H3" s="843"/>
      <c r="I3" s="819"/>
    </row>
    <row r="4" spans="1:9" ht="31.2">
      <c r="A4" s="1302">
        <f>SUM($G$3:G4)</f>
        <v>2</v>
      </c>
      <c r="B4" s="1303" t="str">
        <f>'NT-VT'!C7</f>
        <v>FCO 24kV - 100A</v>
      </c>
      <c r="C4" s="1304" t="str">
        <f>'NT-VT'!D7</f>
        <v>cái</v>
      </c>
      <c r="D4" s="1305">
        <f>'NT-VT'!E7</f>
        <v>4</v>
      </c>
      <c r="E4" s="1302" t="str">
        <f>'NT-VT'!F7</f>
        <v>Chance</v>
      </c>
      <c r="F4" s="1302" t="str">
        <f>'NT-VT'!G7</f>
        <v>Cty TNHH MTV Đại Thiên An</v>
      </c>
      <c r="G4" s="835">
        <f t="shared" ref="G4:G66" si="0">IF(ISERROR(B4),"",1)</f>
        <v>1</v>
      </c>
      <c r="H4" s="844"/>
    </row>
    <row r="5" spans="1:9" ht="17.399999999999999">
      <c r="A5" s="1302">
        <f>SUM($G$3:G5)</f>
        <v>3</v>
      </c>
      <c r="B5" s="1303" t="str">
        <f>'NT-VT'!C8</f>
        <v xml:space="preserve">FCO 24KV - 200A </v>
      </c>
      <c r="C5" s="1304" t="str">
        <f>'NT-VT'!D8</f>
        <v>cái</v>
      </c>
      <c r="D5" s="1305">
        <f>'NT-VT'!E8</f>
        <v>3</v>
      </c>
      <c r="E5" s="1302" t="str">
        <f>'NT-VT'!F8</f>
        <v>Chance</v>
      </c>
      <c r="F5" s="1302" t="str">
        <f>'NT-VT'!G8</f>
        <v>Chance</v>
      </c>
      <c r="G5" s="835">
        <f t="shared" si="0"/>
        <v>1</v>
      </c>
      <c r="H5" s="844"/>
    </row>
    <row r="6" spans="1:9" ht="31.2">
      <c r="A6" s="1302">
        <f>SUM($G$3:G6)</f>
        <v>4</v>
      </c>
      <c r="B6" s="1303" t="str">
        <f>'NT-VT'!C9</f>
        <v>Chống sét van LA-18KV-10KA</v>
      </c>
      <c r="C6" s="1304" t="str">
        <f>'NT-VT'!D9</f>
        <v>cái</v>
      </c>
      <c r="D6" s="1305">
        <f>'NT-VT'!E9</f>
        <v>12</v>
      </c>
      <c r="E6" s="1302" t="str">
        <f>'NT-VT'!F9</f>
        <v>Cooper</v>
      </c>
      <c r="F6" s="1302" t="str">
        <f>'NT-VT'!G9</f>
        <v>Cooper</v>
      </c>
      <c r="G6" s="835">
        <f t="shared" si="0"/>
        <v>1</v>
      </c>
      <c r="H6" s="844"/>
    </row>
    <row r="7" spans="1:9" ht="46.8">
      <c r="A7" s="1302">
        <f>SUM($G$3:G7)</f>
        <v>5</v>
      </c>
      <c r="B7" s="1303" t="str">
        <f>'NT-VT'!C10</f>
        <v>ACB 3P - 1600A - 65KA (nạp lò xo bằng tay)</v>
      </c>
      <c r="C7" s="1304" t="str">
        <f>'NT-VT'!D10</f>
        <v>cái</v>
      </c>
      <c r="D7" s="1305">
        <f>'NT-VT'!E10</f>
        <v>1</v>
      </c>
      <c r="E7" s="1302" t="str">
        <f>'NT-VT'!F10</f>
        <v>Himel</v>
      </c>
      <c r="F7" s="1302" t="str">
        <f>'NT-VT'!G10</f>
        <v>Himel</v>
      </c>
      <c r="G7" s="835">
        <f t="shared" si="0"/>
        <v>1</v>
      </c>
      <c r="H7" s="843"/>
      <c r="I7" s="819"/>
    </row>
    <row r="8" spans="1:9" ht="15.6">
      <c r="A8" s="1302">
        <f>SUM($G$3:G8)</f>
        <v>6</v>
      </c>
      <c r="B8" s="1303" t="str">
        <f>'NT-VT'!C11</f>
        <v xml:space="preserve">Sứ đứng 24KV </v>
      </c>
      <c r="C8" s="1304" t="str">
        <f>'NT-VT'!D11</f>
        <v>cái</v>
      </c>
      <c r="D8" s="1305">
        <f>'NT-VT'!E11</f>
        <v>33</v>
      </c>
      <c r="E8" s="1302" t="str">
        <f>'NT-VT'!F11</f>
        <v>Minh Long</v>
      </c>
      <c r="F8" s="1302" t="str">
        <f>'NT-VT'!G11</f>
        <v>Minh Long</v>
      </c>
      <c r="G8" s="835">
        <f t="shared" si="0"/>
        <v>1</v>
      </c>
      <c r="H8" s="843"/>
      <c r="I8" s="819"/>
    </row>
    <row r="9" spans="1:9" ht="15.6">
      <c r="A9" s="1302">
        <f>SUM($G$3:G9)</f>
        <v>7</v>
      </c>
      <c r="B9" s="1303" t="str">
        <f>'NT-VT'!C12</f>
        <v>Sứ treo polymer</v>
      </c>
      <c r="C9" s="1304" t="str">
        <f>'NT-VT'!D12</f>
        <v>chuỗi</v>
      </c>
      <c r="D9" s="1305">
        <f>'NT-VT'!E12</f>
        <v>22</v>
      </c>
      <c r="E9" s="1302" t="str">
        <f>'NT-VT'!F12</f>
        <v>DTR</v>
      </c>
      <c r="F9" s="1302" t="str">
        <f>'NT-VT'!G12</f>
        <v>DTR</v>
      </c>
      <c r="G9" s="835">
        <f t="shared" si="0"/>
        <v>1</v>
      </c>
      <c r="H9" s="843"/>
      <c r="I9" s="819"/>
    </row>
    <row r="10" spans="1:9" ht="31.2">
      <c r="A10" s="1302">
        <f>SUM($G$3:G10)</f>
        <v>8</v>
      </c>
      <c r="B10" s="1303" t="str">
        <f>'NT-VT'!C13</f>
        <v>Cáp đồng bọc 24KV-CXV-25</v>
      </c>
      <c r="C10" s="1304" t="str">
        <f>'NT-VT'!D13</f>
        <v>mét</v>
      </c>
      <c r="D10" s="1305">
        <f>'NT-VT'!E13</f>
        <v>46</v>
      </c>
      <c r="E10" s="1302" t="str">
        <f>'NT-VT'!F13</f>
        <v>Cty TNHHSX-TM Dây &amp; Cáp Điện Tài Trường Thành</v>
      </c>
      <c r="F10" s="1302" t="str">
        <f>'NT-VT'!G13</f>
        <v>Cty TNHHSX-TM Dây &amp; Cáp Điện Tài Trường Thành</v>
      </c>
      <c r="G10" s="835">
        <f t="shared" si="0"/>
        <v>1</v>
      </c>
      <c r="H10" s="843"/>
      <c r="I10" s="819"/>
    </row>
    <row r="11" spans="1:9" ht="31.2">
      <c r="A11" s="1302">
        <f>SUM($G$3:G11)</f>
        <v>9</v>
      </c>
      <c r="B11" s="1303" t="str">
        <f>'NT-VT'!C14</f>
        <v>Cáp đồng bọc CV240</v>
      </c>
      <c r="C11" s="1304" t="str">
        <f>'NT-VT'!D14</f>
        <v>mét</v>
      </c>
      <c r="D11" s="1305">
        <f>'NT-VT'!E14</f>
        <v>72</v>
      </c>
      <c r="E11" s="1302" t="str">
        <f>'NT-VT'!F14</f>
        <v>Cty TNHHSX-TM Dây &amp; Cáp Điện Tài Trường Thành</v>
      </c>
      <c r="F11" s="1302" t="str">
        <f>'NT-VT'!G14</f>
        <v>Cty TNHHSX-TM Dây &amp; Cáp Điện Tài Trường Thành</v>
      </c>
      <c r="G11" s="835">
        <f t="shared" si="0"/>
        <v>1</v>
      </c>
      <c r="H11" s="844"/>
    </row>
    <row r="12" spans="1:9" ht="31.2">
      <c r="A12" s="1302">
        <f>SUM($G$3:G12)</f>
        <v>10</v>
      </c>
      <c r="B12" s="1303" t="str">
        <f>'NT-VT'!C15</f>
        <v xml:space="preserve">Cáp CVV 4x4mm2  </v>
      </c>
      <c r="C12" s="1304" t="str">
        <f>'NT-VT'!D15</f>
        <v>mét</v>
      </c>
      <c r="D12" s="1305">
        <f>'NT-VT'!E15</f>
        <v>33</v>
      </c>
      <c r="E12" s="1302" t="str">
        <f>'NT-VT'!F15</f>
        <v>Cty TNHHSX-TM Dây &amp; Cáp Điện Tài Trường Thành</v>
      </c>
      <c r="F12" s="1302" t="str">
        <f>'NT-VT'!G15</f>
        <v>Cty TNHHSX-TM Dây &amp; Cáp Điện Tài Trường Thành</v>
      </c>
      <c r="G12" s="835">
        <f t="shared" si="0"/>
        <v>1</v>
      </c>
      <c r="H12" s="843"/>
      <c r="I12" s="819"/>
    </row>
    <row r="13" spans="1:9" ht="31.2">
      <c r="A13" s="1302">
        <f>SUM($G$3:G13)</f>
        <v>11</v>
      </c>
      <c r="B13" s="1303" t="str">
        <f>'NT-VT'!C16</f>
        <v>Cáp đồng bọc 24KV-CXV-50</v>
      </c>
      <c r="C13" s="1304" t="str">
        <f>'NT-VT'!D16</f>
        <v>mét</v>
      </c>
      <c r="D13" s="1305">
        <f>'NT-VT'!E16</f>
        <v>19.5</v>
      </c>
      <c r="E13" s="1302" t="str">
        <f>'NT-VT'!F16</f>
        <v>Cty TNHHSX-TM Dây &amp; Cáp Điện Tài Trường Thành</v>
      </c>
      <c r="F13" s="1302" t="str">
        <f>'NT-VT'!G16</f>
        <v>Cty TNHHSX-TM Dây &amp; Cáp Điện Tài Trường Thành</v>
      </c>
      <c r="G13" s="835">
        <f t="shared" si="0"/>
        <v>1</v>
      </c>
      <c r="H13" s="843"/>
      <c r="I13" s="819"/>
    </row>
    <row r="14" spans="1:9" ht="31.2">
      <c r="A14" s="1302">
        <f>SUM($G$3:G14)</f>
        <v>12</v>
      </c>
      <c r="B14" s="1303" t="str">
        <f>'NT-VT'!C17</f>
        <v>Cáp 24KV ACXH 50mm2</v>
      </c>
      <c r="C14" s="1304" t="str">
        <f>'NT-VT'!D17</f>
        <v>mét</v>
      </c>
      <c r="D14" s="1305">
        <f>'NT-VT'!E17</f>
        <v>795.6</v>
      </c>
      <c r="E14" s="1302" t="str">
        <f>'NT-VT'!F17</f>
        <v>Cty TNHHSX-TM Dây &amp; Cáp Điện Tài Trường Thành</v>
      </c>
      <c r="F14" s="1302" t="str">
        <f>'NT-VT'!G17</f>
        <v>Cty TNHHSX-TM Dây &amp; Cáp Điện Tài Trường Thành</v>
      </c>
      <c r="G14" s="835">
        <f t="shared" si="0"/>
        <v>1</v>
      </c>
      <c r="H14" s="843"/>
      <c r="I14" s="819"/>
    </row>
    <row r="15" spans="1:9" ht="46.8">
      <c r="A15" s="1302">
        <f>SUM($G$3:G15)</f>
        <v>13</v>
      </c>
      <c r="B15" s="1303" t="str">
        <f>'NT-VT'!C18</f>
        <v xml:space="preserve"> LBS SF6 3pha 24kV 630A - 16kA (MBA cấp nguồn + Phụ kiện)</v>
      </c>
      <c r="C15" s="1304" t="str">
        <f>'NT-VT'!D18</f>
        <v>Bộ</v>
      </c>
      <c r="D15" s="1305">
        <f>'NT-VT'!E18</f>
        <v>1</v>
      </c>
      <c r="E15" s="1302">
        <f>'NT-VT'!F18</f>
        <v>0</v>
      </c>
      <c r="F15" s="1302">
        <f>'NT-VT'!G18</f>
        <v>0</v>
      </c>
      <c r="G15" s="835">
        <f t="shared" si="0"/>
        <v>1</v>
      </c>
      <c r="H15" s="843"/>
      <c r="I15" s="819"/>
    </row>
    <row r="16" spans="1:9" ht="46.8">
      <c r="A16" s="1302">
        <f>SUM($G$3:G16)</f>
        <v>14</v>
      </c>
      <c r="B16" s="1303" t="str">
        <f>'NT-VT'!C19</f>
        <v>Cáp đồng trần M25mm2: 10m noái leân voû caùc thieát bò</v>
      </c>
      <c r="C16" s="1304" t="str">
        <f>'NT-VT'!D19</f>
        <v>kg</v>
      </c>
      <c r="D16" s="1305">
        <f>'NT-VT'!E19</f>
        <v>25.981999999999999</v>
      </c>
      <c r="E16" s="1302" t="str">
        <f>'NT-VT'!F19</f>
        <v>Cty TNHHSX-TM Dây &amp; Cáp Điện Tài Trường Thành</v>
      </c>
      <c r="F16" s="1302" t="str">
        <f>'NT-VT'!G19</f>
        <v>Cty TNHHSX-TM Dây &amp; Cáp Điện Tài Trường Thành</v>
      </c>
      <c r="G16" s="835">
        <f t="shared" si="0"/>
        <v>1</v>
      </c>
      <c r="H16" s="843"/>
      <c r="I16" s="819"/>
    </row>
    <row r="17" spans="1:9" ht="31.2">
      <c r="A17" s="1302">
        <f>SUM($G$3:G17)</f>
        <v>15</v>
      </c>
      <c r="B17" s="1303" t="str">
        <f>'NT-VT'!C20</f>
        <v>Trụ BTLT 12m F540 dự ứng lực</v>
      </c>
      <c r="C17" s="1304" t="str">
        <f>'NT-VT'!D20</f>
        <v>trụ</v>
      </c>
      <c r="D17" s="1305">
        <f>'NT-VT'!E20</f>
        <v>12</v>
      </c>
      <c r="E17" s="1302" t="str">
        <f>'NT-VT'!F20</f>
        <v>Cty Cổ phần Bê tông ly tâm Thủ Đức</v>
      </c>
      <c r="F17" s="1302" t="str">
        <f>'NT-VT'!G20</f>
        <v>Cty Cổ phần Bê tông ly tâm Thủ Đức</v>
      </c>
      <c r="G17" s="835">
        <f t="shared" si="0"/>
        <v>1</v>
      </c>
      <c r="H17" s="843"/>
      <c r="I17" s="845"/>
    </row>
    <row r="18" spans="1:9" ht="31.2">
      <c r="A18" s="1302">
        <f>SUM($G$3:G18)</f>
        <v>16</v>
      </c>
      <c r="B18" s="1303" t="str">
        <f>'NT-VT'!C21</f>
        <v>Cáp nhôm lõi thép AC-50/8</v>
      </c>
      <c r="C18" s="1304" t="str">
        <f>'NT-VT'!D21</f>
        <v>kg</v>
      </c>
      <c r="D18" s="1305">
        <f>'NT-VT'!E21</f>
        <v>51.713999999999999</v>
      </c>
      <c r="E18" s="1302" t="str">
        <f>'NT-VT'!F21</f>
        <v>Cty TNHHSX-TM Dây &amp; Cáp Điện Tài Trường Thành</v>
      </c>
      <c r="F18" s="1302" t="str">
        <f>'NT-VT'!G21</f>
        <v>Cty TNHHSX-TM Dây &amp; Cáp Điện Tài Trường Thành</v>
      </c>
      <c r="G18" s="835">
        <f t="shared" si="0"/>
        <v>1</v>
      </c>
      <c r="H18" s="843"/>
      <c r="I18" s="845"/>
    </row>
    <row r="19" spans="1:9" ht="31.2">
      <c r="A19" s="1302">
        <f>SUM($G$3:G19)</f>
        <v>17</v>
      </c>
      <c r="B19" s="1303" t="str">
        <f>'NT-VT'!C22</f>
        <v>Dây chảy 40K</v>
      </c>
      <c r="C19" s="1304" t="str">
        <f>'NT-VT'!D22</f>
        <v>Sợi</v>
      </c>
      <c r="D19" s="1305">
        <f>'NT-VT'!E22</f>
        <v>3</v>
      </c>
      <c r="E19" s="1302" t="str">
        <f>'NT-VT'!F22</f>
        <v>Cty TNHH MTV Đại Thiên An</v>
      </c>
      <c r="F19" s="1302" t="str">
        <f>'NT-VT'!G22</f>
        <v>Cty TNHH MTV Đại Thiên An</v>
      </c>
      <c r="G19" s="835">
        <f t="shared" si="0"/>
        <v>1</v>
      </c>
      <c r="H19" s="843"/>
      <c r="I19" s="845"/>
    </row>
    <row r="20" spans="1:9" ht="31.2">
      <c r="A20" s="1302">
        <f>SUM($G$3:G20)</f>
        <v>18</v>
      </c>
      <c r="B20" s="1303" t="str">
        <f>'NT-VT'!C23</f>
        <v>Xà composite 110x800x5 dài 2,4m</v>
      </c>
      <c r="C20" s="1304" t="str">
        <f>'NT-VT'!D23</f>
        <v>cái</v>
      </c>
      <c r="D20" s="1305">
        <f>'NT-VT'!E23</f>
        <v>2</v>
      </c>
      <c r="E20" s="1302" t="str">
        <f>'NT-VT'!F23</f>
        <v>nt</v>
      </c>
      <c r="F20" s="1302" t="str">
        <f>'NT-VT'!G23</f>
        <v>nt</v>
      </c>
      <c r="G20" s="835">
        <f t="shared" si="0"/>
        <v>1</v>
      </c>
      <c r="H20" s="844"/>
    </row>
    <row r="21" spans="1:9" ht="31.2">
      <c r="A21" s="1302">
        <f>SUM($G$3:G21)</f>
        <v>19</v>
      </c>
      <c r="B21" s="1303" t="str">
        <f>'NT-VT'!C24</f>
        <v>Chống composite 40x10x920</v>
      </c>
      <c r="C21" s="1304" t="str">
        <f>'NT-VT'!D24</f>
        <v>cái</v>
      </c>
      <c r="D21" s="1305">
        <f>'NT-VT'!E24</f>
        <v>4</v>
      </c>
      <c r="E21" s="1302" t="str">
        <f>'NT-VT'!F24</f>
        <v>nt</v>
      </c>
      <c r="F21" s="1302" t="str">
        <f>'NT-VT'!G24</f>
        <v>nt</v>
      </c>
      <c r="G21" s="835">
        <f t="shared" si="0"/>
        <v>1</v>
      </c>
      <c r="H21" s="843"/>
      <c r="I21" s="819"/>
    </row>
    <row r="22" spans="1:9" ht="46.8">
      <c r="A22" s="1302">
        <f>SUM($G$3:G22)</f>
        <v>20</v>
      </c>
      <c r="B22" s="1303" t="str">
        <f>'NT-VT'!C25</f>
        <v>Boulon 16x250+ 2 long đền vuông D18-50x50x3/Zn</v>
      </c>
      <c r="C22" s="1304" t="str">
        <f>'NT-VT'!D25</f>
        <v>bộ</v>
      </c>
      <c r="D22" s="1305">
        <f>'NT-VT'!E25</f>
        <v>3</v>
      </c>
      <c r="E22" s="1302" t="str">
        <f>'NT-VT'!F25</f>
        <v>nt</v>
      </c>
      <c r="F22" s="1302" t="str">
        <f>'NT-VT'!G25</f>
        <v>nt</v>
      </c>
      <c r="G22" s="835">
        <f t="shared" si="0"/>
        <v>1</v>
      </c>
      <c r="H22" s="843"/>
      <c r="I22" s="819"/>
    </row>
    <row r="23" spans="1:9" ht="46.8">
      <c r="A23" s="1302">
        <f>SUM($G$3:G23)</f>
        <v>21</v>
      </c>
      <c r="B23" s="1303" t="str">
        <f>'NT-VT'!C26</f>
        <v>Boulon 16x350+ 2 long đền vuông D18-50x50x3/Zn</v>
      </c>
      <c r="C23" s="1304" t="str">
        <f>'NT-VT'!D26</f>
        <v>bộ</v>
      </c>
      <c r="D23" s="1305">
        <f>'NT-VT'!E26</f>
        <v>6</v>
      </c>
      <c r="E23" s="1302" t="str">
        <f>'NT-VT'!F26</f>
        <v>nt</v>
      </c>
      <c r="F23" s="1302" t="str">
        <f>'NT-VT'!G26</f>
        <v>nt</v>
      </c>
      <c r="G23" s="835">
        <f t="shared" si="0"/>
        <v>1</v>
      </c>
      <c r="H23" s="843"/>
      <c r="I23" s="845"/>
    </row>
    <row r="24" spans="1:9" ht="15.6">
      <c r="A24" s="1302">
        <f>SUM($G$3:G24)</f>
        <v>22</v>
      </c>
      <c r="B24" s="1303" t="str">
        <f>'NT-VT'!C27</f>
        <v>Bass LL bắt FCO, LA</v>
      </c>
      <c r="C24" s="1304" t="str">
        <f>'NT-VT'!D27</f>
        <v>bộ</v>
      </c>
      <c r="D24" s="1305">
        <f>'NT-VT'!E27</f>
        <v>3</v>
      </c>
      <c r="E24" s="1302" t="str">
        <f>'NT-VT'!F27</f>
        <v>nt</v>
      </c>
      <c r="F24" s="1302" t="str">
        <f>'NT-VT'!G27</f>
        <v>nt</v>
      </c>
      <c r="G24" s="835">
        <f t="shared" si="0"/>
        <v>1</v>
      </c>
      <c r="H24" s="843"/>
      <c r="I24" s="845"/>
    </row>
    <row r="25" spans="1:9" ht="15.6">
      <c r="A25" s="1302">
        <f>SUM($G$3:G25)</f>
        <v>23</v>
      </c>
      <c r="B25" s="1303" t="str">
        <f>'NT-VT'!C28</f>
        <v>Bass LI bắt FCO</v>
      </c>
      <c r="C25" s="1304" t="str">
        <f>'NT-VT'!D28</f>
        <v>Bộ</v>
      </c>
      <c r="D25" s="1305">
        <f>'NT-VT'!E28</f>
        <v>3</v>
      </c>
      <c r="E25" s="1302" t="str">
        <f>'NT-VT'!F28</f>
        <v>nt</v>
      </c>
      <c r="F25" s="1302" t="str">
        <f>'NT-VT'!G28</f>
        <v>nt</v>
      </c>
      <c r="G25" s="835">
        <f t="shared" si="0"/>
        <v>1</v>
      </c>
      <c r="H25" s="843"/>
      <c r="I25" s="819"/>
    </row>
    <row r="26" spans="1:9" ht="15.6">
      <c r="A26" s="1302">
        <f>SUM($G$3:G26)</f>
        <v>24</v>
      </c>
      <c r="B26" s="1303" t="str">
        <f>'NT-VT'!C29</f>
        <v>Sắt góc L75 x75 x8 x</v>
      </c>
      <c r="C26" s="1304" t="str">
        <f>'NT-VT'!D29</f>
        <v>cái</v>
      </c>
      <c r="D26" s="1305">
        <f>'NT-VT'!E29</f>
        <v>2</v>
      </c>
      <c r="E26" s="1302" t="str">
        <f>'NT-VT'!F29</f>
        <v>nt</v>
      </c>
      <c r="F26" s="1302" t="str">
        <f>'NT-VT'!G29</f>
        <v>nt</v>
      </c>
      <c r="G26" s="835">
        <f t="shared" si="0"/>
        <v>1</v>
      </c>
      <c r="H26" s="843"/>
      <c r="I26" s="819"/>
    </row>
    <row r="27" spans="1:9" ht="15.6">
      <c r="A27" s="1302">
        <f>SUM($G$3:G27)</f>
        <v>25</v>
      </c>
      <c r="B27" s="1303" t="str">
        <f>'NT-VT'!C30</f>
        <v>Sắt góc L50 x50 x5 x</v>
      </c>
      <c r="C27" s="1304" t="str">
        <f>'NT-VT'!D30</f>
        <v>cái</v>
      </c>
      <c r="D27" s="1305">
        <f>'NT-VT'!E30</f>
        <v>2</v>
      </c>
      <c r="E27" s="1302" t="str">
        <f>'NT-VT'!F30</f>
        <v>nt</v>
      </c>
      <c r="F27" s="1302" t="str">
        <f>'NT-VT'!G30</f>
        <v>nt</v>
      </c>
      <c r="G27" s="835">
        <f t="shared" si="0"/>
        <v>1</v>
      </c>
      <c r="H27" s="843"/>
      <c r="I27" s="819"/>
    </row>
    <row r="28" spans="1:9" ht="46.8">
      <c r="A28" s="1302">
        <f>SUM($G$3:G28)</f>
        <v>26</v>
      </c>
      <c r="B28" s="1303" t="str">
        <f>'NT-VT'!C31</f>
        <v>Boulon 16x300+ 2 long đền vuông D18-50x50x3/Zn</v>
      </c>
      <c r="C28" s="1304" t="str">
        <f>'NT-VT'!D31</f>
        <v>bộ</v>
      </c>
      <c r="D28" s="1305">
        <f>'NT-VT'!E31</f>
        <v>22</v>
      </c>
      <c r="E28" s="1302" t="str">
        <f>'NT-VT'!F31</f>
        <v>nt</v>
      </c>
      <c r="F28" s="1302" t="str">
        <f>'NT-VT'!G31</f>
        <v>nt</v>
      </c>
      <c r="G28" s="835">
        <f t="shared" si="0"/>
        <v>1</v>
      </c>
      <c r="H28" s="843"/>
      <c r="I28" s="819"/>
    </row>
    <row r="29" spans="1:9" ht="46.8">
      <c r="A29" s="1302">
        <f>SUM($G$3:G29)</f>
        <v>27</v>
      </c>
      <c r="B29" s="1303" t="str">
        <f>'NT-VT'!C32</f>
        <v>Boulon 16x50+ 2 long đền vuông D18-50x50x3/Zn</v>
      </c>
      <c r="C29" s="1304" t="str">
        <f>'NT-VT'!D32</f>
        <v>bộ</v>
      </c>
      <c r="D29" s="1305">
        <f>'NT-VT'!E32</f>
        <v>35</v>
      </c>
      <c r="E29" s="1302" t="str">
        <f>'NT-VT'!F32</f>
        <v>nt</v>
      </c>
      <c r="F29" s="1302" t="str">
        <f>'NT-VT'!G32</f>
        <v>nt</v>
      </c>
      <c r="G29" s="835">
        <f t="shared" si="0"/>
        <v>1</v>
      </c>
      <c r="H29" s="843"/>
      <c r="I29" s="845"/>
    </row>
    <row r="30" spans="1:9" ht="46.8">
      <c r="A30" s="1302">
        <f>SUM($G$3:G30)</f>
        <v>28</v>
      </c>
      <c r="B30" s="1303" t="str">
        <f>'NT-VT'!C33</f>
        <v>Boulon 16x300VRS+ 4 long đền vuông D18-50x50x3/Zn</v>
      </c>
      <c r="C30" s="1304" t="str">
        <f>'NT-VT'!D33</f>
        <v>bộ</v>
      </c>
      <c r="D30" s="1305">
        <f>'NT-VT'!E33</f>
        <v>17</v>
      </c>
      <c r="E30" s="1302" t="str">
        <f>'NT-VT'!F33</f>
        <v>nt</v>
      </c>
      <c r="F30" s="1302" t="str">
        <f>'NT-VT'!G33</f>
        <v>nt</v>
      </c>
      <c r="G30" s="835">
        <f t="shared" si="0"/>
        <v>1</v>
      </c>
      <c r="H30" s="844"/>
    </row>
    <row r="31" spans="1:9" ht="31.2">
      <c r="A31" s="1302">
        <f>SUM($G$3:G31)</f>
        <v>29</v>
      </c>
      <c r="B31" s="1303" t="str">
        <f>'NT-VT'!C34</f>
        <v>Cọc tiếp đất Þ 16- 2,4m + kẹp cọc mạ đồng</v>
      </c>
      <c r="C31" s="1304" t="str">
        <f>'NT-VT'!D34</f>
        <v>bộ</v>
      </c>
      <c r="D31" s="1305">
        <f>'NT-VT'!E34</f>
        <v>20</v>
      </c>
      <c r="E31" s="1302" t="str">
        <f>'NT-VT'!F34</f>
        <v>nt</v>
      </c>
      <c r="F31" s="1302" t="str">
        <f>'NT-VT'!G34</f>
        <v>nt</v>
      </c>
      <c r="G31" s="835">
        <f t="shared" si="0"/>
        <v>1</v>
      </c>
      <c r="H31" s="843"/>
      <c r="I31" s="845"/>
    </row>
    <row r="32" spans="1:9" ht="31.2">
      <c r="A32" s="1302">
        <f>SUM($G$3:G32)</f>
        <v>30</v>
      </c>
      <c r="B32" s="1303" t="str">
        <f>'NT-VT'!C35</f>
        <v>Kẹp ép WR cỡ dây 50mm2</v>
      </c>
      <c r="C32" s="1304" t="str">
        <f>'NT-VT'!D35</f>
        <v>cái</v>
      </c>
      <c r="D32" s="1305">
        <f>'NT-VT'!E35</f>
        <v>32</v>
      </c>
      <c r="E32" s="1302" t="str">
        <f>'NT-VT'!F35</f>
        <v>nt</v>
      </c>
      <c r="F32" s="1302" t="str">
        <f>'NT-VT'!G35</f>
        <v>nt</v>
      </c>
      <c r="G32" s="835">
        <f t="shared" si="0"/>
        <v>1</v>
      </c>
      <c r="H32" s="843"/>
      <c r="I32" s="845"/>
    </row>
    <row r="33" spans="1:9" ht="17.399999999999999">
      <c r="A33" s="1302">
        <f>SUM($G$3:G33)</f>
        <v>31</v>
      </c>
      <c r="B33" s="1303" t="str">
        <f>'NT-VT'!C36</f>
        <v>Ốc siết cáp cỡ 25mm2</v>
      </c>
      <c r="C33" s="1304" t="str">
        <f>'NT-VT'!D36</f>
        <v>cái</v>
      </c>
      <c r="D33" s="1305">
        <f>'NT-VT'!E36</f>
        <v>21</v>
      </c>
      <c r="E33" s="1302" t="str">
        <f>'NT-VT'!F36</f>
        <v>nt</v>
      </c>
      <c r="F33" s="1302" t="str">
        <f>'NT-VT'!G36</f>
        <v>nt</v>
      </c>
      <c r="G33" s="835">
        <f t="shared" si="0"/>
        <v>1</v>
      </c>
      <c r="H33" s="844"/>
    </row>
    <row r="34" spans="1:9" ht="31.2">
      <c r="A34" s="1302">
        <f>SUM($G$3:G34)</f>
        <v>32</v>
      </c>
      <c r="B34" s="1303" t="str">
        <f>'NT-VT'!C37</f>
        <v>Tủ ACB + thanh cái 1600A</v>
      </c>
      <c r="C34" s="1304" t="str">
        <f>'NT-VT'!D37</f>
        <v>cái</v>
      </c>
      <c r="D34" s="1305">
        <f>'NT-VT'!E37</f>
        <v>1</v>
      </c>
      <c r="E34" s="1302" t="str">
        <f>'NT-VT'!F37</f>
        <v>nt</v>
      </c>
      <c r="F34" s="1302" t="str">
        <f>'NT-VT'!G37</f>
        <v>nt</v>
      </c>
      <c r="G34" s="835">
        <f t="shared" si="0"/>
        <v>1</v>
      </c>
      <c r="H34" s="843"/>
      <c r="I34" s="845"/>
    </row>
    <row r="35" spans="1:9" ht="31.2">
      <c r="A35" s="1302">
        <f>SUM($G$3:G35)</f>
        <v>33</v>
      </c>
      <c r="B35" s="1303" t="str">
        <f>'NT-VT'!C38</f>
        <v xml:space="preserve">Bakelit 550x450 dầy 10mm </v>
      </c>
      <c r="C35" s="1304" t="str">
        <f>'NT-VT'!D38</f>
        <v>cái</v>
      </c>
      <c r="D35" s="1305">
        <f>'NT-VT'!E38</f>
        <v>1</v>
      </c>
      <c r="E35" s="1302" t="str">
        <f>'NT-VT'!F38</f>
        <v>nt</v>
      </c>
      <c r="F35" s="1302" t="str">
        <f>'NT-VT'!G38</f>
        <v>nt</v>
      </c>
      <c r="G35" s="835">
        <f t="shared" si="0"/>
        <v>1</v>
      </c>
      <c r="H35" s="843"/>
      <c r="I35" s="845"/>
    </row>
    <row r="36" spans="1:9" ht="31.2">
      <c r="A36" s="1302">
        <f>SUM($G$3:G36)</f>
        <v>34</v>
      </c>
      <c r="B36" s="1303" t="str">
        <f>'NT-VT'!C39</f>
        <v>Bảng tên trạm, bảng báo nguy hiểm + đinh vít</v>
      </c>
      <c r="C36" s="1304" t="str">
        <f>'NT-VT'!D39</f>
        <v>bộ</v>
      </c>
      <c r="D36" s="1305">
        <f>'NT-VT'!E39</f>
        <v>1</v>
      </c>
      <c r="E36" s="1302" t="str">
        <f>'NT-VT'!F39</f>
        <v>nt</v>
      </c>
      <c r="F36" s="1302" t="str">
        <f>'NT-VT'!G39</f>
        <v>nt</v>
      </c>
      <c r="G36" s="835">
        <f t="shared" si="0"/>
        <v>1</v>
      </c>
      <c r="H36" s="843"/>
      <c r="I36" s="845"/>
    </row>
    <row r="37" spans="1:9" ht="15.6">
      <c r="A37" s="1302">
        <f>SUM($G$3:G37)</f>
        <v>35</v>
      </c>
      <c r="B37" s="1303" t="str">
        <f>'NT-VT'!C40</f>
        <v>Kẹp quai 4/0</v>
      </c>
      <c r="C37" s="1304" t="str">
        <f>'NT-VT'!D40</f>
        <v>cái</v>
      </c>
      <c r="D37" s="1305">
        <f>'NT-VT'!E40</f>
        <v>3</v>
      </c>
      <c r="E37" s="1302" t="str">
        <f>'NT-VT'!F40</f>
        <v>nt</v>
      </c>
      <c r="F37" s="1302" t="str">
        <f>'NT-VT'!G40</f>
        <v>nt</v>
      </c>
      <c r="G37" s="835">
        <f t="shared" si="0"/>
        <v>1</v>
      </c>
      <c r="H37" s="843"/>
      <c r="I37" s="845"/>
    </row>
    <row r="38" spans="1:9" ht="15.6">
      <c r="A38" s="1302">
        <f>SUM($G$3:G38)</f>
        <v>36</v>
      </c>
      <c r="B38" s="1303" t="str">
        <f>'NT-VT'!C41</f>
        <v xml:space="preserve">Kẹp hotline 4/0: </v>
      </c>
      <c r="C38" s="1304" t="str">
        <f>'NT-VT'!D41</f>
        <v>cái</v>
      </c>
      <c r="D38" s="1305">
        <f>'NT-VT'!E41</f>
        <v>3</v>
      </c>
      <c r="E38" s="1302" t="str">
        <f>'NT-VT'!F41</f>
        <v>nt</v>
      </c>
      <c r="F38" s="1302" t="str">
        <f>'NT-VT'!G41</f>
        <v>nt</v>
      </c>
      <c r="G38" s="835">
        <f t="shared" si="0"/>
        <v>1</v>
      </c>
      <c r="H38" s="843"/>
      <c r="I38" s="819"/>
    </row>
    <row r="39" spans="1:9" ht="17.399999999999999">
      <c r="A39" s="1302">
        <f>SUM($G$3:G39)</f>
        <v>37</v>
      </c>
      <c r="B39" s="1303" t="str">
        <f>'NT-VT'!C42</f>
        <v>Chụp đầu MBA</v>
      </c>
      <c r="C39" s="1304" t="str">
        <f>'NT-VT'!D42</f>
        <v>cái</v>
      </c>
      <c r="D39" s="1305">
        <f>'NT-VT'!E42</f>
        <v>3</v>
      </c>
      <c r="E39" s="1302" t="str">
        <f>'NT-VT'!F42</f>
        <v>nt</v>
      </c>
      <c r="F39" s="1302" t="str">
        <f>'NT-VT'!G42</f>
        <v>nt</v>
      </c>
      <c r="G39" s="835">
        <f t="shared" si="0"/>
        <v>1</v>
      </c>
      <c r="H39" s="844"/>
    </row>
    <row r="40" spans="1:9" ht="17.399999999999999">
      <c r="A40" s="1302">
        <f>SUM($G$3:G40)</f>
        <v>38</v>
      </c>
      <c r="B40" s="1303" t="str">
        <f>'NT-VT'!C43</f>
        <v>Chụp đầu cực LA</v>
      </c>
      <c r="C40" s="1304" t="str">
        <f>'NT-VT'!D43</f>
        <v>cái</v>
      </c>
      <c r="D40" s="1305">
        <f>'NT-VT'!E43</f>
        <v>6</v>
      </c>
      <c r="E40" s="1302" t="str">
        <f>'NT-VT'!F43</f>
        <v>nt</v>
      </c>
      <c r="F40" s="1302" t="str">
        <f>'NT-VT'!G43</f>
        <v>nt</v>
      </c>
      <c r="G40" s="835">
        <f t="shared" si="0"/>
        <v>1</v>
      </c>
      <c r="H40" s="844"/>
    </row>
    <row r="41" spans="1:9" ht="31.2">
      <c r="A41" s="1302">
        <f>SUM($G$3:G41)</f>
        <v>39</v>
      </c>
      <c r="B41" s="1303" t="str">
        <f>'NT-VT'!C44</f>
        <v>Chụp đầu cực FCO (bộ 2 cái)</v>
      </c>
      <c r="C41" s="1304" t="str">
        <f>'NT-VT'!D44</f>
        <v>bộ</v>
      </c>
      <c r="D41" s="1305">
        <f>'NT-VT'!E44</f>
        <v>3</v>
      </c>
      <c r="E41" s="1302" t="str">
        <f>'NT-VT'!F44</f>
        <v>nt</v>
      </c>
      <c r="F41" s="1302" t="str">
        <f>'NT-VT'!G44</f>
        <v>nt</v>
      </c>
      <c r="G41" s="835">
        <f t="shared" si="0"/>
        <v>1</v>
      </c>
      <c r="H41" s="843"/>
      <c r="I41" s="845"/>
    </row>
    <row r="42" spans="1:9" ht="15.6">
      <c r="A42" s="1302">
        <f>SUM($G$3:G42)</f>
        <v>40</v>
      </c>
      <c r="B42" s="1303" t="str">
        <f>'NT-VT'!C45</f>
        <v>Chụp đầu cực TI, TU</v>
      </c>
      <c r="C42" s="1304" t="str">
        <f>'NT-VT'!D45</f>
        <v>Cái</v>
      </c>
      <c r="D42" s="1305">
        <f>'NT-VT'!E45</f>
        <v>9</v>
      </c>
      <c r="E42" s="1302" t="str">
        <f>'NT-VT'!F45</f>
        <v>nt</v>
      </c>
      <c r="F42" s="1302" t="str">
        <f>'NT-VT'!G45</f>
        <v>nt</v>
      </c>
      <c r="G42" s="835">
        <f t="shared" si="0"/>
        <v>1</v>
      </c>
      <c r="H42" s="843"/>
      <c r="I42" s="819"/>
    </row>
    <row r="43" spans="1:9" ht="15.6">
      <c r="A43" s="1302">
        <f>SUM($G$3:G43)</f>
        <v>41</v>
      </c>
      <c r="B43" s="1303" t="str">
        <f>'NT-VT'!C46</f>
        <v>Chân sứ đứng D20</v>
      </c>
      <c r="C43" s="1304" t="str">
        <f>'NT-VT'!D46</f>
        <v>cái</v>
      </c>
      <c r="D43" s="1305">
        <f>'NT-VT'!E46</f>
        <v>33</v>
      </c>
      <c r="E43" s="1302" t="str">
        <f>'NT-VT'!F46</f>
        <v>nt</v>
      </c>
      <c r="F43" s="1302" t="str">
        <f>'NT-VT'!G46</f>
        <v>nt</v>
      </c>
      <c r="G43" s="835">
        <f t="shared" si="0"/>
        <v>1</v>
      </c>
      <c r="H43" s="843"/>
      <c r="I43" s="845"/>
    </row>
    <row r="44" spans="1:9" ht="31.2">
      <c r="A44" s="1302">
        <f>SUM($G$3:G44)</f>
        <v>42</v>
      </c>
      <c r="B44" s="1303" t="str">
        <f>'NT-VT'!C47</f>
        <v>Dây buộc đầu sứ cỡ dây 50mm2</v>
      </c>
      <c r="C44" s="1304" t="str">
        <f>'NT-VT'!D47</f>
        <v>cái</v>
      </c>
      <c r="D44" s="1305">
        <f>'NT-VT'!E47</f>
        <v>27</v>
      </c>
      <c r="E44" s="1302" t="str">
        <f>'NT-VT'!F47</f>
        <v>nt</v>
      </c>
      <c r="F44" s="1302" t="str">
        <f>'NT-VT'!G47</f>
        <v>nt</v>
      </c>
      <c r="G44" s="835">
        <f t="shared" si="0"/>
        <v>1</v>
      </c>
      <c r="H44" s="843"/>
      <c r="I44" s="819"/>
    </row>
    <row r="45" spans="1:9" ht="31.2">
      <c r="A45" s="1302">
        <f>SUM($G$3:G45)</f>
        <v>43</v>
      </c>
      <c r="B45" s="1303" t="str">
        <f>'NT-VT'!C48</f>
        <v>Đầu cosse ép Cu 240mm2</v>
      </c>
      <c r="C45" s="1304" t="str">
        <f>'NT-VT'!D48</f>
        <v>cái</v>
      </c>
      <c r="D45" s="1305">
        <f>'NT-VT'!E48</f>
        <v>28</v>
      </c>
      <c r="E45" s="1302" t="str">
        <f>'NT-VT'!F48</f>
        <v>nt</v>
      </c>
      <c r="F45" s="1302" t="str">
        <f>'NT-VT'!G48</f>
        <v>nt</v>
      </c>
      <c r="G45" s="835">
        <f t="shared" si="0"/>
        <v>1</v>
      </c>
      <c r="H45" s="843"/>
      <c r="I45" s="819"/>
    </row>
    <row r="46" spans="1:9" ht="31.2">
      <c r="A46" s="1302">
        <f>SUM($G$3:G46)</f>
        <v>44</v>
      </c>
      <c r="B46" s="1303" t="str">
        <f>'NT-VT'!C49</f>
        <v>Chụp đầu cosse  240mm2</v>
      </c>
      <c r="C46" s="1304" t="str">
        <f>'NT-VT'!D49</f>
        <v>cái</v>
      </c>
      <c r="D46" s="1305">
        <f>'NT-VT'!E49</f>
        <v>28</v>
      </c>
      <c r="E46" s="1302" t="str">
        <f>'NT-VT'!F49</f>
        <v>nt</v>
      </c>
      <c r="F46" s="1302" t="str">
        <f>'NT-VT'!G49</f>
        <v>nt</v>
      </c>
      <c r="G46" s="835">
        <f t="shared" si="0"/>
        <v>1</v>
      </c>
      <c r="H46" s="843"/>
      <c r="I46" s="819"/>
    </row>
    <row r="47" spans="1:9" ht="15.6">
      <c r="A47" s="1302">
        <f>SUM($G$3:G47)</f>
        <v>45</v>
      </c>
      <c r="B47" s="1303" t="str">
        <f>'NT-VT'!C50</f>
        <v xml:space="preserve">Ống PVC D114x4,9mm </v>
      </c>
      <c r="C47" s="1304" t="str">
        <f>'NT-VT'!D50</f>
        <v>m</v>
      </c>
      <c r="D47" s="1305">
        <f>'NT-VT'!E50</f>
        <v>8</v>
      </c>
      <c r="E47" s="1302" t="str">
        <f>'NT-VT'!F50</f>
        <v>nt</v>
      </c>
      <c r="F47" s="1302" t="str">
        <f>'NT-VT'!G50</f>
        <v>nt</v>
      </c>
      <c r="G47" s="835">
        <f t="shared" si="0"/>
        <v>1</v>
      </c>
      <c r="H47" s="843"/>
      <c r="I47" s="819"/>
    </row>
    <row r="48" spans="1:9" ht="31.2">
      <c r="A48" s="1302">
        <f>SUM($G$3:G48)</f>
        <v>46</v>
      </c>
      <c r="B48" s="1303" t="str">
        <f>'NT-VT'!C51</f>
        <v>Keo silicon bít miệng ống:</v>
      </c>
      <c r="C48" s="1304" t="str">
        <f>'NT-VT'!D51</f>
        <v>ống</v>
      </c>
      <c r="D48" s="1305">
        <f>'NT-VT'!E51</f>
        <v>7</v>
      </c>
      <c r="E48" s="1302" t="str">
        <f>'NT-VT'!F51</f>
        <v>nt</v>
      </c>
      <c r="F48" s="1302" t="str">
        <f>'NT-VT'!G51</f>
        <v>nt</v>
      </c>
      <c r="G48" s="835">
        <f t="shared" si="0"/>
        <v>1</v>
      </c>
      <c r="H48" s="843"/>
      <c r="I48" s="819"/>
    </row>
    <row r="49" spans="1:9" ht="15.6">
      <c r="A49" s="1302">
        <f>SUM($G$3:G49)</f>
        <v>47</v>
      </c>
      <c r="B49" s="1303" t="str">
        <f>'NT-VT'!C52</f>
        <v>Dây rút cáp</v>
      </c>
      <c r="C49" s="1304" t="str">
        <f>'NT-VT'!D52</f>
        <v>bọc</v>
      </c>
      <c r="D49" s="1305">
        <f>'NT-VT'!E52</f>
        <v>3</v>
      </c>
      <c r="E49" s="1302" t="str">
        <f>'NT-VT'!F52</f>
        <v>nt</v>
      </c>
      <c r="F49" s="1302" t="str">
        <f>'NT-VT'!G52</f>
        <v>nt</v>
      </c>
      <c r="G49" s="835">
        <f t="shared" si="0"/>
        <v>1</v>
      </c>
      <c r="H49" s="843"/>
      <c r="I49" s="819"/>
    </row>
    <row r="50" spans="1:9" ht="15.6">
      <c r="A50" s="1302">
        <f>SUM($G$3:G50)</f>
        <v>48</v>
      </c>
      <c r="B50" s="1303" t="str">
        <f>'NT-VT'!C53</f>
        <v>Băng keo cách điện</v>
      </c>
      <c r="C50" s="1304" t="str">
        <f>'NT-VT'!D53</f>
        <v>cuộn</v>
      </c>
      <c r="D50" s="1305">
        <f>'NT-VT'!E53</f>
        <v>2</v>
      </c>
      <c r="E50" s="1302" t="str">
        <f>'NT-VT'!F53</f>
        <v>nt</v>
      </c>
      <c r="F50" s="1302" t="str">
        <f>'NT-VT'!G53</f>
        <v>nt</v>
      </c>
      <c r="G50" s="835">
        <f t="shared" si="0"/>
        <v>1</v>
      </c>
      <c r="H50" s="843"/>
      <c r="I50" s="819"/>
    </row>
    <row r="51" spans="1:9" ht="15.6">
      <c r="A51" s="1302">
        <f>SUM($G$3:G51)</f>
        <v>49</v>
      </c>
      <c r="B51" s="1303" t="str">
        <f>'NT-VT'!C54</f>
        <v>Sắt Ø10</v>
      </c>
      <c r="C51" s="1304" t="str">
        <f>'NT-VT'!D54</f>
        <v>kg</v>
      </c>
      <c r="D51" s="1305">
        <f>'NT-VT'!E54</f>
        <v>1.1399999999999999</v>
      </c>
      <c r="E51" s="1302" t="str">
        <f>'NT-VT'!F54</f>
        <v>nt</v>
      </c>
      <c r="F51" s="1302" t="str">
        <f>'NT-VT'!G54</f>
        <v>nt</v>
      </c>
      <c r="G51" s="835">
        <f t="shared" si="0"/>
        <v>1</v>
      </c>
      <c r="H51" s="843"/>
      <c r="I51" s="819"/>
    </row>
    <row r="52" spans="1:9" ht="15.6">
      <c r="A52" s="1302">
        <f>SUM($G$3:G52)</f>
        <v>50</v>
      </c>
      <c r="B52" s="1303" t="str">
        <f>'NT-VT'!C55</f>
        <v>Ông sắt tráng kẽm D76</v>
      </c>
      <c r="C52" s="1304" t="str">
        <f>'NT-VT'!D55</f>
        <v>mét</v>
      </c>
      <c r="D52" s="1305">
        <f>'NT-VT'!E55</f>
        <v>18</v>
      </c>
      <c r="E52" s="1302" t="str">
        <f>'NT-VT'!F55</f>
        <v>nt</v>
      </c>
      <c r="F52" s="1302" t="str">
        <f>'NT-VT'!G55</f>
        <v>nt</v>
      </c>
      <c r="G52" s="835">
        <f t="shared" si="0"/>
        <v>1</v>
      </c>
      <c r="H52" s="843"/>
      <c r="I52" s="819"/>
    </row>
    <row r="53" spans="1:9" ht="31.2">
      <c r="A53" s="1302">
        <f>SUM($G$3:G53)</f>
        <v>51</v>
      </c>
      <c r="B53" s="1303" t="str">
        <f>'NT-VT'!C56</f>
        <v>Thanh sắt V50x50x5-4000 - 16kg/thanh</v>
      </c>
      <c r="C53" s="1304" t="str">
        <f>'NT-VT'!D56</f>
        <v>kg</v>
      </c>
      <c r="D53" s="1305">
        <f>'NT-VT'!E56</f>
        <v>128</v>
      </c>
      <c r="E53" s="1302" t="str">
        <f>'NT-VT'!F56</f>
        <v>nt</v>
      </c>
      <c r="F53" s="1302" t="str">
        <f>'NT-VT'!G56</f>
        <v>nt</v>
      </c>
      <c r="G53" s="835">
        <f t="shared" si="0"/>
        <v>1</v>
      </c>
      <c r="H53" s="843"/>
      <c r="I53" s="819"/>
    </row>
    <row r="54" spans="1:9" ht="31.2">
      <c r="A54" s="1302">
        <f>SUM($G$3:G54)</f>
        <v>52</v>
      </c>
      <c r="B54" s="1303" t="str">
        <f>'NT-VT'!C57</f>
        <v>Thanh sắt V40x40x3-6000 - 17,7kg/thanh</v>
      </c>
      <c r="C54" s="1304" t="str">
        <f>'NT-VT'!D57</f>
        <v>kg</v>
      </c>
      <c r="D54" s="1305">
        <f>'NT-VT'!E57</f>
        <v>47.2</v>
      </c>
      <c r="E54" s="1302" t="str">
        <f>'NT-VT'!F57</f>
        <v>nt</v>
      </c>
      <c r="F54" s="1302" t="str">
        <f>'NT-VT'!G57</f>
        <v>nt</v>
      </c>
      <c r="G54" s="835">
        <f t="shared" si="0"/>
        <v>1</v>
      </c>
      <c r="H54" s="843"/>
      <c r="I54" s="819"/>
    </row>
    <row r="55" spans="1:9" ht="15.6">
      <c r="A55" s="1302">
        <f>SUM($G$3:G55)</f>
        <v>53</v>
      </c>
      <c r="B55" s="1303" t="str">
        <f>'NT-VT'!C58</f>
        <v>Sắt dẹt 60 x 6</v>
      </c>
      <c r="C55" s="1304" t="str">
        <f>'NT-VT'!D58</f>
        <v>kg</v>
      </c>
      <c r="D55" s="1305">
        <f>'NT-VT'!E58</f>
        <v>3</v>
      </c>
      <c r="E55" s="1302" t="str">
        <f>'NT-VT'!F58</f>
        <v>nt</v>
      </c>
      <c r="F55" s="1302" t="str">
        <f>'NT-VT'!G58</f>
        <v>nt</v>
      </c>
      <c r="G55" s="835">
        <f t="shared" si="0"/>
        <v>1</v>
      </c>
      <c r="H55" s="843"/>
      <c r="I55" s="819"/>
    </row>
    <row r="56" spans="1:9" ht="15.6">
      <c r="A56" s="1302">
        <f>SUM($G$3:G56)</f>
        <v>54</v>
      </c>
      <c r="B56" s="1303" t="str">
        <f>'NT-VT'!C59</f>
        <v>Lưới B40 - 1800-3/Zn</v>
      </c>
      <c r="C56" s="1304" t="str">
        <f>'NT-VT'!D59</f>
        <v>mét</v>
      </c>
      <c r="D56" s="1305">
        <f>'NT-VT'!E59</f>
        <v>14.2</v>
      </c>
      <c r="E56" s="1302" t="str">
        <f>'NT-VT'!F59</f>
        <v>nt</v>
      </c>
      <c r="F56" s="1302" t="str">
        <f>'NT-VT'!G59</f>
        <v>nt</v>
      </c>
      <c r="G56" s="835">
        <f t="shared" si="0"/>
        <v>1</v>
      </c>
      <c r="H56" s="843"/>
      <c r="I56" s="819"/>
    </row>
    <row r="57" spans="1:9" ht="15.6">
      <c r="A57" s="1302">
        <f>SUM($G$3:G57)</f>
        <v>55</v>
      </c>
      <c r="B57" s="1303" t="str">
        <f>'NT-VT'!C60</f>
        <v>Sắt Ø8</v>
      </c>
      <c r="C57" s="1304" t="str">
        <f>'NT-VT'!D60</f>
        <v>kg</v>
      </c>
      <c r="D57" s="1305">
        <f>'NT-VT'!E60</f>
        <v>16</v>
      </c>
      <c r="E57" s="1302" t="str">
        <f>'NT-VT'!F60</f>
        <v>nt</v>
      </c>
      <c r="F57" s="1302" t="str">
        <f>'NT-VT'!G60</f>
        <v>nt</v>
      </c>
      <c r="G57" s="835">
        <f t="shared" si="0"/>
        <v>1</v>
      </c>
      <c r="H57" s="843"/>
      <c r="I57" s="819"/>
    </row>
    <row r="58" spans="1:9" ht="46.8">
      <c r="A58" s="1302">
        <f>SUM($G$3:G58)</f>
        <v>56</v>
      </c>
      <c r="B58" s="1303" t="str">
        <f>'NT-VT'!C61</f>
        <v>Boulon 14x350+ 2 long đền vuông D16-50x50x3/Zn</v>
      </c>
      <c r="C58" s="1304" t="str">
        <f>'NT-VT'!D61</f>
        <v>bộ</v>
      </c>
      <c r="D58" s="1305">
        <f>'NT-VT'!E61</f>
        <v>36</v>
      </c>
      <c r="E58" s="1302" t="str">
        <f>'NT-VT'!F61</f>
        <v>nt</v>
      </c>
      <c r="F58" s="1302" t="str">
        <f>'NT-VT'!G61</f>
        <v>nt</v>
      </c>
      <c r="G58" s="835">
        <f t="shared" si="0"/>
        <v>1</v>
      </c>
      <c r="H58" s="843"/>
      <c r="I58" s="819"/>
    </row>
    <row r="59" spans="1:9" ht="46.8">
      <c r="A59" s="1302">
        <f>SUM($G$3:G59)</f>
        <v>57</v>
      </c>
      <c r="B59" s="1303" t="str">
        <f>'NT-VT'!C62</f>
        <v>Boulon 10x50+ 2 long đền vuông D12-50x50x3/Zn</v>
      </c>
      <c r="C59" s="1304" t="str">
        <f>'NT-VT'!D62</f>
        <v>bộ</v>
      </c>
      <c r="D59" s="1305">
        <f>'NT-VT'!E62</f>
        <v>24</v>
      </c>
      <c r="E59" s="1302" t="str">
        <f>'NT-VT'!F62</f>
        <v>nt</v>
      </c>
      <c r="F59" s="1302" t="str">
        <f>'NT-VT'!G62</f>
        <v>nt</v>
      </c>
      <c r="G59" s="835">
        <f t="shared" si="0"/>
        <v>1</v>
      </c>
      <c r="H59" s="843"/>
      <c r="I59" s="819"/>
    </row>
    <row r="60" spans="1:9" ht="31.2">
      <c r="A60" s="1302">
        <f>SUM($G$3:G60)</f>
        <v>58</v>
      </c>
      <c r="B60" s="1303" t="str">
        <f>'NT-VT'!C63</f>
        <v>Xà kẹp TU, TI U50x32x4 350</v>
      </c>
      <c r="C60" s="1304" t="str">
        <f>'NT-VT'!D63</f>
        <v>Bộ</v>
      </c>
      <c r="D60" s="1305">
        <f>'NT-VT'!E63</f>
        <v>24</v>
      </c>
      <c r="E60" s="1302" t="str">
        <f>'NT-VT'!F63</f>
        <v>nt</v>
      </c>
      <c r="F60" s="1302" t="str">
        <f>'NT-VT'!G63</f>
        <v>nt</v>
      </c>
      <c r="G60" s="835">
        <f t="shared" si="0"/>
        <v>1</v>
      </c>
      <c r="H60" s="843"/>
      <c r="I60" s="819"/>
    </row>
    <row r="61" spans="1:9" ht="31.2">
      <c r="A61" s="1302">
        <f>SUM($G$3:G61)</f>
        <v>59</v>
      </c>
      <c r="B61" s="1303" t="str">
        <f>'NT-VT'!C64</f>
        <v>Đầu cosse ép Cu 4mm2 + bao PVC  (ñaáu TU)</v>
      </c>
      <c r="C61" s="1304" t="str">
        <f>'NT-VT'!D64</f>
        <v>cái</v>
      </c>
      <c r="D61" s="1305">
        <f>'NT-VT'!E64</f>
        <v>16</v>
      </c>
      <c r="E61" s="1302" t="str">
        <f>'NT-VT'!F64</f>
        <v>nt</v>
      </c>
      <c r="F61" s="1302" t="str">
        <f>'NT-VT'!G64</f>
        <v>nt</v>
      </c>
      <c r="G61" s="835">
        <f t="shared" si="0"/>
        <v>1</v>
      </c>
      <c r="H61" s="843"/>
      <c r="I61" s="819"/>
    </row>
    <row r="62" spans="1:9" ht="15.6">
      <c r="A62" s="1302">
        <f>SUM($G$3:G62)</f>
        <v>60</v>
      </c>
      <c r="B62" s="1303" t="str">
        <f>'NT-VT'!C65</f>
        <v>Ống PVC D60x2,8mm</v>
      </c>
      <c r="C62" s="1304" t="str">
        <f>'NT-VT'!D65</f>
        <v>m</v>
      </c>
      <c r="D62" s="1305">
        <f>'NT-VT'!E65</f>
        <v>24</v>
      </c>
      <c r="E62" s="1302" t="str">
        <f>'NT-VT'!F65</f>
        <v>nt</v>
      </c>
      <c r="F62" s="1302" t="str">
        <f>'NT-VT'!G65</f>
        <v>nt</v>
      </c>
      <c r="G62" s="835">
        <f t="shared" si="0"/>
        <v>1</v>
      </c>
      <c r="H62" s="843"/>
      <c r="I62" s="819"/>
    </row>
    <row r="63" spans="1:9" ht="15.6">
      <c r="A63" s="1302">
        <f>SUM($G$3:G63)</f>
        <v>61</v>
      </c>
      <c r="B63" s="1303" t="str">
        <f>'NT-VT'!C66</f>
        <v>Cổ dê kẹp ống PVC Ø 60</v>
      </c>
      <c r="C63" s="1304" t="str">
        <f>'NT-VT'!D66</f>
        <v>bộ</v>
      </c>
      <c r="D63" s="1305">
        <f>'NT-VT'!E66</f>
        <v>4</v>
      </c>
      <c r="E63" s="1302" t="str">
        <f>'NT-VT'!F66</f>
        <v>nt</v>
      </c>
      <c r="F63" s="1302" t="str">
        <f>'NT-VT'!G66</f>
        <v>nt</v>
      </c>
      <c r="G63" s="835">
        <f t="shared" si="0"/>
        <v>1</v>
      </c>
      <c r="H63" s="843"/>
      <c r="I63" s="819"/>
    </row>
    <row r="64" spans="1:9" ht="15.6">
      <c r="A64" s="1302">
        <f>SUM($G$3:G64)</f>
        <v>62</v>
      </c>
      <c r="B64" s="1303" t="str">
        <f>'NT-VT'!C67</f>
        <v>Co 90 độ PVC 60</v>
      </c>
      <c r="C64" s="1304" t="str">
        <f>'NT-VT'!D67</f>
        <v>cái</v>
      </c>
      <c r="D64" s="1305">
        <f>'NT-VT'!E67</f>
        <v>8</v>
      </c>
      <c r="E64" s="1302" t="str">
        <f>'NT-VT'!F67</f>
        <v>nt</v>
      </c>
      <c r="F64" s="1302" t="str">
        <f>'NT-VT'!G67</f>
        <v>nt</v>
      </c>
      <c r="G64" s="835">
        <f t="shared" si="0"/>
        <v>1</v>
      </c>
      <c r="H64" s="843"/>
      <c r="I64" s="819"/>
    </row>
    <row r="65" spans="1:9" ht="15.6">
      <c r="A65" s="1302">
        <f>SUM($G$3:G65)</f>
        <v>63</v>
      </c>
      <c r="B65" s="1303" t="str">
        <f>'NT-VT'!C68</f>
        <v>Nối ống PVC 60</v>
      </c>
      <c r="C65" s="1304" t="str">
        <f>'NT-VT'!D68</f>
        <v>cái</v>
      </c>
      <c r="D65" s="1305">
        <f>'NT-VT'!E68</f>
        <v>5</v>
      </c>
      <c r="E65" s="1302" t="str">
        <f>'NT-VT'!F68</f>
        <v>nt</v>
      </c>
      <c r="F65" s="1302" t="str">
        <f>'NT-VT'!G68</f>
        <v>nt</v>
      </c>
      <c r="G65" s="835">
        <f t="shared" si="0"/>
        <v>1</v>
      </c>
      <c r="H65" s="843"/>
      <c r="I65" s="819"/>
    </row>
    <row r="66" spans="1:9" ht="31.2">
      <c r="A66" s="1302">
        <f>SUM($G$3:G66)</f>
        <v>64</v>
      </c>
      <c r="B66" s="1303" t="str">
        <f>'NT-VT'!C69</f>
        <v>Keo dán ống PVC (500gr)</v>
      </c>
      <c r="C66" s="1304" t="str">
        <f>'NT-VT'!D69</f>
        <v>lon</v>
      </c>
      <c r="D66" s="1305">
        <f>'NT-VT'!E69</f>
        <v>1</v>
      </c>
      <c r="E66" s="1302" t="str">
        <f>'NT-VT'!F69</f>
        <v>nt</v>
      </c>
      <c r="F66" s="1302" t="str">
        <f>'NT-VT'!G69</f>
        <v>nt</v>
      </c>
      <c r="G66" s="835">
        <f t="shared" si="0"/>
        <v>1</v>
      </c>
      <c r="H66" s="843"/>
      <c r="I66" s="819"/>
    </row>
    <row r="67" spans="1:9" ht="15.6">
      <c r="A67" s="1302">
        <f>SUM($G$3:G67)</f>
        <v>65</v>
      </c>
      <c r="B67" s="1303" t="str">
        <f>'NT-VT'!C70</f>
        <v>Khâu ven răng trong D60</v>
      </c>
      <c r="C67" s="1304" t="str">
        <f>'NT-VT'!D70</f>
        <v>cái</v>
      </c>
      <c r="D67" s="1305">
        <f>'NT-VT'!E70</f>
        <v>1</v>
      </c>
      <c r="E67" s="1302" t="str">
        <f>'NT-VT'!F70</f>
        <v>nt</v>
      </c>
      <c r="F67" s="1302" t="str">
        <f>'NT-VT'!G70</f>
        <v>nt</v>
      </c>
      <c r="G67" s="835">
        <f t="shared" ref="G67:G93" si="1">IF(ISERROR(B67),"",1)</f>
        <v>1</v>
      </c>
      <c r="H67" s="843"/>
      <c r="I67" s="819"/>
    </row>
    <row r="68" spans="1:9" ht="15.6">
      <c r="A68" s="1302">
        <f>SUM($G$3:G68)</f>
        <v>66</v>
      </c>
      <c r="B68" s="1303" t="str">
        <f>'NT-VT'!C71</f>
        <v>Khâu ven răng ngoài D60</v>
      </c>
      <c r="C68" s="1304" t="str">
        <f>'NT-VT'!D71</f>
        <v>cái</v>
      </c>
      <c r="D68" s="1305">
        <f>'NT-VT'!E71</f>
        <v>1</v>
      </c>
      <c r="E68" s="1302" t="str">
        <f>'NT-VT'!F71</f>
        <v>nt</v>
      </c>
      <c r="F68" s="1302" t="str">
        <f>'NT-VT'!G71</f>
        <v>nt</v>
      </c>
      <c r="G68" s="835">
        <f t="shared" si="1"/>
        <v>1</v>
      </c>
      <c r="H68" s="843"/>
      <c r="I68" s="819"/>
    </row>
    <row r="69" spans="1:9" ht="31.2">
      <c r="A69" s="1302">
        <f>SUM($G$3:G69)</f>
        <v>67</v>
      </c>
      <c r="B69" s="1303" t="str">
        <f>'NT-VT'!C72</f>
        <v>Cổ dê CDĐKĐT( bắt thùng điện kế)</v>
      </c>
      <c r="C69" s="1304" t="str">
        <f>'NT-VT'!D72</f>
        <v>bộ</v>
      </c>
      <c r="D69" s="1305">
        <f>'NT-VT'!E72</f>
        <v>1</v>
      </c>
      <c r="E69" s="1302" t="str">
        <f>'NT-VT'!F72</f>
        <v>nt</v>
      </c>
      <c r="F69" s="1302" t="str">
        <f>'NT-VT'!G72</f>
        <v>nt</v>
      </c>
      <c r="G69" s="835">
        <f t="shared" si="1"/>
        <v>1</v>
      </c>
      <c r="H69" s="843"/>
      <c r="I69" s="819"/>
    </row>
    <row r="70" spans="1:9" ht="46.8">
      <c r="A70" s="1302">
        <f>SUM($G$3:G70)</f>
        <v>68</v>
      </c>
      <c r="B70" s="1303" t="str">
        <f>'NT-VT'!C73</f>
        <v>Thùng điện kế 450x300x200mm đo đếm trung thế</v>
      </c>
      <c r="C70" s="1304" t="str">
        <f>'NT-VT'!D73</f>
        <v>cái</v>
      </c>
      <c r="D70" s="1305">
        <f>'NT-VT'!E73</f>
        <v>1</v>
      </c>
      <c r="E70" s="1302" t="str">
        <f>'NT-VT'!F73</f>
        <v>nt</v>
      </c>
      <c r="F70" s="1302" t="str">
        <f>'NT-VT'!G73</f>
        <v>nt</v>
      </c>
      <c r="G70" s="835">
        <f t="shared" si="1"/>
        <v>1</v>
      </c>
      <c r="H70" s="843"/>
      <c r="I70" s="819"/>
    </row>
    <row r="71" spans="1:9" ht="15.6">
      <c r="A71" s="1302">
        <f>SUM($G$3:G71)</f>
        <v>69</v>
      </c>
      <c r="B71" s="1303" t="str">
        <f>'NT-VT'!C74</f>
        <v>Dây đồng trần mềm dẹt</v>
      </c>
      <c r="C71" s="1304" t="str">
        <f>'NT-VT'!D74</f>
        <v>mét</v>
      </c>
      <c r="D71" s="1305">
        <f>'NT-VT'!E74</f>
        <v>4</v>
      </c>
      <c r="E71" s="1302" t="str">
        <f>'NT-VT'!F74</f>
        <v>nt</v>
      </c>
      <c r="F71" s="1302" t="str">
        <f>'NT-VT'!G74</f>
        <v>nt</v>
      </c>
      <c r="G71" s="835">
        <f t="shared" si="1"/>
        <v>1</v>
      </c>
      <c r="H71" s="843"/>
      <c r="I71" s="819"/>
    </row>
    <row r="72" spans="1:9" ht="46.8">
      <c r="A72" s="1302">
        <f>SUM($G$3:G72)</f>
        <v>70</v>
      </c>
      <c r="B72" s="1303" t="str">
        <f>'NT-VT'!C75</f>
        <v>Boulon 16x650VRS+ 4 long đền vuông D18-50x50x3/Zn</v>
      </c>
      <c r="C72" s="1304" t="str">
        <f>'NT-VT'!D75</f>
        <v>bộ</v>
      </c>
      <c r="D72" s="1305">
        <f>'NT-VT'!E75</f>
        <v>4</v>
      </c>
      <c r="E72" s="1302" t="str">
        <f>'NT-VT'!F75</f>
        <v>nt</v>
      </c>
      <c r="F72" s="1302" t="str">
        <f>'NT-VT'!G75</f>
        <v>nt</v>
      </c>
      <c r="G72" s="835">
        <f t="shared" si="1"/>
        <v>1</v>
      </c>
      <c r="H72" s="843"/>
      <c r="I72" s="819"/>
    </row>
    <row r="73" spans="1:9" ht="46.8">
      <c r="A73" s="1302">
        <f>SUM($G$3:G73)</f>
        <v>71</v>
      </c>
      <c r="B73" s="1303" t="str">
        <f>'NT-VT'!C76</f>
        <v>Boulon 16x750VRS+ 4 long đền vuông D18-50x50x3/Zn</v>
      </c>
      <c r="C73" s="1304" t="str">
        <f>'NT-VT'!D76</f>
        <v>bộ</v>
      </c>
      <c r="D73" s="1305">
        <f>'NT-VT'!E76</f>
        <v>4</v>
      </c>
      <c r="E73" s="1302" t="str">
        <f>'NT-VT'!F76</f>
        <v>nt</v>
      </c>
      <c r="F73" s="1302" t="str">
        <f>'NT-VT'!G76</f>
        <v>nt</v>
      </c>
      <c r="G73" s="835">
        <f t="shared" si="1"/>
        <v>1</v>
      </c>
      <c r="H73" s="843"/>
      <c r="I73" s="819"/>
    </row>
    <row r="74" spans="1:9" ht="31.2">
      <c r="A74" s="1302">
        <f>SUM($G$3:G74)</f>
        <v>72</v>
      </c>
      <c r="B74" s="1303" t="str">
        <f>'NT-VT'!C77</f>
        <v>Kẹp ép WR cỡ dây 185mm2</v>
      </c>
      <c r="C74" s="1304" t="str">
        <f>'NT-VT'!D77</f>
        <v>cái</v>
      </c>
      <c r="D74" s="1305">
        <f>'NT-VT'!E77</f>
        <v>2</v>
      </c>
      <c r="E74" s="1302" t="str">
        <f>'NT-VT'!F77</f>
        <v>nt</v>
      </c>
      <c r="F74" s="1302" t="str">
        <f>'NT-VT'!G77</f>
        <v>nt</v>
      </c>
      <c r="G74" s="835">
        <f t="shared" si="1"/>
        <v>1</v>
      </c>
      <c r="H74" s="843"/>
      <c r="I74" s="819"/>
    </row>
    <row r="75" spans="1:9" ht="15.6">
      <c r="A75" s="1302">
        <f>SUM($G$3:G75)</f>
        <v>73</v>
      </c>
      <c r="B75" s="1303" t="str">
        <f>'NT-VT'!C78</f>
        <v>Sắt góc L75 x75 x8 x</v>
      </c>
      <c r="C75" s="1304" t="str">
        <f>'NT-VT'!D78</f>
        <v>cái</v>
      </c>
      <c r="D75" s="1305">
        <f>'NT-VT'!E78</f>
        <v>12</v>
      </c>
      <c r="E75" s="1302" t="str">
        <f>'NT-VT'!F78</f>
        <v>nt</v>
      </c>
      <c r="F75" s="1302" t="str">
        <f>'NT-VT'!G78</f>
        <v>nt</v>
      </c>
      <c r="G75" s="835">
        <f t="shared" si="1"/>
        <v>1</v>
      </c>
      <c r="H75" s="843"/>
      <c r="I75" s="819"/>
    </row>
    <row r="76" spans="1:9" ht="15.6">
      <c r="A76" s="1302">
        <f>SUM($G$3:G76)</f>
        <v>74</v>
      </c>
      <c r="B76" s="1303" t="str">
        <f>'NT-VT'!C79</f>
        <v>Sắt góc L50 x50 x5 - 810</v>
      </c>
      <c r="C76" s="1304" t="str">
        <f>'NT-VT'!D79</f>
        <v>cái</v>
      </c>
      <c r="D76" s="1305">
        <f>'NT-VT'!E79</f>
        <v>24</v>
      </c>
      <c r="E76" s="1302" t="str">
        <f>'NT-VT'!F79</f>
        <v>nt</v>
      </c>
      <c r="F76" s="1302" t="str">
        <f>'NT-VT'!G79</f>
        <v>nt</v>
      </c>
      <c r="G76" s="835">
        <f t="shared" si="1"/>
        <v>1</v>
      </c>
      <c r="H76" s="843"/>
      <c r="I76" s="819"/>
    </row>
    <row r="77" spans="1:9" ht="46.8">
      <c r="A77" s="1302">
        <f>SUM($G$3:G77)</f>
        <v>75</v>
      </c>
      <c r="B77" s="1303" t="str">
        <f>'NT-VT'!C80</f>
        <v>Boulon 16x500+ 2 long đền vuông D18-50x50x3/Zn</v>
      </c>
      <c r="C77" s="1304" t="str">
        <f>'NT-VT'!D80</f>
        <v>bộ</v>
      </c>
      <c r="D77" s="1305">
        <f>'NT-VT'!E80</f>
        <v>3</v>
      </c>
      <c r="E77" s="1302" t="str">
        <f>'NT-VT'!F80</f>
        <v>nt</v>
      </c>
      <c r="F77" s="1302" t="str">
        <f>'NT-VT'!G80</f>
        <v>nt</v>
      </c>
      <c r="G77" s="835">
        <f t="shared" si="1"/>
        <v>1</v>
      </c>
      <c r="H77" s="843"/>
      <c r="I77" s="819"/>
    </row>
    <row r="78" spans="1:9" ht="46.8">
      <c r="A78" s="1302">
        <f>SUM($G$3:G78)</f>
        <v>76</v>
      </c>
      <c r="B78" s="1303" t="str">
        <f>'NT-VT'!C81</f>
        <v>Boulon 16x600+ 2 long đền vuông D18-50x50x3/Zn</v>
      </c>
      <c r="C78" s="1304" t="str">
        <f>'NT-VT'!D81</f>
        <v>bộ</v>
      </c>
      <c r="D78" s="1305">
        <f>'NT-VT'!E81</f>
        <v>3</v>
      </c>
      <c r="E78" s="1302" t="str">
        <f>'NT-VT'!F81</f>
        <v>nt</v>
      </c>
      <c r="F78" s="1302" t="str">
        <f>'NT-VT'!G81</f>
        <v>nt</v>
      </c>
      <c r="G78" s="835">
        <f t="shared" si="1"/>
        <v>1</v>
      </c>
      <c r="H78" s="843"/>
      <c r="I78" s="819"/>
    </row>
    <row r="79" spans="1:9" ht="46.8">
      <c r="A79" s="1302">
        <f>SUM($G$3:G79)</f>
        <v>77</v>
      </c>
      <c r="B79" s="1303" t="str">
        <f>'NT-VT'!C82</f>
        <v>Boulon 16x550VRS+ 4 long đền vuông D18-50x50x3/Zn</v>
      </c>
      <c r="C79" s="1304" t="str">
        <f>'NT-VT'!D82</f>
        <v>bộ</v>
      </c>
      <c r="D79" s="1305">
        <f>'NT-VT'!E82</f>
        <v>6</v>
      </c>
      <c r="E79" s="1302" t="str">
        <f>'NT-VT'!F82</f>
        <v>nt</v>
      </c>
      <c r="F79" s="1302" t="str">
        <f>'NT-VT'!G82</f>
        <v>nt</v>
      </c>
      <c r="G79" s="835">
        <f t="shared" si="1"/>
        <v>1</v>
      </c>
      <c r="H79" s="843"/>
      <c r="I79" s="819"/>
    </row>
    <row r="80" spans="1:9" ht="15.6">
      <c r="A80" s="1302">
        <f>SUM($G$3:G80)</f>
        <v>78</v>
      </c>
      <c r="B80" s="1303" t="str">
        <f>'NT-VT'!C83</f>
        <v>Sắt góc L75 x75 x8-2100</v>
      </c>
      <c r="C80" s="1304" t="str">
        <f>'NT-VT'!D83</f>
        <v>cái</v>
      </c>
      <c r="D80" s="1305">
        <f>'NT-VT'!E83</f>
        <v>5</v>
      </c>
      <c r="E80" s="1302" t="str">
        <f>'NT-VT'!F83</f>
        <v>nt</v>
      </c>
      <c r="F80" s="1302" t="str">
        <f>'NT-VT'!G83</f>
        <v>nt</v>
      </c>
      <c r="G80" s="835">
        <f t="shared" si="1"/>
        <v>1</v>
      </c>
      <c r="H80" s="843"/>
      <c r="I80" s="819"/>
    </row>
    <row r="81" spans="1:9" ht="15.6">
      <c r="A81" s="1302">
        <f>SUM($G$3:G81)</f>
        <v>79</v>
      </c>
      <c r="B81" s="1303" t="str">
        <f>'NT-VT'!C84</f>
        <v>Sắt góc L50 x50 x5 x</v>
      </c>
      <c r="C81" s="1304" t="str">
        <f>'NT-VT'!D84</f>
        <v>cái</v>
      </c>
      <c r="D81" s="1305">
        <f>'NT-VT'!E84</f>
        <v>5</v>
      </c>
      <c r="E81" s="1302" t="str">
        <f>'NT-VT'!F84</f>
        <v>nt</v>
      </c>
      <c r="F81" s="1302" t="str">
        <f>'NT-VT'!G84</f>
        <v>nt</v>
      </c>
      <c r="G81" s="835">
        <f t="shared" si="1"/>
        <v>1</v>
      </c>
      <c r="H81" s="843"/>
      <c r="I81" s="819"/>
    </row>
    <row r="82" spans="1:9" ht="46.8">
      <c r="A82" s="1302">
        <f>SUM($G$3:G82)</f>
        <v>80</v>
      </c>
      <c r="B82" s="1303" t="str">
        <f>'NT-VT'!C85</f>
        <v>Boulon 16x35+ 2 long đền vuông D18-50x50x3/Zn</v>
      </c>
      <c r="C82" s="1304" t="str">
        <f>'NT-VT'!D85</f>
        <v>bộ</v>
      </c>
      <c r="D82" s="1305">
        <f>'NT-VT'!E85</f>
        <v>2</v>
      </c>
      <c r="E82" s="1302" t="str">
        <f>'NT-VT'!F85</f>
        <v>nt</v>
      </c>
      <c r="F82" s="1302" t="str">
        <f>'NT-VT'!G85</f>
        <v>nt</v>
      </c>
      <c r="G82" s="835">
        <f t="shared" si="1"/>
        <v>1</v>
      </c>
      <c r="H82" s="843"/>
      <c r="I82" s="819"/>
    </row>
    <row r="83" spans="1:9" ht="15.6">
      <c r="A83" s="1302">
        <f>SUM($G$3:G83)</f>
        <v>81</v>
      </c>
      <c r="B83" s="1303" t="str">
        <f>'NT-VT'!C86</f>
        <v>Đà composite 0,8m</v>
      </c>
      <c r="C83" s="1304" t="str">
        <f>'NT-VT'!D86</f>
        <v>cây</v>
      </c>
      <c r="D83" s="1305">
        <f>'NT-VT'!E86</f>
        <v>1</v>
      </c>
      <c r="E83" s="1302" t="str">
        <f>'NT-VT'!F86</f>
        <v>nt</v>
      </c>
      <c r="F83" s="1302" t="str">
        <f>'NT-VT'!G86</f>
        <v>nt</v>
      </c>
      <c r="G83" s="835">
        <f t="shared" si="1"/>
        <v>1</v>
      </c>
      <c r="H83" s="843"/>
      <c r="I83" s="819"/>
    </row>
    <row r="84" spans="1:9" ht="46.8">
      <c r="A84" s="1302">
        <f>SUM($G$3:G84)</f>
        <v>82</v>
      </c>
      <c r="B84" s="1303" t="str">
        <f>'NT-VT'!C87</f>
        <v>Boulon 16x150+ 2 long đền vuông D18-50x50x3/Zn</v>
      </c>
      <c r="C84" s="1304" t="str">
        <f>'NT-VT'!D87</f>
        <v>bộ</v>
      </c>
      <c r="D84" s="1305">
        <f>'NT-VT'!E87</f>
        <v>4</v>
      </c>
      <c r="E84" s="1302" t="str">
        <f>'NT-VT'!F87</f>
        <v>nt</v>
      </c>
      <c r="F84" s="1302" t="str">
        <f>'NT-VT'!G87</f>
        <v>nt</v>
      </c>
      <c r="G84" s="835">
        <f t="shared" si="1"/>
        <v>1</v>
      </c>
      <c r="H84" s="843"/>
      <c r="I84" s="819"/>
    </row>
    <row r="85" spans="1:9" ht="46.8">
      <c r="A85" s="1302">
        <f>SUM($G$3:G85)</f>
        <v>83</v>
      </c>
      <c r="B85" s="1303" t="str">
        <f>'NT-VT'!C88</f>
        <v>Boulon 16x400+ 2 long đền vuông D18-50x50x3/Zn</v>
      </c>
      <c r="C85" s="1304" t="str">
        <f>'NT-VT'!D88</f>
        <v>bộ</v>
      </c>
      <c r="D85" s="1305">
        <f>'NT-VT'!E88</f>
        <v>2</v>
      </c>
      <c r="E85" s="1302" t="str">
        <f>'NT-VT'!F88</f>
        <v>nt</v>
      </c>
      <c r="F85" s="1302" t="str">
        <f>'NT-VT'!G88</f>
        <v>nt</v>
      </c>
      <c r="G85" s="835">
        <f t="shared" si="1"/>
        <v>1</v>
      </c>
      <c r="H85" s="843"/>
      <c r="I85" s="819"/>
    </row>
    <row r="86" spans="1:9" ht="15.6">
      <c r="A86" s="1302">
        <f>SUM($G$3:G86)</f>
        <v>84</v>
      </c>
      <c r="B86" s="1303" t="str">
        <f>'NT-VT'!C89</f>
        <v>Uclevis + sứ ống chỉ</v>
      </c>
      <c r="C86" s="1304" t="str">
        <f>'NT-VT'!D89</f>
        <v>bộ</v>
      </c>
      <c r="D86" s="1305">
        <f>'NT-VT'!E89</f>
        <v>4</v>
      </c>
      <c r="E86" s="1302" t="str">
        <f>'NT-VT'!F89</f>
        <v>nt</v>
      </c>
      <c r="F86" s="1302" t="str">
        <f>'NT-VT'!G89</f>
        <v>nt</v>
      </c>
      <c r="G86" s="835">
        <f t="shared" si="1"/>
        <v>1</v>
      </c>
      <c r="H86" s="843"/>
      <c r="I86" s="819"/>
    </row>
    <row r="87" spans="1:9" ht="15.6">
      <c r="A87" s="1302">
        <f>SUM($G$3:G87)</f>
        <v>85</v>
      </c>
      <c r="B87" s="1303" t="str">
        <f>'NT-VT'!C90</f>
        <v>Khóa néo dây cỡ dây 50</v>
      </c>
      <c r="C87" s="1304" t="str">
        <f>'NT-VT'!D90</f>
        <v>cái</v>
      </c>
      <c r="D87" s="1305">
        <f>'NT-VT'!E90</f>
        <v>1</v>
      </c>
      <c r="E87" s="1302" t="str">
        <f>'NT-VT'!F90</f>
        <v>nt</v>
      </c>
      <c r="F87" s="1302" t="str">
        <f>'NT-VT'!G90</f>
        <v>nt</v>
      </c>
      <c r="G87" s="835">
        <f t="shared" si="1"/>
        <v>1</v>
      </c>
      <c r="H87" s="843"/>
      <c r="I87" s="819"/>
    </row>
    <row r="88" spans="1:9" ht="46.8">
      <c r="A88" s="1302">
        <f>SUM($G$3:G88)</f>
        <v>86</v>
      </c>
      <c r="B88" s="1303" t="str">
        <f>'NT-VT'!C91</f>
        <v>Boulon mắt 16x300+ 2 long đền vuông D18-50x50x3/Zn</v>
      </c>
      <c r="C88" s="1304" t="str">
        <f>'NT-VT'!D91</f>
        <v>bộ</v>
      </c>
      <c r="D88" s="1305">
        <f>'NT-VT'!E91</f>
        <v>1</v>
      </c>
      <c r="E88" s="1302" t="str">
        <f>'NT-VT'!F91</f>
        <v>nt</v>
      </c>
      <c r="F88" s="1302" t="str">
        <f>'NT-VT'!G91</f>
        <v>nt</v>
      </c>
      <c r="G88" s="835">
        <f t="shared" si="1"/>
        <v>1</v>
      </c>
      <c r="H88" s="843"/>
      <c r="I88" s="819"/>
    </row>
    <row r="89" spans="1:9" ht="15.6">
      <c r="A89" s="1302">
        <f>SUM($G$3:G89)</f>
        <v>87</v>
      </c>
      <c r="B89" s="1303" t="str">
        <f>'NT-VT'!C92</f>
        <v>Khóa néo dây cỡ dây 70</v>
      </c>
      <c r="C89" s="1304" t="str">
        <f>'NT-VT'!D92</f>
        <v>cái</v>
      </c>
      <c r="D89" s="1305">
        <f>'NT-VT'!E92</f>
        <v>10</v>
      </c>
      <c r="E89" s="1302" t="str">
        <f>'NT-VT'!F92</f>
        <v>nt</v>
      </c>
      <c r="F89" s="1302" t="str">
        <f>'NT-VT'!G92</f>
        <v>nt</v>
      </c>
      <c r="G89" s="835">
        <f t="shared" si="1"/>
        <v>1</v>
      </c>
      <c r="H89" s="843"/>
      <c r="I89" s="819"/>
    </row>
    <row r="90" spans="1:9" ht="46.8">
      <c r="A90" s="1302">
        <f>SUM($G$3:G90)</f>
        <v>88</v>
      </c>
      <c r="B90" s="1303" t="str">
        <f>'NT-VT'!C93</f>
        <v>Boulon mắt 16x550+ 1 long đền vuông D18-50x50x3/Zn</v>
      </c>
      <c r="C90" s="1304" t="str">
        <f>'NT-VT'!D93</f>
        <v>bộ</v>
      </c>
      <c r="D90" s="1305">
        <f>'NT-VT'!E93</f>
        <v>1</v>
      </c>
      <c r="E90" s="1302" t="str">
        <f>'NT-VT'!F93</f>
        <v>nt</v>
      </c>
      <c r="F90" s="1302" t="str">
        <f>'NT-VT'!G93</f>
        <v>nt</v>
      </c>
      <c r="G90" s="835">
        <f t="shared" si="1"/>
        <v>1</v>
      </c>
      <c r="H90" s="843"/>
      <c r="I90" s="819"/>
    </row>
    <row r="91" spans="1:9" ht="15.6">
      <c r="A91" s="1302">
        <f>SUM($G$3:G91)</f>
        <v>89</v>
      </c>
      <c r="B91" s="1303" t="str">
        <f>'NT-VT'!C94</f>
        <v xml:space="preserve">Móc treo chữ U </v>
      </c>
      <c r="C91" s="1304" t="str">
        <f>'NT-VT'!D94</f>
        <v>cái</v>
      </c>
      <c r="D91" s="1305">
        <f>'NT-VT'!E94</f>
        <v>44</v>
      </c>
      <c r="E91" s="1302" t="str">
        <f>'NT-VT'!F94</f>
        <v>nt</v>
      </c>
      <c r="F91" s="1302" t="str">
        <f>'NT-VT'!G94</f>
        <v>nt</v>
      </c>
      <c r="G91" s="835">
        <f t="shared" si="1"/>
        <v>1</v>
      </c>
      <c r="H91" s="843"/>
      <c r="I91" s="819"/>
    </row>
    <row r="92" spans="1:9" ht="31.2">
      <c r="A92" s="1302">
        <f>SUM($G$3:G92)</f>
        <v>90</v>
      </c>
      <c r="B92" s="1303" t="str">
        <f>'NT-VT'!C95</f>
        <v>Giáp níu dừng dây bọc (70-95mm2)</v>
      </c>
      <c r="C92" s="1304" t="str">
        <f>'NT-VT'!D95</f>
        <v>cái</v>
      </c>
      <c r="D92" s="2632">
        <f>'NT-VT'!E95</f>
        <v>22</v>
      </c>
      <c r="E92" s="1302" t="str">
        <f>'NT-VT'!F95</f>
        <v>nt</v>
      </c>
      <c r="F92" s="1302" t="str">
        <f>'NT-VT'!G95</f>
        <v>nt</v>
      </c>
      <c r="G92" s="835">
        <f t="shared" si="1"/>
        <v>1</v>
      </c>
      <c r="H92" s="843"/>
      <c r="I92" s="819"/>
    </row>
    <row r="93" spans="1:9" ht="31.2">
      <c r="A93" s="1302">
        <f>SUM($G$3:G93)</f>
        <v>91</v>
      </c>
      <c r="B93" s="1303" t="str">
        <f>'NT-VT'!C96</f>
        <v>Dây buộc cổ sứ đôi cỡ dây 50 mm2</v>
      </c>
      <c r="C93" s="1304" t="str">
        <f>'NT-VT'!D96</f>
        <v>cái</v>
      </c>
      <c r="D93" s="2632">
        <f>'NT-VT'!E96</f>
        <v>6</v>
      </c>
      <c r="E93" s="1302" t="str">
        <f>'NT-VT'!F96</f>
        <v>nt</v>
      </c>
      <c r="F93" s="1302" t="str">
        <f>'NT-VT'!G96</f>
        <v>nt</v>
      </c>
      <c r="G93" s="835">
        <f t="shared" si="1"/>
        <v>1</v>
      </c>
      <c r="H93" s="843"/>
      <c r="I93" s="819"/>
    </row>
    <row r="94" spans="1:9" ht="15.6">
      <c r="A94" s="1302">
        <f>SUM($G$3:G94)</f>
        <v>92</v>
      </c>
      <c r="B94" s="1303" t="str">
        <f>'NT-VT'!C97</f>
        <v>Kẹp quai 2/0</v>
      </c>
      <c r="C94" s="1304" t="str">
        <f>'NT-VT'!D97</f>
        <v>cái</v>
      </c>
      <c r="D94" s="2632">
        <f>'NT-VT'!E97</f>
        <v>7</v>
      </c>
      <c r="E94" s="1302" t="str">
        <f>'NT-VT'!F97</f>
        <v>nt</v>
      </c>
      <c r="F94" s="1302" t="str">
        <f>'NT-VT'!G97</f>
        <v>nt</v>
      </c>
      <c r="G94" s="835">
        <f t="shared" ref="G94:G124" si="2">IF(ISERROR(B94),"",1)</f>
        <v>1</v>
      </c>
      <c r="H94" s="843"/>
      <c r="I94" s="819"/>
    </row>
    <row r="95" spans="1:9" ht="15.6">
      <c r="A95" s="1302">
        <f>SUM($G$3:G95)</f>
        <v>93</v>
      </c>
      <c r="B95" s="1303" t="str">
        <f>'NT-VT'!C98</f>
        <v>Kẹp hotline 2/0</v>
      </c>
      <c r="C95" s="1304" t="str">
        <f>'NT-VT'!D98</f>
        <v>cái</v>
      </c>
      <c r="D95" s="2030">
        <f>'NT-VT'!E98</f>
        <v>7</v>
      </c>
      <c r="E95" s="1302" t="str">
        <f>'NT-VT'!F98</f>
        <v>nt</v>
      </c>
      <c r="F95" s="1302" t="str">
        <f>'NT-VT'!G98</f>
        <v>nt</v>
      </c>
      <c r="G95" s="835">
        <f t="shared" si="2"/>
        <v>1</v>
      </c>
      <c r="H95" s="843"/>
      <c r="I95" s="819"/>
    </row>
    <row r="96" spans="1:9" ht="31.2">
      <c r="A96" s="1302">
        <f>SUM($G$3:G96)</f>
        <v>94</v>
      </c>
      <c r="B96" s="1303" t="str">
        <f>'NT-VT'!C99</f>
        <v>Đầu cosse ép Cu-Al 50mm2</v>
      </c>
      <c r="C96" s="1304" t="str">
        <f>'NT-VT'!D99</f>
        <v>cái</v>
      </c>
      <c r="D96" s="2030">
        <f>'NT-VT'!E99</f>
        <v>3</v>
      </c>
      <c r="E96" s="1302" t="str">
        <f>'NT-VT'!F99</f>
        <v>nt</v>
      </c>
      <c r="F96" s="1302" t="str">
        <f>'NT-VT'!G99</f>
        <v>nt</v>
      </c>
      <c r="G96" s="835">
        <f t="shared" si="2"/>
        <v>1</v>
      </c>
      <c r="H96" s="843"/>
      <c r="I96" s="819"/>
    </row>
    <row r="97" spans="1:9" ht="15.6">
      <c r="A97" s="1302">
        <f>SUM($G$3:G97)</f>
        <v>95</v>
      </c>
      <c r="B97" s="1303" t="str">
        <f>'NT-VT'!C100</f>
        <v>Đầu cosse ép Cu 50mm2</v>
      </c>
      <c r="C97" s="1304" t="str">
        <f>'NT-VT'!D100</f>
        <v>cái</v>
      </c>
      <c r="D97" s="1305">
        <f>'NT-VT'!E100</f>
        <v>3</v>
      </c>
      <c r="E97" s="1302" t="str">
        <f>'NT-VT'!F100</f>
        <v>nt</v>
      </c>
      <c r="F97" s="1302" t="str">
        <f>'NT-VT'!G100</f>
        <v>nt</v>
      </c>
      <c r="G97" s="835">
        <f t="shared" si="2"/>
        <v>1</v>
      </c>
      <c r="H97" s="843"/>
      <c r="I97" s="819"/>
    </row>
    <row r="98" spans="1:9" ht="15.6">
      <c r="A98" s="1302">
        <f>SUM($G$3:G98)</f>
        <v>96</v>
      </c>
      <c r="B98" s="1303" t="str">
        <f>'NT-VT'!C101</f>
        <v>Đầu cosse ép Cu 25mm2</v>
      </c>
      <c r="C98" s="1304" t="str">
        <f>'NT-VT'!D101</f>
        <v>cái</v>
      </c>
      <c r="D98" s="1305">
        <f>'NT-VT'!E101</f>
        <v>6</v>
      </c>
      <c r="E98" s="1302" t="str">
        <f>'NT-VT'!F101</f>
        <v>nt</v>
      </c>
      <c r="F98" s="1302" t="str">
        <f>'NT-VT'!G101</f>
        <v>nt</v>
      </c>
      <c r="G98" s="829">
        <f t="shared" si="2"/>
        <v>1</v>
      </c>
      <c r="H98" s="843"/>
      <c r="I98" s="819"/>
    </row>
    <row r="99" spans="1:9" ht="15.6">
      <c r="A99" s="1302">
        <f>SUM($G$3:G99)</f>
        <v>97</v>
      </c>
      <c r="B99" s="1303" t="str">
        <f>'NT-VT'!C102</f>
        <v>Ống co nhiệt</v>
      </c>
      <c r="C99" s="1304" t="str">
        <f>'NT-VT'!D102</f>
        <v>m</v>
      </c>
      <c r="D99" s="1305">
        <f>'NT-VT'!E102</f>
        <v>6</v>
      </c>
      <c r="E99" s="1302" t="str">
        <f>'NT-VT'!F102</f>
        <v>nt</v>
      </c>
      <c r="F99" s="1302" t="str">
        <f>'NT-VT'!G102</f>
        <v>nt</v>
      </c>
      <c r="G99" s="829">
        <f t="shared" si="2"/>
        <v>1</v>
      </c>
      <c r="H99" s="843"/>
      <c r="I99" s="819"/>
    </row>
    <row r="100" spans="1:9" ht="31.2">
      <c r="A100" s="1302">
        <f>SUM($G$3:G100)</f>
        <v>98</v>
      </c>
      <c r="B100" s="1303" t="str">
        <f>'NT-VT'!C103</f>
        <v>Băng keo cách điện trung thế</v>
      </c>
      <c r="C100" s="1304" t="str">
        <f>'NT-VT'!D103</f>
        <v>cuộn</v>
      </c>
      <c r="D100" s="1305">
        <f>'NT-VT'!E103</f>
        <v>4</v>
      </c>
      <c r="E100" s="1302" t="str">
        <f>'NT-VT'!F103</f>
        <v>nt</v>
      </c>
      <c r="F100" s="1302" t="str">
        <f>'NT-VT'!G103</f>
        <v>nt</v>
      </c>
      <c r="G100" s="829">
        <f t="shared" si="2"/>
        <v>1</v>
      </c>
      <c r="H100" s="843"/>
      <c r="I100" s="819"/>
    </row>
    <row r="101" spans="1:9" ht="15.6">
      <c r="A101" s="1302">
        <f>SUM($G$3:G101)</f>
        <v>99</v>
      </c>
      <c r="B101" s="1303" t="str">
        <f>'NT-VT'!C104</f>
        <v>Bass LI bắt LA</v>
      </c>
      <c r="C101" s="1304" t="str">
        <f>'NT-VT'!D104</f>
        <v>Bộ</v>
      </c>
      <c r="D101" s="1305">
        <f>'NT-VT'!E104</f>
        <v>10</v>
      </c>
      <c r="E101" s="1302" t="str">
        <f>'NT-VT'!F104</f>
        <v>nt</v>
      </c>
      <c r="F101" s="1302" t="str">
        <f>'NT-VT'!G104</f>
        <v>nt</v>
      </c>
      <c r="G101" s="829">
        <f t="shared" si="2"/>
        <v>1</v>
      </c>
      <c r="H101" s="843"/>
      <c r="I101" s="819"/>
    </row>
    <row r="102" spans="1:9" ht="15.6">
      <c r="A102" s="1302">
        <f>SUM($G$3:G102)</f>
        <v>100</v>
      </c>
      <c r="B102" s="1303" t="str">
        <f>'NT-VT'!C105</f>
        <v>Chụp cách điện kẹp quai</v>
      </c>
      <c r="C102" s="1304" t="str">
        <f>'NT-VT'!D105</f>
        <v>Cái</v>
      </c>
      <c r="D102" s="1305">
        <f>'NT-VT'!E105</f>
        <v>7</v>
      </c>
      <c r="E102" s="1302" t="str">
        <f>'NT-VT'!F105</f>
        <v>nt</v>
      </c>
      <c r="F102" s="1302" t="str">
        <f>'NT-VT'!G105</f>
        <v>nt</v>
      </c>
      <c r="G102" s="829">
        <f t="shared" si="2"/>
        <v>1</v>
      </c>
      <c r="H102" s="843"/>
      <c r="I102" s="819"/>
    </row>
    <row r="103" spans="1:9" ht="31.2">
      <c r="A103" s="1302">
        <f>SUM($G$3:G103)</f>
        <v>101</v>
      </c>
      <c r="B103" s="1303" t="str">
        <f>'NT-VT'!C106</f>
        <v>Nắp che đầu sứ LBS (Recloser)</v>
      </c>
      <c r="C103" s="1304" t="str">
        <f>'NT-VT'!D106</f>
        <v>cái</v>
      </c>
      <c r="D103" s="1305">
        <f>'NT-VT'!E106</f>
        <v>6</v>
      </c>
      <c r="E103" s="1302" t="str">
        <f>'NT-VT'!F106</f>
        <v>nt</v>
      </c>
      <c r="F103" s="1302" t="str">
        <f>'NT-VT'!G106</f>
        <v>nt</v>
      </c>
      <c r="G103" s="829">
        <f t="shared" si="2"/>
        <v>1</v>
      </c>
      <c r="H103" s="843"/>
      <c r="I103" s="819"/>
    </row>
    <row r="104" spans="1:9" ht="15.6">
      <c r="A104" s="1302">
        <f>SUM($G$3:G104)</f>
        <v>102</v>
      </c>
      <c r="B104" s="1303" t="str">
        <f>'NT-VT'!C107</f>
        <v>Nắp che đầu cực FCO</v>
      </c>
      <c r="C104" s="1304" t="str">
        <f>'NT-VT'!D107</f>
        <v>cái</v>
      </c>
      <c r="D104" s="1305">
        <f>'NT-VT'!E107</f>
        <v>4</v>
      </c>
      <c r="E104" s="1302" t="str">
        <f>'NT-VT'!F107</f>
        <v>nt</v>
      </c>
      <c r="F104" s="1302" t="str">
        <f>'NT-VT'!G107</f>
        <v>nt</v>
      </c>
      <c r="G104" s="829">
        <f t="shared" si="2"/>
        <v>1</v>
      </c>
      <c r="H104" s="843"/>
      <c r="I104" s="819"/>
    </row>
    <row r="105" spans="1:9" ht="15.6">
      <c r="A105" s="1302">
        <f>SUM($G$3:G105)</f>
        <v>103</v>
      </c>
      <c r="B105" s="1303" t="str">
        <f>'NT-VT'!C108</f>
        <v>Nắp che đầu cực LA</v>
      </c>
      <c r="C105" s="1304" t="str">
        <f>'NT-VT'!D108</f>
        <v>cái</v>
      </c>
      <c r="D105" s="1305">
        <f>'NT-VT'!E108</f>
        <v>6</v>
      </c>
      <c r="E105" s="1302" t="str">
        <f>'NT-VT'!F108</f>
        <v>nt</v>
      </c>
      <c r="F105" s="1302" t="str">
        <f>'NT-VT'!G108</f>
        <v>nt</v>
      </c>
      <c r="G105" s="829">
        <f t="shared" si="2"/>
        <v>1</v>
      </c>
      <c r="H105" s="843"/>
      <c r="I105" s="819"/>
    </row>
    <row r="106" spans="1:9" ht="15.6">
      <c r="A106" s="1302">
        <f>SUM($G$3:G106)</f>
        <v>104</v>
      </c>
      <c r="B106" s="1303" t="str">
        <f>'NT-VT'!C109</f>
        <v>Ống PVC D42x2,1mm</v>
      </c>
      <c r="C106" s="1304" t="str">
        <f>'NT-VT'!D109</f>
        <v>m</v>
      </c>
      <c r="D106" s="1305">
        <f>'NT-VT'!E109</f>
        <v>7</v>
      </c>
      <c r="E106" s="1302" t="str">
        <f>'NT-VT'!F109</f>
        <v>nt</v>
      </c>
      <c r="F106" s="1302" t="str">
        <f>'NT-VT'!G109</f>
        <v>nt</v>
      </c>
      <c r="G106" s="829">
        <f t="shared" si="2"/>
        <v>1</v>
      </c>
      <c r="H106" s="843"/>
      <c r="I106" s="819"/>
    </row>
    <row r="107" spans="1:9" ht="15.6">
      <c r="A107" s="1302">
        <f>SUM($G$3:G107)</f>
        <v>105</v>
      </c>
      <c r="B107" s="1303" t="str">
        <f>'NT-VT'!C110</f>
        <v>Côllier 25x2</v>
      </c>
      <c r="C107" s="1304" t="str">
        <f>'NT-VT'!D110</f>
        <v>bộ</v>
      </c>
      <c r="D107" s="1305">
        <f>'NT-VT'!E110</f>
        <v>6</v>
      </c>
      <c r="E107" s="1302" t="str">
        <f>'NT-VT'!F110</f>
        <v>nt</v>
      </c>
      <c r="F107" s="1302" t="str">
        <f>'NT-VT'!G110</f>
        <v>nt</v>
      </c>
      <c r="G107" s="829">
        <f t="shared" si="2"/>
        <v>1</v>
      </c>
      <c r="H107" s="843"/>
      <c r="I107" s="819"/>
    </row>
    <row r="108" spans="1:9" ht="15.6">
      <c r="A108" s="1302">
        <f>SUM($G$3:G108)</f>
        <v>106</v>
      </c>
      <c r="B108" s="1303" t="str">
        <f>'NT-VT'!C111</f>
        <v>Co 90 độ PVC 42</v>
      </c>
      <c r="C108" s="1304" t="str">
        <f>'NT-VT'!D111</f>
        <v>cái</v>
      </c>
      <c r="D108" s="1305">
        <f>'NT-VT'!E111</f>
        <v>2</v>
      </c>
      <c r="E108" s="1302" t="str">
        <f>'NT-VT'!F111</f>
        <v>nt</v>
      </c>
      <c r="F108" s="1302" t="str">
        <f>'NT-VT'!G111</f>
        <v>nt</v>
      </c>
      <c r="G108" s="829">
        <f t="shared" si="2"/>
        <v>1</v>
      </c>
      <c r="H108" s="843"/>
      <c r="I108" s="819"/>
    </row>
    <row r="109" spans="1:9" ht="31.2">
      <c r="A109" s="1302">
        <f>SUM($G$3:G109)</f>
        <v>107</v>
      </c>
      <c r="B109" s="1303" t="str">
        <f>'NT-VT'!C112</f>
        <v>Cổ dê bắt tủ trạm trụ ghép D320/60x6</v>
      </c>
      <c r="C109" s="1304" t="str">
        <f>'NT-VT'!D112</f>
        <v>bộ</v>
      </c>
      <c r="D109" s="1305">
        <f>'NT-VT'!E112</f>
        <v>1</v>
      </c>
      <c r="E109" s="1302" t="str">
        <f>'NT-VT'!F112</f>
        <v>nt</v>
      </c>
      <c r="F109" s="1302" t="str">
        <f>'NT-VT'!G112</f>
        <v>nt</v>
      </c>
      <c r="G109" s="829">
        <f t="shared" si="2"/>
        <v>1</v>
      </c>
      <c r="H109" s="843"/>
      <c r="I109" s="819"/>
    </row>
    <row r="110" spans="1:9" ht="15.6">
      <c r="A110" s="1302">
        <f>SUM($G$3:G110)</f>
        <v>108</v>
      </c>
      <c r="B110" s="1303" t="str">
        <f>'NT-VT'!C113</f>
        <v>Dây chảy 3K</v>
      </c>
      <c r="C110" s="1304" t="str">
        <f>'NT-VT'!D113</f>
        <v>Sợi</v>
      </c>
      <c r="D110" s="1305">
        <f>'NT-VT'!E113</f>
        <v>1</v>
      </c>
      <c r="E110" s="1302" t="str">
        <f>'NT-VT'!F113</f>
        <v>nt</v>
      </c>
      <c r="F110" s="1302" t="str">
        <f>'NT-VT'!G113</f>
        <v>nt</v>
      </c>
      <c r="G110" s="829">
        <f t="shared" si="2"/>
        <v>1</v>
      </c>
      <c r="H110" s="843"/>
      <c r="I110" s="819"/>
    </row>
    <row r="111" spans="1:9" ht="15.6">
      <c r="A111" s="1302">
        <f>SUM($G$3:G111)</f>
        <v>109</v>
      </c>
      <c r="B111" s="1303" t="str">
        <f>'NT-VT'!C114</f>
        <v>Dây chảy 100K</v>
      </c>
      <c r="C111" s="1304" t="str">
        <f>'NT-VT'!D114</f>
        <v>Sợi</v>
      </c>
      <c r="D111" s="1305">
        <f>'NT-VT'!E114</f>
        <v>3</v>
      </c>
      <c r="E111" s="1302" t="str">
        <f>'NT-VT'!F114</f>
        <v>nt</v>
      </c>
      <c r="F111" s="1302" t="str">
        <f>'NT-VT'!G114</f>
        <v>nt</v>
      </c>
      <c r="G111" s="829">
        <f t="shared" si="2"/>
        <v>1</v>
      </c>
      <c r="H111" s="843"/>
      <c r="I111" s="819"/>
    </row>
    <row r="112" spans="1:9" ht="15.6">
      <c r="A112" s="1302">
        <f>SUM($G$3:G112)</f>
        <v>110</v>
      </c>
      <c r="B112" s="1303" t="str">
        <f>'NT-VT'!C115</f>
        <v>Ximăng (PC40)</v>
      </c>
      <c r="C112" s="1304" t="str">
        <f>'NT-VT'!D115</f>
        <v>kg</v>
      </c>
      <c r="D112" s="1305">
        <f>'NT-VT'!E115</f>
        <v>1294.52</v>
      </c>
      <c r="E112" s="1302" t="str">
        <f>'NT-VT'!F115</f>
        <v>Địa phương</v>
      </c>
      <c r="F112" s="1302" t="str">
        <f>'NT-VT'!G115</f>
        <v>Địa phương</v>
      </c>
      <c r="G112" s="829">
        <f t="shared" si="2"/>
        <v>1</v>
      </c>
      <c r="H112" s="843"/>
      <c r="I112" s="819"/>
    </row>
    <row r="113" spans="1:9" ht="15.6">
      <c r="A113" s="1302">
        <f>SUM($G$3:G113)</f>
        <v>111</v>
      </c>
      <c r="B113" s="1303" t="str">
        <f>'NT-VT'!C116</f>
        <v>Cát vàng</v>
      </c>
      <c r="C113" s="1304" t="str">
        <f>'NT-VT'!D116</f>
        <v>m3</v>
      </c>
      <c r="D113" s="1305">
        <f>'NT-VT'!E116</f>
        <v>3.036</v>
      </c>
      <c r="E113" s="1302" t="str">
        <f>'NT-VT'!F116</f>
        <v>nt</v>
      </c>
      <c r="F113" s="1302" t="str">
        <f>'NT-VT'!G116</f>
        <v>nt</v>
      </c>
      <c r="G113" s="829">
        <f t="shared" si="2"/>
        <v>1</v>
      </c>
      <c r="H113" s="843"/>
      <c r="I113" s="819"/>
    </row>
    <row r="114" spans="1:9" ht="15.6">
      <c r="A114" s="1302">
        <f>SUM($G$3:G114)</f>
        <v>112</v>
      </c>
      <c r="B114" s="1303" t="str">
        <f>'NT-VT'!C117</f>
        <v>Đá 1x2</v>
      </c>
      <c r="C114" s="1304" t="str">
        <f>'NT-VT'!D117</f>
        <v>m3</v>
      </c>
      <c r="D114" s="1305">
        <f>'NT-VT'!E117</f>
        <v>5.008</v>
      </c>
      <c r="E114" s="1302" t="str">
        <f>'NT-VT'!F117</f>
        <v>nt</v>
      </c>
      <c r="F114" s="1302" t="str">
        <f>'NT-VT'!G117</f>
        <v>nt</v>
      </c>
      <c r="G114" s="829">
        <f t="shared" si="2"/>
        <v>1</v>
      </c>
      <c r="H114" s="843"/>
      <c r="I114" s="819"/>
    </row>
    <row r="115" spans="1:9" ht="15.6">
      <c r="A115" s="1302">
        <f>SUM($G$3:G115)</f>
        <v>113</v>
      </c>
      <c r="B115" s="1303" t="str">
        <f>'NT-VT'!C118</f>
        <v>Gạch ống</v>
      </c>
      <c r="C115" s="1304" t="str">
        <f>'NT-VT'!D118</f>
        <v>viên</v>
      </c>
      <c r="D115" s="1305">
        <f>'NT-VT'!E118</f>
        <v>350</v>
      </c>
      <c r="E115" s="1302" t="str">
        <f>'NT-VT'!F118</f>
        <v>nt</v>
      </c>
      <c r="F115" s="1302" t="str">
        <f>'NT-VT'!G118</f>
        <v>nt</v>
      </c>
      <c r="G115" s="829">
        <f t="shared" si="2"/>
        <v>1</v>
      </c>
      <c r="H115" s="843"/>
      <c r="I115" s="819"/>
    </row>
    <row r="116" spans="1:9" ht="15.6" hidden="1">
      <c r="A116" s="1302">
        <f>SUM($G$3:G116)</f>
        <v>113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113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113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113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113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113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113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113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113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6512</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6512</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6512</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7319</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X</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X</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X</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X</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X</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1</v>
      </c>
      <c r="E31" s="1999" t="str">
        <f t="shared" si="0"/>
        <v>Móng M12</v>
      </c>
      <c r="F31" s="1758" t="str">
        <f t="shared" si="8"/>
        <v>Móng</v>
      </c>
      <c r="G31" s="1319">
        <f t="shared" ca="1" si="9"/>
        <v>4</v>
      </c>
      <c r="H31" s="1319">
        <f t="shared" ca="1" si="10"/>
        <v>4</v>
      </c>
      <c r="I31" s="1319"/>
      <c r="J31" s="1316"/>
      <c r="K31" s="1208">
        <f t="shared" ca="1" si="7"/>
        <v>1</v>
      </c>
      <c r="L31" s="891"/>
    </row>
    <row r="32" spans="3:12" s="1208" customFormat="1" ht="20.399999999999999" hidden="1" customHeight="1">
      <c r="C32" s="961" t="s">
        <v>302</v>
      </c>
      <c r="D32" s="1758">
        <f ca="1">SUM($K$4:K32)</f>
        <v>1</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1</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1</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1</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1</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1</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1</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1</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1</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1</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1</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1</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2</v>
      </c>
      <c r="E44" s="1999" t="str">
        <f t="shared" si="11"/>
        <v>Móng bê tông trụ đôi 12m</v>
      </c>
      <c r="F44" s="1758" t="str">
        <f t="shared" si="8"/>
        <v>Móng</v>
      </c>
      <c r="G44" s="1319">
        <f t="shared" ca="1" si="9"/>
        <v>4</v>
      </c>
      <c r="H44" s="1319">
        <f t="shared" ca="1" si="10"/>
        <v>4</v>
      </c>
      <c r="I44" s="1319"/>
      <c r="J44" s="1316"/>
      <c r="K44" s="1208">
        <f t="shared" ca="1" si="7"/>
        <v>1</v>
      </c>
      <c r="L44" s="891"/>
    </row>
    <row r="45" spans="3:12" s="1208" customFormat="1" ht="20.399999999999999" hidden="1" customHeight="1">
      <c r="C45" s="961" t="s">
        <v>741</v>
      </c>
      <c r="D45" s="1758">
        <f ca="1">SUM($K$4:K45)</f>
        <v>2</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2</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2</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2</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2</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2</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2</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2</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2</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2</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2</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2</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2</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2</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2</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2</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2</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2</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2</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2</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8</v>
      </c>
      <c r="H65" s="1320">
        <f ca="1">SUM(H4:H64)</f>
        <v>8</v>
      </c>
      <c r="I65" s="1758"/>
      <c r="J65" s="1758"/>
      <c r="K65" s="1208">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1</v>
      </c>
      <c r="D12" s="1317" t="str">
        <f t="shared" si="0"/>
        <v>Trụ bê tông ly tâm 12m trồng thủ công+cơ giới</v>
      </c>
      <c r="E12" s="1758" t="str">
        <f t="shared" si="1"/>
        <v>Trụ</v>
      </c>
      <c r="F12" s="1319">
        <f t="shared" ca="1" si="3"/>
        <v>12</v>
      </c>
      <c r="G12" s="1319">
        <f t="shared" ca="1" si="4"/>
        <v>12</v>
      </c>
      <c r="I12" s="1316"/>
      <c r="J12" s="1208">
        <f t="shared" ca="1" si="2"/>
        <v>1</v>
      </c>
    </row>
    <row r="13" spans="2:12" hidden="1">
      <c r="B13" s="1322" t="s">
        <v>2302</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12</v>
      </c>
      <c r="G16" s="1320">
        <f ca="1">SUM(G4:G15)</f>
        <v>12</v>
      </c>
      <c r="H16" s="1758"/>
      <c r="I16" s="1758"/>
      <c r="J16" s="1208">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customHeight="1">
      <c r="B8" s="1322" t="s">
        <v>2300</v>
      </c>
      <c r="C8" s="1758">
        <f>SUM($J$4:J8)</f>
        <v>1</v>
      </c>
      <c r="D8" s="1999" t="str">
        <f t="shared" si="0"/>
        <v>Móng bê tông trụ đôi 12m</v>
      </c>
      <c r="E8" s="1758" t="str">
        <f t="shared" si="1"/>
        <v>Móng</v>
      </c>
      <c r="F8" s="1319">
        <f>SUMIF(TongHopKL!$B:$B,B8,TongHopKL!H:H)</f>
        <v>4</v>
      </c>
      <c r="G8" s="1319">
        <f>SUMIF(TongHopKL!$B:$B,B8,TongHopKL!I:I)</f>
        <v>4</v>
      </c>
      <c r="H8" s="1319" t="str">
        <f>VLOOKUP(K8,Solieu!A:C,2,0)</f>
        <v>X</v>
      </c>
      <c r="I8" s="1758"/>
      <c r="J8" s="1208">
        <f t="shared" si="2"/>
        <v>1</v>
      </c>
      <c r="K8" s="891" t="s">
        <v>4407</v>
      </c>
    </row>
    <row r="9" spans="2:11" ht="24" hidden="1" customHeight="1">
      <c r="B9" s="1322" t="s">
        <v>2258</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6374</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5</v>
      </c>
      <c r="G18" s="1320">
        <f>SUM(G4:G17)</f>
        <v>5</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8"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2</v>
      </c>
      <c r="G4" s="1319">
        <f t="shared" ref="G4:G34" ca="1" si="3">IF(B4&lt;&gt;0,SUMIF(KhoiLuong,B4,ThiCong),0)</f>
        <v>2</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4</v>
      </c>
      <c r="G5" s="1319">
        <f t="shared" ca="1" si="3"/>
        <v>4</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2289</v>
      </c>
      <c r="C8" s="1315">
        <f ca="1">SUM($J$4:J8)</f>
        <v>3</v>
      </c>
      <c r="D8" s="1317" t="str">
        <f t="shared" si="0"/>
        <v>Bộ xà kép L75x75x8 dài 2.2m: X-22K-Đ - C810 (lắp trụ đơn)</v>
      </c>
      <c r="E8" s="1319" t="str">
        <f t="shared" si="1"/>
        <v>Bộ</v>
      </c>
      <c r="F8" s="1319">
        <f t="shared" ca="1" si="2"/>
        <v>3</v>
      </c>
      <c r="G8" s="1319">
        <f t="shared" ca="1" si="3"/>
        <v>3</v>
      </c>
      <c r="H8" s="1319" t="str">
        <f>VLOOKUP($D$1,Solieu!A:C,2,0)</f>
        <v>x</v>
      </c>
      <c r="I8" s="1314"/>
      <c r="J8" s="1208">
        <f t="shared" ca="1" si="4"/>
        <v>1</v>
      </c>
      <c r="K8" s="1994"/>
    </row>
    <row r="9" spans="1:20" ht="34.5" hidden="1" customHeight="1">
      <c r="A9" s="2615"/>
      <c r="B9" s="1379" t="s">
        <v>2285</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3</v>
      </c>
      <c r="G14" s="1319">
        <f t="shared" ca="1" si="3"/>
        <v>3</v>
      </c>
      <c r="H14" s="1319" t="str">
        <f>VLOOKUP($D$1,Solieu!A:C,2,0)</f>
        <v>x</v>
      </c>
      <c r="I14" s="1759"/>
      <c r="J14" s="1208">
        <f t="shared" ca="1" si="4"/>
        <v>1</v>
      </c>
      <c r="L14" s="1322"/>
      <c r="M14" s="1322"/>
      <c r="N14" s="1322"/>
      <c r="O14" s="1322"/>
      <c r="P14" s="1322"/>
      <c r="Q14" s="1322"/>
      <c r="R14" s="1322"/>
      <c r="S14" s="1322"/>
      <c r="T14" s="1322"/>
    </row>
    <row r="15" spans="1:20" ht="34.5" hidden="1" customHeight="1">
      <c r="A15" s="2615"/>
      <c r="B15" s="1378" t="s">
        <v>1108</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2286</v>
      </c>
      <c r="C21" s="1315">
        <f ca="1">SUM($J$4:J21)</f>
        <v>5</v>
      </c>
      <c r="D21" s="1317" t="str">
        <f t="shared" si="0"/>
        <v>Bộ xà lệch đơn L75x75x8 dài 2,1m: X-21ĐL</v>
      </c>
      <c r="E21" s="1319" t="str">
        <f t="shared" si="1"/>
        <v>Bộ</v>
      </c>
      <c r="F21" s="1319">
        <f t="shared" ca="1" si="2"/>
        <v>3</v>
      </c>
      <c r="G21" s="1319">
        <f t="shared" ca="1" si="3"/>
        <v>3</v>
      </c>
      <c r="H21" s="1319" t="str">
        <f>VLOOKUP($D$1,Solieu!A:C,2,0)</f>
        <v>x</v>
      </c>
      <c r="I21" s="1314"/>
      <c r="J21" s="1208">
        <f t="shared" ca="1" si="4"/>
        <v>1</v>
      </c>
    </row>
    <row r="22" spans="1:20" ht="34.5" customHeight="1">
      <c r="A22" s="2615"/>
      <c r="B22" s="1378" t="s">
        <v>890</v>
      </c>
      <c r="C22" s="1315">
        <f ca="1">SUM($J$4:J22)</f>
        <v>6</v>
      </c>
      <c r="D22" s="1317" t="str">
        <f t="shared" si="0"/>
        <v>Bộ xà lệch kép L75x75x8 dài 2,1m: X-21KL</v>
      </c>
      <c r="E22" s="1319" t="str">
        <f t="shared" si="1"/>
        <v>Bộ</v>
      </c>
      <c r="F22" s="1319">
        <f t="shared" ca="1" si="2"/>
        <v>1</v>
      </c>
      <c r="G22" s="1319">
        <f t="shared" ca="1" si="3"/>
        <v>1</v>
      </c>
      <c r="H22" s="1319" t="str">
        <f>VLOOKUP($D$1,Solieu!A:C,2,0)</f>
        <v>x</v>
      </c>
      <c r="I22" s="1314"/>
      <c r="J22" s="1208">
        <f t="shared" ca="1" si="4"/>
        <v>1</v>
      </c>
    </row>
    <row r="23" spans="1:20" ht="34.5" hidden="1" customHeight="1">
      <c r="A23" s="2615"/>
      <c r="B23" s="1378" t="s">
        <v>2287</v>
      </c>
      <c r="C23" s="1758">
        <f ca="1">SUM($J$4:J23)</f>
        <v>6</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6</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6</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6</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6</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6</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6</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6</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6</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6</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6</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6</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6</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6</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6</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6</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2493</v>
      </c>
      <c r="C39" s="1315">
        <f ca="1">SUM($J$4:J39)</f>
        <v>7</v>
      </c>
      <c r="D39" s="1317" t="str">
        <f t="shared" si="6"/>
        <v>Bộ Uclevis đỡ dây trung hòa</v>
      </c>
      <c r="E39" s="1319" t="str">
        <f t="shared" si="7"/>
        <v>bộ</v>
      </c>
      <c r="F39" s="1319">
        <f t="shared" ca="1" si="8"/>
        <v>4</v>
      </c>
      <c r="G39" s="1319">
        <f t="shared" ca="1" si="9"/>
        <v>4</v>
      </c>
      <c r="H39" s="1319" t="str">
        <f>VLOOKUP($D$1,Solieu!A:C,2,0)</f>
        <v>x</v>
      </c>
      <c r="I39" s="1314"/>
      <c r="J39" s="1208">
        <f t="shared" ca="1" si="4"/>
        <v>1</v>
      </c>
    </row>
    <row r="40" spans="1:10" ht="34.5" hidden="1" customHeight="1">
      <c r="A40" s="2615"/>
      <c r="B40" s="1378" t="s">
        <v>1617</v>
      </c>
      <c r="C40" s="1315">
        <f ca="1">SUM($J$4:J40)</f>
        <v>7</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1618</v>
      </c>
      <c r="C41" s="1315">
        <f ca="1">SUM($J$4:J41)</f>
        <v>8</v>
      </c>
      <c r="D41" s="1317" t="str">
        <f t="shared" si="6"/>
        <v>Bộ khóa néo dây trung hòa vào trụ đơn</v>
      </c>
      <c r="E41" s="1319" t="str">
        <f t="shared" si="7"/>
        <v>bộ</v>
      </c>
      <c r="F41" s="1319">
        <f t="shared" ca="1" si="8"/>
        <v>1</v>
      </c>
      <c r="G41" s="1319">
        <f t="shared" ca="1" si="9"/>
        <v>1</v>
      </c>
      <c r="H41" s="1319" t="str">
        <f>VLOOKUP($D$1,Solieu!A:C,2,0)</f>
        <v>x</v>
      </c>
      <c r="I41" s="1314"/>
      <c r="J41" s="1208">
        <f t="shared" ca="1" si="4"/>
        <v>1</v>
      </c>
    </row>
    <row r="42" spans="1:10" ht="34.5" hidden="1" customHeight="1">
      <c r="A42" s="2615"/>
      <c r="B42" s="1378" t="s">
        <v>2155</v>
      </c>
      <c r="C42" s="1315">
        <f ca="1">SUM($J$4:J42)</f>
        <v>8</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8</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8</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9</v>
      </c>
      <c r="D45" s="1317" t="str">
        <f t="shared" si="6"/>
        <v>Bộ khóa néo dây trung hòa vào trụ ghép</v>
      </c>
      <c r="E45" s="1319" t="str">
        <f t="shared" si="7"/>
        <v>bộ</v>
      </c>
      <c r="F45" s="1319">
        <f t="shared" ca="1" si="8"/>
        <v>5</v>
      </c>
      <c r="G45" s="1319">
        <f t="shared" ca="1" si="9"/>
        <v>5</v>
      </c>
      <c r="H45" s="1319" t="str">
        <f>VLOOKUP($D$1,Solieu!A:C,2,0)</f>
        <v>x</v>
      </c>
      <c r="I45" s="1314"/>
      <c r="J45" s="1208">
        <f t="shared" ca="1" si="4"/>
        <v>1</v>
      </c>
    </row>
    <row r="46" spans="1:10" ht="34.5" hidden="1" customHeight="1">
      <c r="A46" s="2615"/>
      <c r="B46" s="1378" t="s">
        <v>2253</v>
      </c>
      <c r="C46" s="1315">
        <f ca="1">SUM($J$4:J46)</f>
        <v>9</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9</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9</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10</v>
      </c>
      <c r="D49" s="1317" t="str">
        <f t="shared" si="6"/>
        <v xml:space="preserve">Sứ đứng 24KV </v>
      </c>
      <c r="E49" s="1319" t="str">
        <f t="shared" si="7"/>
        <v>cái</v>
      </c>
      <c r="F49" s="1319">
        <f t="shared" ca="1" si="8"/>
        <v>33</v>
      </c>
      <c r="G49" s="1319">
        <f t="shared" ca="1" si="9"/>
        <v>33</v>
      </c>
      <c r="H49" s="1319" t="str">
        <f>VLOOKUP($D$1,Solieu!A:C,2,0)</f>
        <v>x</v>
      </c>
      <c r="I49" s="1314"/>
      <c r="J49" s="1208">
        <f t="shared" ca="1" si="4"/>
        <v>1</v>
      </c>
    </row>
    <row r="50" spans="1:10" ht="34.5" hidden="1" customHeight="1">
      <c r="A50" s="2615"/>
      <c r="B50" s="1378" t="s">
        <v>4824</v>
      </c>
      <c r="C50" s="1315">
        <f ca="1">SUM($J$4:J50)</f>
        <v>10</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10</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1025</v>
      </c>
      <c r="C52" s="1315">
        <f ca="1">SUM($J$4:J52)</f>
        <v>11</v>
      </c>
      <c r="D52" s="1317" t="str">
        <f t="shared" si="6"/>
        <v>Sứ treo polymer</v>
      </c>
      <c r="E52" s="1319" t="str">
        <f t="shared" si="7"/>
        <v>chuỗi</v>
      </c>
      <c r="F52" s="1319">
        <f t="shared" ca="1" si="8"/>
        <v>22</v>
      </c>
      <c r="G52" s="1319">
        <f t="shared" ca="1" si="9"/>
        <v>22</v>
      </c>
      <c r="H52" s="1319" t="str">
        <f>VLOOKUP($D$1,Solieu!A:C,2,0)</f>
        <v>x</v>
      </c>
      <c r="I52" s="1314"/>
      <c r="J52" s="1208">
        <f t="shared" ca="1" si="4"/>
        <v>1</v>
      </c>
    </row>
    <row r="53" spans="1:10" hidden="1">
      <c r="A53" s="2615"/>
      <c r="B53" s="1378" t="s">
        <v>536</v>
      </c>
      <c r="C53" s="1315">
        <f ca="1">SUM($J$4:J53)</f>
        <v>11</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11</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11</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11</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11</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11</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11</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11</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11</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11</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11</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11</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11</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11</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11</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11</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11</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11</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11</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11</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11</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11</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11</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11</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11</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11</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11</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11</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11</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11</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11</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12</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12</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12</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12</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12</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12</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12</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12</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12</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12</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12</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12</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12</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12</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12</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12</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12</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12</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12</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12</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12</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12</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2509</v>
      </c>
      <c r="C106" s="1758">
        <f ca="1">SUM($J$4:J106)</f>
        <v>13</v>
      </c>
      <c r="D106" s="1317" t="str">
        <f t="shared" si="15"/>
        <v>Chuỗi sứ treo Polymer 25kV lắp vào xà</v>
      </c>
      <c r="E106" s="1319" t="str">
        <f t="shared" si="16"/>
        <v>chuỗi</v>
      </c>
      <c r="F106" s="1319">
        <f t="shared" ca="1" si="17"/>
        <v>22</v>
      </c>
      <c r="G106" s="1319">
        <f t="shared" ca="1" si="18"/>
        <v>22</v>
      </c>
      <c r="H106" s="1319" t="str">
        <f>VLOOKUP($D$1,Solieu!A:C,2,0)</f>
        <v>x</v>
      </c>
      <c r="I106" s="1759"/>
      <c r="J106" s="1208">
        <f t="shared" ca="1" si="14"/>
        <v>1</v>
      </c>
    </row>
    <row r="107" spans="2:10" hidden="1">
      <c r="B107" s="1378" t="s">
        <v>2523</v>
      </c>
      <c r="C107" s="1758">
        <f ca="1">SUM($J$4:J107)</f>
        <v>13</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13</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14</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14</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14</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14</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14</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14</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14</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14</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14</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14</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14</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14</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14</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14</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14</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14</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3" t="s">
        <v>1704</v>
      </c>
      <c r="D3" s="1337" t="s">
        <v>4411</v>
      </c>
      <c r="E3" s="3254" t="s">
        <v>4140</v>
      </c>
      <c r="F3" s="3255" t="s">
        <v>4413</v>
      </c>
      <c r="G3" s="3255"/>
      <c r="H3" s="3256" t="s">
        <v>4105</v>
      </c>
      <c r="I3" s="1329" t="s">
        <v>510</v>
      </c>
    </row>
    <row r="4" spans="1:11">
      <c r="C4" s="3253"/>
      <c r="D4" s="1338" t="s">
        <v>4412</v>
      </c>
      <c r="E4" s="3254"/>
      <c r="F4" s="1336" t="s">
        <v>4141</v>
      </c>
      <c r="G4" s="1336" t="s">
        <v>4106</v>
      </c>
      <c r="H4" s="3257"/>
      <c r="I4" s="1208">
        <f>IF(OR(E4&gt;0,F4&gt;0),1,"")</f>
        <v>1</v>
      </c>
      <c r="J4" s="891" t="s">
        <v>4535</v>
      </c>
      <c r="K4" s="1208" t="s">
        <v>4536</v>
      </c>
    </row>
    <row r="5" spans="1:11" ht="52.5" customHeight="1">
      <c r="A5" s="1840" t="s">
        <v>1235</v>
      </c>
      <c r="B5" s="1208" t="s">
        <v>6480</v>
      </c>
      <c r="C5" s="1333">
        <v>1</v>
      </c>
      <c r="D5" s="1339" t="str">
        <f>$J$4&amp;J5&amp;$K$4&amp;K5</f>
        <v>Từ cột 024A đến cột 024A/007</v>
      </c>
      <c r="E5" s="1335" t="str">
        <f t="shared" ref="E5:E16" si="0">VLOOKUP(B5,DonGia,3,0)&amp;" + "&amp;VLOOKUP(A5,DonGia,3,0)</f>
        <v>Cáp 24KV ACXH 50mm2 + Cáp nhôm lõi thép AC-70/11</v>
      </c>
      <c r="F5" s="2000">
        <f ca="1">SUMIF(KhoiLuong,B5,DuToan)</f>
        <v>795.6</v>
      </c>
      <c r="G5" s="2000">
        <f ca="1">SUMIF(KhoiLuong,B5,ThiCong)</f>
        <v>795.6</v>
      </c>
      <c r="H5" s="1334"/>
      <c r="I5" s="1208">
        <f ca="1">IF(AND(E5&gt;0,F5&gt;0),1,"")</f>
        <v>1</v>
      </c>
      <c r="J5" s="2004" t="str">
        <f>WORD!AJ2</f>
        <v>024A</v>
      </c>
      <c r="K5" s="2964" t="str">
        <f>WORD!AK2</f>
        <v>024A/007</v>
      </c>
    </row>
    <row r="6" spans="1:11" ht="58.2"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6334</v>
      </c>
      <c r="C8" s="1327">
        <v>1</v>
      </c>
      <c r="D8" s="1339" t="str">
        <f>$J$4&amp;J8&amp;$K$4&amp;K8</f>
        <v>Từ cột 024A đến cột 024A/007</v>
      </c>
      <c r="E8" s="1335" t="e">
        <f t="shared" si="0"/>
        <v>#N/A</v>
      </c>
      <c r="F8" s="2000">
        <f ca="1">SUMIF(KhoiLuong,B8,DuToan)</f>
        <v>0</v>
      </c>
      <c r="G8" s="2000">
        <f ca="1">SUMIF(KhoiLuong,B8,ThiCong)</f>
        <v>0</v>
      </c>
      <c r="H8" s="1328"/>
      <c r="I8" s="1208" t="e">
        <f t="shared" ca="1" si="2"/>
        <v>#N/A</v>
      </c>
      <c r="J8" s="2616" t="str">
        <f>WORD!AJ2</f>
        <v>024A</v>
      </c>
      <c r="K8" s="2616" t="str">
        <f>WORD!AK2</f>
        <v>024A/007</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4"/>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6488</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4</v>
      </c>
      <c r="G3" s="1605">
        <f t="shared" ca="1" si="2"/>
        <v>4</v>
      </c>
      <c r="H3" s="1600"/>
      <c r="I3" s="1606">
        <f t="shared" ref="I3:I26" ca="1" si="3">IF(AND(SUM(F3:G3)&gt;0,A3="x"),1,"")</f>
        <v>1</v>
      </c>
      <c r="J3" s="1606">
        <f>SUMIF(chitiet!B:B,'8TB'!B3,chitiet!P:P)</f>
        <v>1</v>
      </c>
    </row>
    <row r="4" spans="1:10" ht="25.2" customHeight="1">
      <c r="A4" s="1606" t="s">
        <v>510</v>
      </c>
      <c r="B4" s="1604" t="str">
        <f>'NT-VT'!A8</f>
        <v>FCO200-22</v>
      </c>
      <c r="C4" s="1607">
        <f ca="1">SUM($I$2:I4)</f>
        <v>3</v>
      </c>
      <c r="D4" s="2003" t="str">
        <f t="shared" si="0"/>
        <v xml:space="preserve">FCO 24KV - 200A </v>
      </c>
      <c r="E4" s="1605" t="str">
        <f>VLOOKUP(B4,DonGia,4,)</f>
        <v>cái</v>
      </c>
      <c r="F4" s="1605">
        <f t="shared" ca="1" si="1"/>
        <v>3</v>
      </c>
      <c r="G4" s="1605">
        <f t="shared" ca="1" si="2"/>
        <v>3</v>
      </c>
      <c r="H4" s="1600"/>
      <c r="I4" s="1606">
        <f t="shared" ca="1" si="3"/>
        <v>1</v>
      </c>
      <c r="J4" s="1606">
        <f>SUMIF(chitiet!B:B,'8TB'!B4,chitiet!P:P)</f>
        <v>3</v>
      </c>
    </row>
    <row r="5" spans="1:10" ht="21.75" customHeight="1">
      <c r="A5" s="1606" t="s">
        <v>510</v>
      </c>
      <c r="B5" s="1604" t="str">
        <f>'NT-VT'!A9</f>
        <v>LA18</v>
      </c>
      <c r="C5" s="1607">
        <f ca="1">SUM($I$2:I5)</f>
        <v>4</v>
      </c>
      <c r="D5" s="2003" t="str">
        <f t="shared" si="0"/>
        <v>Chống sét van LA-18KV-10KA</v>
      </c>
      <c r="E5" s="1605" t="str">
        <f>VLOOKUP(B5,DonGia,4,)</f>
        <v>cái</v>
      </c>
      <c r="F5" s="1605">
        <f t="shared" ca="1" si="1"/>
        <v>12</v>
      </c>
      <c r="G5" s="1605">
        <f t="shared" ca="1" si="2"/>
        <v>12</v>
      </c>
      <c r="H5" s="1600"/>
      <c r="I5" s="1606">
        <f t="shared" ca="1" si="3"/>
        <v>1</v>
      </c>
      <c r="J5" s="1606">
        <f>SUMIF(chitiet!B:B,'8TB'!B5,chitiet!P:P)</f>
        <v>6</v>
      </c>
    </row>
    <row r="6" spans="1:10" ht="21.75" customHeight="1">
      <c r="A6" s="1606" t="s">
        <v>510</v>
      </c>
      <c r="B6" s="1604" t="str">
        <f>'NT-VT'!A10</f>
        <v>acb1600</v>
      </c>
      <c r="C6" s="1607">
        <f ca="1">SUM($I$2:I6)</f>
        <v>5</v>
      </c>
      <c r="D6" s="2003" t="str">
        <f t="shared" si="0"/>
        <v>ACB 3P - 1600A - 65KA (nạp lò xo bằng tay)</v>
      </c>
      <c r="E6" s="1605" t="str">
        <f>VLOOKUP(B6,DonGia,4,)</f>
        <v>cái</v>
      </c>
      <c r="F6" s="1605">
        <f t="shared" ca="1" si="1"/>
        <v>1</v>
      </c>
      <c r="G6" s="1605">
        <f t="shared" ca="1" si="2"/>
        <v>1</v>
      </c>
      <c r="H6" s="1600"/>
      <c r="I6" s="1606">
        <f t="shared" ca="1" si="3"/>
        <v>1</v>
      </c>
      <c r="J6" s="1606">
        <f>SUMIF(chitiet!B:B,'8TB'!B6,chitiet!P:P)</f>
        <v>0</v>
      </c>
    </row>
    <row r="7" spans="1:10" ht="25.2" hidden="1" customHeight="1">
      <c r="B7" s="1604" t="str">
        <f>'NT-VT'!A11</f>
        <v>SD</v>
      </c>
      <c r="C7" s="1607">
        <f ca="1">SUM($I$2:I7)</f>
        <v>5</v>
      </c>
      <c r="D7" s="2003" t="str">
        <f t="shared" si="0"/>
        <v xml:space="preserve">Sứ đứng 24KV </v>
      </c>
      <c r="E7" s="1605" t="str">
        <f>'NT-VT'!D12</f>
        <v>chuỗi</v>
      </c>
      <c r="F7" s="1605">
        <f t="shared" ca="1" si="1"/>
        <v>33</v>
      </c>
      <c r="G7" s="1605">
        <f t="shared" ca="1" si="2"/>
        <v>33</v>
      </c>
      <c r="H7" s="1600"/>
      <c r="I7" s="1606" t="str">
        <f t="shared" ca="1" si="3"/>
        <v/>
      </c>
      <c r="J7" s="1606">
        <f>SUMIF(chitiet!B:B,'8TB'!B7,chitiet!P:P)</f>
        <v>27</v>
      </c>
    </row>
    <row r="8" spans="1:10" ht="25.2" customHeight="1">
      <c r="A8" s="1606" t="s">
        <v>510</v>
      </c>
      <c r="B8" s="1604" t="str">
        <f>'NT-VT'!A12</f>
        <v>Stply</v>
      </c>
      <c r="C8" s="1607">
        <f ca="1">SUM($I$2:I8)</f>
        <v>6</v>
      </c>
      <c r="D8" s="2003" t="str">
        <f t="shared" si="0"/>
        <v>Sứ treo polymer</v>
      </c>
      <c r="E8" s="1605" t="str">
        <f>VLOOKUP(B8,DonGia,4,)</f>
        <v>chuỗi</v>
      </c>
      <c r="F8" s="1605">
        <f t="shared" ca="1" si="1"/>
        <v>22</v>
      </c>
      <c r="G8" s="1605">
        <f t="shared" ca="1" si="2"/>
        <v>22</v>
      </c>
      <c r="H8" s="1600"/>
      <c r="I8" s="1606">
        <f t="shared" ca="1" si="3"/>
        <v>1</v>
      </c>
      <c r="J8" s="1606">
        <f>SUMIF(chitiet!B:B,'8TB'!B8,chitiet!P:P)</f>
        <v>22</v>
      </c>
    </row>
    <row r="9" spans="1:10" ht="25.2" customHeight="1">
      <c r="A9" s="1606" t="s">
        <v>510</v>
      </c>
      <c r="B9" s="1604" t="str">
        <f>'NT-VT'!A13</f>
        <v>cxv25</v>
      </c>
      <c r="C9" s="1607">
        <f ca="1">SUM($I$2:I9)</f>
        <v>7</v>
      </c>
      <c r="D9" s="2003" t="str">
        <f t="shared" si="0"/>
        <v>Cáp đồng bọc 24KV-CXV-25</v>
      </c>
      <c r="E9" s="1605" t="str">
        <f>VLOOKUP(B9,DonGia,4,)</f>
        <v>mét</v>
      </c>
      <c r="F9" s="1605">
        <f t="shared" ca="1" si="1"/>
        <v>46</v>
      </c>
      <c r="G9" s="1605">
        <f t="shared" ca="1" si="2"/>
        <v>46</v>
      </c>
      <c r="H9" s="1600"/>
      <c r="I9" s="1606">
        <f t="shared" ca="1" si="3"/>
        <v>1</v>
      </c>
      <c r="J9" s="1606">
        <f>SUMIF(chitiet!B:B,'8TB'!B9,chitiet!P:P)</f>
        <v>10</v>
      </c>
    </row>
    <row r="10" spans="1:10" ht="25.2" customHeight="1">
      <c r="A10" s="1606" t="s">
        <v>510</v>
      </c>
      <c r="B10" s="1604" t="str">
        <f>'NT-VT'!A14</f>
        <v>cv240</v>
      </c>
      <c r="C10" s="1607">
        <f ca="1">SUM($I$2:I10)</f>
        <v>8</v>
      </c>
      <c r="D10" s="2003" t="str">
        <f t="shared" si="0"/>
        <v>Cáp đồng bọc CV240</v>
      </c>
      <c r="E10" s="1605" t="str">
        <f>VLOOKUP(B10,DonGia,4,)</f>
        <v>mét</v>
      </c>
      <c r="F10" s="1605">
        <f t="shared" ca="1" si="1"/>
        <v>72</v>
      </c>
      <c r="G10" s="1605">
        <f t="shared" ca="1" si="2"/>
        <v>72</v>
      </c>
      <c r="H10" s="1600"/>
      <c r="I10" s="1606">
        <f t="shared" ca="1" si="3"/>
        <v>1</v>
      </c>
      <c r="J10" s="1606">
        <f>SUMIF(chitiet!B:B,'8TB'!B10,chitiet!P:P)</f>
        <v>0</v>
      </c>
    </row>
    <row r="11" spans="1:10" ht="25.2" customHeight="1">
      <c r="A11" s="1606" t="s">
        <v>510</v>
      </c>
      <c r="B11" s="1604" t="str">
        <f>'NT-VT'!A15</f>
        <v>CVV4X4</v>
      </c>
      <c r="C11" s="1607">
        <f ca="1">SUM($I$2:I11)</f>
        <v>9</v>
      </c>
      <c r="D11" s="2003" t="str">
        <f t="shared" si="0"/>
        <v xml:space="preserve">Cáp CVV 4x4mm2  </v>
      </c>
      <c r="E11" s="1605" t="str">
        <f>'NT-VT'!D14</f>
        <v>mét</v>
      </c>
      <c r="F11" s="1605">
        <f t="shared" ca="1" si="1"/>
        <v>33</v>
      </c>
      <c r="G11" s="1605">
        <f t="shared" ca="1" si="2"/>
        <v>33</v>
      </c>
      <c r="H11" s="1600"/>
      <c r="I11" s="1606">
        <f t="shared" ca="1" si="3"/>
        <v>1</v>
      </c>
      <c r="J11" s="1606">
        <f>SUMIF(chitiet!B:B,'8TB'!B11,chitiet!P:P)</f>
        <v>0</v>
      </c>
    </row>
    <row r="12" spans="1:10" hidden="1">
      <c r="B12" s="1604" t="str">
        <f>'NT-VT'!A16</f>
        <v>cxv50</v>
      </c>
      <c r="C12" s="1607">
        <f ca="1">SUM($I$2:I12)</f>
        <v>9</v>
      </c>
      <c r="D12" s="2003" t="str">
        <f t="shared" si="0"/>
        <v>Cáp đồng bọc 24KV-CXV-50</v>
      </c>
      <c r="E12" s="1605" t="str">
        <f>'NT-VT'!D15</f>
        <v>mét</v>
      </c>
      <c r="F12" s="1605">
        <f t="shared" ca="1" si="1"/>
        <v>19.5</v>
      </c>
      <c r="G12" s="1605">
        <f t="shared" ca="1" si="2"/>
        <v>19.5</v>
      </c>
      <c r="H12" s="1600"/>
      <c r="I12" s="1606" t="str">
        <f t="shared" ca="1" si="3"/>
        <v/>
      </c>
      <c r="J12" s="1606">
        <f>SUMIF(chitiet!B:B,'8TB'!B12,chitiet!P:P)</f>
        <v>19.5</v>
      </c>
    </row>
    <row r="13" spans="1:10" hidden="1">
      <c r="B13" s="1604" t="str">
        <f>'NT-VT'!A17</f>
        <v>acxh50</v>
      </c>
      <c r="C13" s="1607">
        <f ca="1">SUM($I$2:I13)</f>
        <v>9</v>
      </c>
      <c r="D13" s="2003" t="str">
        <f t="shared" si="0"/>
        <v>Cáp 24KV ACXH 50mm2</v>
      </c>
      <c r="E13" s="1605" t="str">
        <f>'NT-VT'!D16</f>
        <v>mét</v>
      </c>
      <c r="F13" s="1605">
        <f t="shared" ca="1" si="1"/>
        <v>795.6</v>
      </c>
      <c r="G13" s="1605">
        <f t="shared" ca="1" si="2"/>
        <v>795.6</v>
      </c>
      <c r="H13" s="1600"/>
      <c r="I13" s="1606" t="str">
        <f t="shared" ca="1" si="3"/>
        <v/>
      </c>
      <c r="J13" s="1606">
        <f>SUMIF(chitiet!B:B,'8TB'!B13,chitiet!P:P)</f>
        <v>795.6</v>
      </c>
    </row>
    <row r="14" spans="1:10" ht="50.4">
      <c r="A14" s="1606" t="s">
        <v>510</v>
      </c>
      <c r="B14" s="1604" t="str">
        <f>'NT-VT'!A18</f>
        <v>LBS630</v>
      </c>
      <c r="C14" s="1607">
        <f ca="1">SUM($I$2:I14)</f>
        <v>10</v>
      </c>
      <c r="D14" s="2003" t="str">
        <f t="shared" si="0"/>
        <v xml:space="preserve"> LBS SF6 3pha 24kV 630A - 16kA (MBA cấp nguồn + Phụ kiện)</v>
      </c>
      <c r="E14" s="1605" t="str">
        <f>'NT-VT'!D17</f>
        <v>mét</v>
      </c>
      <c r="F14" s="1605">
        <f t="shared" ca="1" si="1"/>
        <v>1</v>
      </c>
      <c r="G14" s="1605">
        <f t="shared" ca="1" si="2"/>
        <v>1</v>
      </c>
      <c r="H14" s="1600"/>
      <c r="I14" s="1606">
        <f t="shared" ca="1" si="3"/>
        <v>1</v>
      </c>
      <c r="J14" s="1606">
        <f>SUMIF(chitiet!B:B,'8TB'!B14,chitiet!P:P)</f>
        <v>1</v>
      </c>
    </row>
    <row r="15" spans="1:10" hidden="1">
      <c r="B15" s="1604" t="str">
        <f>'NT-VT'!A19</f>
        <v>M25</v>
      </c>
      <c r="C15" s="1607">
        <f ca="1">SUM($I$2:I15)</f>
        <v>10</v>
      </c>
      <c r="D15" s="2003" t="str">
        <f t="shared" si="0"/>
        <v>Cáp đồng trần M25mm2</v>
      </c>
      <c r="E15" s="1605" t="str">
        <f>'NT-VT'!D18</f>
        <v>Bộ</v>
      </c>
      <c r="F15" s="1605">
        <f t="shared" ca="1" si="1"/>
        <v>25.981999999999999</v>
      </c>
      <c r="G15" s="1605">
        <f t="shared" ca="1" si="2"/>
        <v>25.981999999999999</v>
      </c>
      <c r="H15" s="1600"/>
      <c r="I15" s="1606" t="str">
        <f t="shared" ca="1" si="3"/>
        <v/>
      </c>
      <c r="J15" s="1606">
        <f>SUMIF(chitiet!B:B,'8TB'!B15,chitiet!P:P)</f>
        <v>14.112</v>
      </c>
    </row>
    <row r="16" spans="1:10" hidden="1">
      <c r="B16" s="1604" t="str">
        <f>'NT-VT'!A20</f>
        <v>T12</v>
      </c>
      <c r="C16" s="1607">
        <f ca="1">SUM($I$2:I16)</f>
        <v>10</v>
      </c>
      <c r="D16" s="2003" t="str">
        <f t="shared" si="0"/>
        <v>Trụ BTLT 12m F540 dự ứng lực</v>
      </c>
      <c r="E16" s="1605" t="str">
        <f>'NT-VT'!D19</f>
        <v>kg</v>
      </c>
      <c r="F16" s="1605">
        <f t="shared" ca="1" si="1"/>
        <v>12</v>
      </c>
      <c r="G16" s="1605">
        <f t="shared" ca="1" si="2"/>
        <v>12</v>
      </c>
      <c r="H16" s="1600"/>
      <c r="I16" s="1606" t="str">
        <f t="shared" ca="1" si="3"/>
        <v/>
      </c>
      <c r="J16" s="1606">
        <f>SUMIF(chitiet!B:B,'8TB'!B16,chitiet!P:P)</f>
        <v>12</v>
      </c>
    </row>
    <row r="17" spans="2:10" hidden="1">
      <c r="B17" s="1604" t="str">
        <f>'NT-VT'!A21</f>
        <v>AC50</v>
      </c>
      <c r="C17" s="1607">
        <f ca="1">SUM($I$2:I17)</f>
        <v>10</v>
      </c>
      <c r="D17" s="2003" t="str">
        <f t="shared" si="0"/>
        <v>Cáp nhôm lõi thép AC-50/8</v>
      </c>
      <c r="E17" s="1605" t="str">
        <f>'NT-VT'!D20</f>
        <v>trụ</v>
      </c>
      <c r="F17" s="1605">
        <f t="shared" ca="1" si="1"/>
        <v>51.713999999999999</v>
      </c>
      <c r="G17" s="1605">
        <f t="shared" ca="1" si="2"/>
        <v>51.713999999999999</v>
      </c>
      <c r="H17" s="1600"/>
      <c r="I17" s="1606" t="str">
        <f t="shared" ca="1" si="3"/>
        <v/>
      </c>
      <c r="J17" s="1606">
        <f>SUMIF(chitiet!B:B,'8TB'!B17,chitiet!P:P)</f>
        <v>51.713999999999999</v>
      </c>
    </row>
    <row r="18" spans="2:10" hidden="1">
      <c r="B18" s="1604" t="str">
        <f>'NT-VT'!A22</f>
        <v>CHI40K</v>
      </c>
      <c r="C18" s="1607">
        <f ca="1">SUM($I$2:I18)</f>
        <v>10</v>
      </c>
      <c r="D18" s="2003" t="str">
        <f t="shared" si="0"/>
        <v>Dây chảy 40K</v>
      </c>
      <c r="E18" s="1605" t="str">
        <f>'NT-VT'!D21</f>
        <v>kg</v>
      </c>
      <c r="F18" s="1605">
        <f t="shared" ca="1" si="1"/>
        <v>3</v>
      </c>
      <c r="G18" s="1605">
        <f t="shared" ca="1" si="2"/>
        <v>3</v>
      </c>
      <c r="H18" s="1600"/>
      <c r="I18" s="1606" t="str">
        <f t="shared" ca="1" si="3"/>
        <v/>
      </c>
      <c r="J18" s="1606">
        <f>SUMIF(chitiet!B:B,'8TB'!B18,chitiet!P:P)</f>
        <v>0</v>
      </c>
    </row>
    <row r="19" spans="2:10" hidden="1">
      <c r="B19" s="1604"/>
      <c r="C19" s="1607">
        <f ca="1">SUM($I$2:I19)</f>
        <v>10</v>
      </c>
      <c r="D19" s="2003" t="e">
        <f t="shared" si="0"/>
        <v>#N/A</v>
      </c>
      <c r="E19" s="1605" t="str">
        <f>'NT-VT'!D22</f>
        <v>Sợi</v>
      </c>
      <c r="F19" s="1605">
        <f t="shared" ca="1" si="1"/>
        <v>95565</v>
      </c>
      <c r="G19" s="1605">
        <f t="shared" ca="1" si="2"/>
        <v>29095</v>
      </c>
      <c r="H19" s="1600"/>
      <c r="I19" s="1606" t="str">
        <f t="shared" ca="1" si="3"/>
        <v/>
      </c>
      <c r="J19" s="1606">
        <f>SUMIF(chitiet!B:B,'8TB'!B19,chitiet!P:P)</f>
        <v>0</v>
      </c>
    </row>
    <row r="20" spans="2:10" hidden="1">
      <c r="B20" s="1604"/>
      <c r="C20" s="1607">
        <f ca="1">SUM($I$2:I20)</f>
        <v>10</v>
      </c>
      <c r="D20" s="2003" t="e">
        <f t="shared" si="0"/>
        <v>#N/A</v>
      </c>
      <c r="E20" s="1605" t="str">
        <f>'NT-VT'!D23</f>
        <v>cái</v>
      </c>
      <c r="F20" s="1605">
        <f t="shared" ca="1" si="1"/>
        <v>95565</v>
      </c>
      <c r="G20" s="1605">
        <f t="shared" ca="1" si="2"/>
        <v>29095</v>
      </c>
      <c r="H20" s="1600"/>
      <c r="I20" s="1606" t="str">
        <f t="shared" ca="1" si="3"/>
        <v/>
      </c>
      <c r="J20" s="1606">
        <f>SUMIF(chitiet!B:B,'8TB'!B20,chitiet!P:P)</f>
        <v>0</v>
      </c>
    </row>
    <row r="21" spans="2:10" ht="25.2" hidden="1" customHeight="1">
      <c r="B21" s="1604"/>
      <c r="C21" s="1607">
        <f ca="1">SUM($I$2:I21)</f>
        <v>10</v>
      </c>
      <c r="D21" s="2003" t="e">
        <f t="shared" ref="D21:D22" si="4">VLOOKUP(B21,DonGia,3,0)</f>
        <v>#N/A</v>
      </c>
      <c r="E21" s="1605" t="str">
        <f>'NT-VT'!D25</f>
        <v>bộ</v>
      </c>
      <c r="F21" s="1605">
        <f t="shared" ca="1" si="1"/>
        <v>95565</v>
      </c>
      <c r="G21" s="1605">
        <f t="shared" ca="1" si="2"/>
        <v>29095</v>
      </c>
      <c r="H21" s="1340"/>
      <c r="I21" s="1606" t="str">
        <f t="shared" ca="1" si="3"/>
        <v/>
      </c>
      <c r="J21" s="1606">
        <f>SUMIF(chitiet!B:B,'8TB'!B21,chitiet!P:P)</f>
        <v>0</v>
      </c>
    </row>
    <row r="22" spans="2:10" ht="25.2" hidden="1" customHeight="1">
      <c r="B22" s="1604"/>
      <c r="C22" s="1607">
        <f ca="1">SUM($I$2:I22)</f>
        <v>10</v>
      </c>
      <c r="D22" s="2003" t="e">
        <f t="shared" si="4"/>
        <v>#N/A</v>
      </c>
      <c r="E22" s="1605" t="str">
        <f>'NT-VT'!D26</f>
        <v>bộ</v>
      </c>
      <c r="F22" s="1605">
        <f t="shared" ca="1" si="1"/>
        <v>95565</v>
      </c>
      <c r="G22" s="1605">
        <f t="shared" ca="1" si="2"/>
        <v>29095</v>
      </c>
      <c r="H22" s="1340"/>
      <c r="I22" s="1606" t="str">
        <f t="shared" ca="1" si="3"/>
        <v/>
      </c>
      <c r="J22" s="1606">
        <f>SUMIF(chitiet!B:B,'8TB'!B22,chitiet!P:P)</f>
        <v>0</v>
      </c>
    </row>
    <row r="23" spans="2:10" hidden="1">
      <c r="B23" s="1604"/>
      <c r="C23" s="1607">
        <f ca="1">SUM($I$2:I23)</f>
        <v>10</v>
      </c>
      <c r="D23" s="2003" t="str">
        <f>VLOOKUP(B23,KhoiLuong,5,0)</f>
        <v>B. PHẦN VẬT LIỆU</v>
      </c>
      <c r="E23" s="1605" t="str">
        <f>'NT-VT'!D27</f>
        <v>bộ</v>
      </c>
      <c r="F23" s="1605">
        <f t="shared" ca="1" si="1"/>
        <v>95565</v>
      </c>
      <c r="G23" s="1605">
        <f t="shared" ca="1" si="2"/>
        <v>29095</v>
      </c>
      <c r="H23" s="1340"/>
      <c r="I23" s="1606" t="str">
        <f t="shared" ca="1" si="3"/>
        <v/>
      </c>
      <c r="J23" s="1606">
        <f>SUMIF(chitiet!B:B,'8TB'!B23,chitiet!P:P)</f>
        <v>0</v>
      </c>
    </row>
    <row r="24" spans="2:10" hidden="1">
      <c r="B24" s="1604"/>
      <c r="C24" s="1607">
        <f ca="1">SUM($I$2:I24)</f>
        <v>10</v>
      </c>
      <c r="D24" s="2003" t="e">
        <f>VLOOKUP(B24,DonGia,3,0)</f>
        <v>#N/A</v>
      </c>
      <c r="E24" s="1605" t="str">
        <f>'NT-VT'!D28</f>
        <v>Bộ</v>
      </c>
      <c r="F24" s="1605">
        <f t="shared" ca="1" si="1"/>
        <v>95565</v>
      </c>
      <c r="G24" s="1605">
        <f t="shared" ca="1" si="2"/>
        <v>29095</v>
      </c>
      <c r="H24" s="1340"/>
      <c r="I24" s="1606" t="str">
        <f t="shared" ca="1" si="3"/>
        <v/>
      </c>
      <c r="J24" s="1606">
        <f>SUMIF(chitiet!B:B,'8TB'!B24,chitiet!P:P)</f>
        <v>0</v>
      </c>
    </row>
    <row r="25" spans="2:10" hidden="1">
      <c r="C25" s="1321"/>
      <c r="E25" s="1360"/>
      <c r="F25" s="1360"/>
      <c r="G25" s="1605">
        <f t="shared" ca="1" si="2"/>
        <v>29095</v>
      </c>
      <c r="H25" s="1321"/>
      <c r="I25" s="1606" t="str">
        <f t="shared" ca="1" si="3"/>
        <v/>
      </c>
      <c r="J25" s="1606">
        <f>SUMIF(chitiet!B:B,'8TB'!B25,chitiet!P:P)</f>
        <v>0</v>
      </c>
    </row>
    <row r="26" spans="2:10" ht="9.6" hidden="1" customHeight="1">
      <c r="G26" s="1605">
        <f t="shared" ca="1" si="2"/>
        <v>29095</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83"/>
  <sheetViews>
    <sheetView topLeftCell="C1" workbookViewId="0">
      <selection activeCell="D47" sqref="C9:D47"/>
    </sheetView>
  </sheetViews>
  <sheetFormatPr defaultColWidth="8.90625" defaultRowHeight="16.8"/>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c r="G3" s="1322" t="s">
        <v>1951</v>
      </c>
    </row>
    <row r="4" spans="2:11">
      <c r="D4" s="3258" t="str">
        <f>"- Tiếp địa TBA tại vị trí trụ số:"&amp;F4&amp;"."</f>
        <v>- Tiếp địa TBA tại vị trí trụ số:015/002.</v>
      </c>
      <c r="E4" s="3258"/>
      <c r="F4" s="1322" t="s">
        <v>4494</v>
      </c>
    </row>
    <row r="5" spans="2:11">
      <c r="D5" s="3258" t="str">
        <f>"- Tiếp địa lặp lại đường dây trung thế tại vị trí trụ số: "&amp;F5&amp;"."</f>
        <v>- Tiếp địa lặp lại đường dây trung thế tại vị trí trụ số: 015.</v>
      </c>
      <c r="E5" s="3258"/>
      <c r="F5" s="1599" t="s">
        <v>4488</v>
      </c>
    </row>
    <row r="6" spans="2:11">
      <c r="D6" s="3258" t="str">
        <f>"- Tiếp địa lặp lại đường dây trung thế tại vị trí trụ số: "&amp;F6&amp;"."</f>
        <v>- Tiếp địa lặp lại đường dây trung thế tại vị trí trụ số: .</v>
      </c>
      <c r="E6" s="3258"/>
      <c r="G6" s="1322" t="s">
        <v>510</v>
      </c>
    </row>
    <row r="8" spans="2:11" ht="36.6" customHeight="1">
      <c r="C8" s="1948" t="s">
        <v>1704</v>
      </c>
      <c r="D8" s="1948" t="s">
        <v>4136</v>
      </c>
      <c r="E8" s="1759" t="s">
        <v>4138</v>
      </c>
      <c r="F8" s="1759" t="s">
        <v>4139</v>
      </c>
      <c r="G8" s="1329" t="s">
        <v>1951</v>
      </c>
    </row>
    <row r="9" spans="2:11" ht="19.2"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19.2"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19.2"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19.2"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19.2"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19.2"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19.2"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 hidden="1" customHeight="1">
      <c r="C16" s="1957"/>
      <c r="D16" s="1958" t="str">
        <f t="shared" si="1"/>
        <v xml:space="preserve"> - : 0 </v>
      </c>
      <c r="E16" s="1894"/>
      <c r="F16" s="1841"/>
      <c r="G16" s="1322" t="str">
        <f t="shared" si="0"/>
        <v/>
      </c>
      <c r="H16" s="1730"/>
      <c r="I16" s="1333"/>
      <c r="J16" s="2889"/>
      <c r="K16" s="2889"/>
    </row>
    <row r="17" spans="2:11" ht="19.2"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19.2"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19.2"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19.2"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19.2"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19.2"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19.2"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19.2"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19.2" customHeight="1">
      <c r="C35" s="1957"/>
      <c r="D35" s="1958" t="str">
        <f>"     - "&amp;H35&amp;": "&amp;ROUND(J35,1)&amp;" "&amp;I35</f>
        <v xml:space="preserve">     - Cáp đồng trần M25mm2: 10m noái leân voû caùc thieát bò: 11,9 kg</v>
      </c>
      <c r="E35" s="1953"/>
      <c r="F35" s="1884"/>
      <c r="G35" s="1322">
        <f t="shared" ref="G35:G46" si="6">IF(K35&gt;0,1,"")</f>
        <v>1</v>
      </c>
      <c r="H35" s="3033" t="str">
        <f>CT_tram!F2453</f>
        <v>Cáp đồng trần M25mm2: 10m noái leân voû caùc thieát bò</v>
      </c>
      <c r="I35" s="3031" t="str">
        <f>CT_tram!G2453</f>
        <v>kg</v>
      </c>
      <c r="J35" s="3028">
        <f>CT_tram!H2453</f>
        <v>11.87</v>
      </c>
      <c r="K35" s="3034">
        <f>CT_tram!I2453</f>
        <v>11.87</v>
      </c>
    </row>
    <row r="36" spans="2:11" ht="19.2"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19.2"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19.2"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19.2"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19.2"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19.2"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19.2"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19.2"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row r="63" spans="3:11" ht="24.9" customHeight="1"/>
    <row r="64" spans="3:11" ht="24.9" customHeight="1"/>
    <row r="65" ht="24.9" customHeight="1"/>
    <row r="66" ht="24.9" customHeight="1"/>
    <row r="67" ht="24.9" customHeight="1"/>
    <row r="68" ht="24.9" customHeight="1"/>
    <row r="69" ht="24.9" customHeight="1"/>
    <row r="70" ht="24.9" customHeight="1"/>
    <row r="71" ht="24.9" customHeight="1"/>
    <row r="72" ht="24.9" customHeight="1"/>
    <row r="73" ht="24.9" customHeight="1"/>
    <row r="74" ht="24.9" customHeight="1"/>
    <row r="75" ht="24.9" customHeight="1"/>
    <row r="76" ht="24.9" customHeight="1"/>
    <row r="77" ht="24.9" customHeight="1"/>
    <row r="78" ht="24.9" customHeight="1"/>
    <row r="79" ht="24.9" customHeight="1"/>
    <row r="80" ht="24.9" customHeight="1"/>
    <row r="81" ht="24.9" customHeight="1"/>
    <row r="82" ht="24.9" customHeight="1"/>
    <row r="83" ht="24.9" customHeight="1"/>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5"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9" t="s">
        <v>4136</v>
      </c>
      <c r="D6" s="3259"/>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Dây buộc đầu sứ cỡ dây 50mm2: 21 cái.</v>
      </c>
      <c r="E8" s="1962"/>
      <c r="F8" s="2007"/>
      <c r="G8" s="1997">
        <f>IF(K8&gt;0,1,"")</f>
        <v>1</v>
      </c>
      <c r="H8" s="1964" t="str">
        <f>chitiet!F1863</f>
        <v>Dây buộc đầu sứ cỡ dây 50mm2</v>
      </c>
      <c r="I8" s="1904" t="str">
        <f>chitiet!G1863</f>
        <v>cái</v>
      </c>
      <c r="J8" s="1904">
        <f>chitiet!H1863</f>
        <v>21</v>
      </c>
      <c r="K8" s="1904">
        <f>chitiet!P1863</f>
        <v>21</v>
      </c>
      <c r="L8" s="1904"/>
    </row>
    <row r="9" spans="2:12" ht="24" customHeight="1">
      <c r="B9" s="2014"/>
      <c r="C9" s="2010"/>
      <c r="D9" s="2013" t="str">
        <f t="shared" ref="D9:D19" si="0">"    - "&amp;H9&amp;": "&amp;K9&amp;" "&amp;I9&amp;"."</f>
        <v xml:space="preserve">    - Dây buộc cổ sứ đôi cỡ dây 50 mm2: 6 cái.</v>
      </c>
      <c r="E9" s="1962"/>
      <c r="F9" s="2007"/>
      <c r="G9" s="1997">
        <f t="shared" ref="G9:G34" si="1">IF(K9&gt;0,1,"")</f>
        <v>1</v>
      </c>
      <c r="H9" s="1964" t="str">
        <f>chitiet!F1864</f>
        <v>Dây buộc cổ sứ đôi cỡ dây 50 mm2</v>
      </c>
      <c r="I9" s="1904" t="str">
        <f>chitiet!G1864</f>
        <v>cái</v>
      </c>
      <c r="J9" s="1904">
        <f>chitiet!H1864</f>
        <v>6</v>
      </c>
      <c r="K9" s="1904">
        <f>chitiet!P1864</f>
        <v>6</v>
      </c>
      <c r="L9" s="1904"/>
    </row>
    <row r="10" spans="2:12" ht="24" customHeight="1">
      <c r="C10" s="2010"/>
      <c r="D10" s="2013" t="str">
        <f t="shared" si="0"/>
        <v xml:space="preserve">    - Kẹp quai 2/0: 7 cái.</v>
      </c>
      <c r="E10" s="1962"/>
      <c r="F10" s="2007"/>
      <c r="G10" s="1997">
        <f t="shared" si="1"/>
        <v>1</v>
      </c>
      <c r="H10" s="1964" t="str">
        <f>chitiet!F1865</f>
        <v>Kẹp quai 2/0</v>
      </c>
      <c r="I10" s="1904" t="str">
        <f>chitiet!G1865</f>
        <v>cái</v>
      </c>
      <c r="J10" s="1904">
        <f>chitiet!H1865</f>
        <v>7</v>
      </c>
      <c r="K10" s="1904">
        <f>chitiet!P1865</f>
        <v>7</v>
      </c>
      <c r="L10" s="1904"/>
    </row>
    <row r="11" spans="2:12" ht="24" customHeight="1">
      <c r="B11" s="2015"/>
      <c r="C11" s="2010"/>
      <c r="D11" s="2013" t="str">
        <f t="shared" si="0"/>
        <v xml:space="preserve">    - Kẹp hotline 2/0: 7 cái.</v>
      </c>
      <c r="E11" s="1962"/>
      <c r="F11" s="2007"/>
      <c r="G11" s="1997">
        <f t="shared" si="1"/>
        <v>1</v>
      </c>
      <c r="H11" s="1965" t="str">
        <f>chitiet!F1866</f>
        <v>Kẹp hotline 2/0</v>
      </c>
      <c r="I11" s="1904" t="str">
        <f>chitiet!G1866</f>
        <v>cái</v>
      </c>
      <c r="J11" s="1904">
        <f>chitiet!H1866</f>
        <v>7</v>
      </c>
      <c r="K11" s="1904">
        <f>chitiet!P1866</f>
        <v>7</v>
      </c>
      <c r="L11" s="1904"/>
    </row>
    <row r="12" spans="2:12" ht="24.9" customHeight="1">
      <c r="C12" s="2010"/>
      <c r="D12" s="2013" t="str">
        <f t="shared" si="0"/>
        <v xml:space="preserve">    - Kẹp ép WR cỡ dây 50mm2: 28 cái.</v>
      </c>
      <c r="E12" s="1962"/>
      <c r="F12" s="2007"/>
      <c r="G12" s="1997">
        <f t="shared" si="1"/>
        <v>1</v>
      </c>
      <c r="H12" s="1964" t="str">
        <f>chitiet!F1867</f>
        <v>Kẹp ép WR cỡ dây 50mm2</v>
      </c>
      <c r="I12" s="1904" t="str">
        <f>chitiet!G1867</f>
        <v>cái</v>
      </c>
      <c r="J12" s="1904">
        <f>chitiet!H1867</f>
        <v>28</v>
      </c>
      <c r="K12" s="1904">
        <f>chitiet!P1867</f>
        <v>28</v>
      </c>
      <c r="L12" s="1904"/>
    </row>
    <row r="13" spans="2:12" ht="24.9" customHeight="1">
      <c r="C13" s="2010"/>
      <c r="D13" s="2013" t="str">
        <f t="shared" si="0"/>
        <v xml:space="preserve">    - Đầu cosse ép Cu-Al 50mm2: 3 cái.</v>
      </c>
      <c r="E13" s="1962"/>
      <c r="F13" s="2007"/>
      <c r="G13" s="1997">
        <f t="shared" si="1"/>
        <v>1</v>
      </c>
      <c r="H13" s="1964" t="str">
        <f>chitiet!F1868</f>
        <v>Đầu cosse ép Cu-Al 50mm2</v>
      </c>
      <c r="I13" s="1904" t="str">
        <f>chitiet!G1868</f>
        <v>cái</v>
      </c>
      <c r="J13" s="1904">
        <f>chitiet!H1868</f>
        <v>3</v>
      </c>
      <c r="K13" s="1904">
        <f>chitiet!P1868</f>
        <v>3</v>
      </c>
      <c r="L13" s="1904"/>
    </row>
    <row r="14" spans="2:12" ht="24.9" customHeight="1">
      <c r="C14" s="2010"/>
      <c r="D14" s="2013" t="str">
        <f t="shared" si="0"/>
        <v xml:space="preserve">    - Đầu cosse ép Cu 50mm2: 3 cái.</v>
      </c>
      <c r="E14" s="1962"/>
      <c r="F14" s="2007"/>
      <c r="G14" s="1997">
        <f t="shared" si="1"/>
        <v>1</v>
      </c>
      <c r="H14" s="1964" t="str">
        <f>chitiet!F1869</f>
        <v>Đầu cosse ép Cu 50mm2</v>
      </c>
      <c r="I14" s="1904" t="str">
        <f>chitiet!G1869</f>
        <v>cái</v>
      </c>
      <c r="J14" s="1904">
        <f>chitiet!H1869</f>
        <v>3</v>
      </c>
      <c r="K14" s="1904">
        <f>chitiet!P1869</f>
        <v>3</v>
      </c>
      <c r="L14" s="1904"/>
    </row>
    <row r="15" spans="2:12" ht="24.9" customHeight="1">
      <c r="C15" s="2010"/>
      <c r="D15" s="2013" t="str">
        <f t="shared" si="0"/>
        <v xml:space="preserve">    - Đầu cosse ép Cu 25mm2: 6 cái.</v>
      </c>
      <c r="E15" s="1962"/>
      <c r="F15" s="2007"/>
      <c r="G15" s="1997">
        <f t="shared" si="1"/>
        <v>1</v>
      </c>
      <c r="H15" s="2008" t="str">
        <f>chitiet!F1870</f>
        <v>Đầu cosse ép Cu 25mm2</v>
      </c>
      <c r="I15" s="1322" t="str">
        <f>chitiet!G1870</f>
        <v>cái</v>
      </c>
      <c r="J15" s="1322">
        <f>chitiet!H1870</f>
        <v>6</v>
      </c>
      <c r="K15" s="1322">
        <f>chitiet!P1870</f>
        <v>6</v>
      </c>
    </row>
    <row r="16" spans="2:12" ht="24.9" customHeight="1">
      <c r="C16" s="2010"/>
      <c r="D16" s="2013" t="str">
        <f t="shared" si="0"/>
        <v xml:space="preserve">    - Ống co nhiệt: 6 m.</v>
      </c>
      <c r="E16" s="1962"/>
      <c r="F16" s="2007"/>
      <c r="G16" s="1997">
        <f t="shared" si="1"/>
        <v>1</v>
      </c>
      <c r="H16" s="2008" t="str">
        <f>chitiet!F1871</f>
        <v>Ống co nhiệt</v>
      </c>
      <c r="I16" s="1322" t="str">
        <f>chitiet!G1871</f>
        <v>m</v>
      </c>
      <c r="J16" s="1322">
        <f>chitiet!H1871</f>
        <v>6</v>
      </c>
      <c r="K16" s="1322">
        <f>chitiet!P1871</f>
        <v>6</v>
      </c>
    </row>
    <row r="17" spans="2:12" ht="24.9" customHeight="1">
      <c r="C17" s="2010"/>
      <c r="D17" s="2013" t="str">
        <f t="shared" si="0"/>
        <v xml:space="preserve">    - Băng keo cách điện trung thế: 4 cuộn.</v>
      </c>
      <c r="E17" s="1962"/>
      <c r="F17" s="2007"/>
      <c r="G17" s="1997">
        <f t="shared" si="1"/>
        <v>1</v>
      </c>
      <c r="H17" s="2008" t="str">
        <f>chitiet!F1872</f>
        <v>Băng keo cách điện trung thế</v>
      </c>
      <c r="I17" s="1322" t="str">
        <f>chitiet!G1872</f>
        <v>cuộn</v>
      </c>
      <c r="J17" s="1322">
        <f>chitiet!H1872</f>
        <v>4</v>
      </c>
      <c r="K17" s="1322">
        <f>chitiet!P1872</f>
        <v>4</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4</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str">
        <f>'5BT'!D8</f>
        <v>Móng bê tông trụ đôi 12m</v>
      </c>
      <c r="D90" s="1390">
        <f>'5BT'!G8</f>
        <v>4</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2</v>
      </c>
      <c r="E125" s="1908" t="str">
        <f>'6PK'!E4</f>
        <v>cái</v>
      </c>
    </row>
    <row r="126" spans="2:7" hidden="1">
      <c r="B126" s="1385"/>
      <c r="C126" s="1389" t="str">
        <f>'6PK'!D5</f>
        <v>Chống composite 40x10x920</v>
      </c>
      <c r="D126" s="1390">
        <f ca="1">'6PK'!G5</f>
        <v>4</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str">
        <f>'6PK'!D8</f>
        <v>Bộ xà kép L75x75x8 dài 2.2m: X-22K-Đ - C810 (lắp trụ đơn)</v>
      </c>
      <c r="D130" s="1390">
        <f ca="1">'6PK'!G8</f>
        <v>3</v>
      </c>
      <c r="E130" s="1908" t="str">
        <f>'6PK'!E8</f>
        <v>Bộ</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ht="33.6">
      <c r="B140" s="1385"/>
      <c r="C140" s="1389" t="str">
        <f>'6PK'!D14</f>
        <v>Bộ xà kép L75x75x8 dài 2.2m: X-22K-K - C810 (lắp theo hướng trụ ghép)</v>
      </c>
      <c r="D140" s="1390">
        <f ca="1">'6PK'!G14</f>
        <v>3</v>
      </c>
      <c r="E140" s="1908" t="str">
        <f>'6PK'!E14</f>
        <v>Bộ</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str">
        <f>'6PK'!D21</f>
        <v>Bộ xà lệch đơn L75x75x8 dài 2,1m: X-21ĐL</v>
      </c>
      <c r="D149" s="1390">
        <f ca="1">'6PK'!G21</f>
        <v>3</v>
      </c>
      <c r="E149" s="1908" t="str">
        <f>'6PK'!E21</f>
        <v>Bộ</v>
      </c>
    </row>
    <row r="150" spans="2:5" hidden="1">
      <c r="B150" s="1385"/>
      <c r="C150" s="1389" t="str">
        <f>'6PK'!D22</f>
        <v>Bộ xà lệch kép L75x75x8 dài 2,1m: X-21KL</v>
      </c>
      <c r="D150" s="1390">
        <f ca="1">'6PK'!G22</f>
        <v>1</v>
      </c>
      <c r="E150" s="1908" t="str">
        <f>'6PK'!E22</f>
        <v>Bộ</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str">
        <f>'6PK'!D39</f>
        <v>Bộ Uclevis đỡ dây trung hòa</v>
      </c>
      <c r="D162" s="1390">
        <f ca="1">'6PK'!G39</f>
        <v>4</v>
      </c>
      <c r="E162" s="1908" t="str">
        <f>'6PK'!E39</f>
        <v>bộ</v>
      </c>
    </row>
    <row r="163" spans="2:5" hidden="1">
      <c r="B163" s="1385"/>
      <c r="C163" s="1389" t="e">
        <f>'6PK'!D40</f>
        <v>#N/A</v>
      </c>
      <c r="D163" s="1390">
        <f ca="1">'6PK'!G40</f>
        <v>0</v>
      </c>
      <c r="E163" s="1908" t="e">
        <f>'6PK'!E40</f>
        <v>#N/A</v>
      </c>
    </row>
    <row r="164" spans="2:5" hidden="1">
      <c r="B164" s="1385"/>
      <c r="C164" s="1389" t="str">
        <f>'6PK'!D41</f>
        <v>Bộ khóa néo dây trung hòa vào trụ đơn</v>
      </c>
      <c r="D164" s="1390">
        <f ca="1">'6PK'!G41</f>
        <v>1</v>
      </c>
      <c r="E164" s="1908" t="str">
        <f>'6PK'!E41</f>
        <v>bộ</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str">
        <f>'6PK'!D45</f>
        <v>Bộ khóa néo dây trung hòa vào trụ ghép</v>
      </c>
      <c r="D168" s="1390">
        <f ca="1">'6PK'!G45</f>
        <v>5</v>
      </c>
      <c r="E168" s="1908" t="str">
        <f>'6PK'!E45</f>
        <v>bộ</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33</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str">
        <f>'6PK'!D52</f>
        <v>Sứ treo polymer</v>
      </c>
      <c r="D183" s="1390">
        <f ca="1">'6PK'!G52</f>
        <v>22</v>
      </c>
      <c r="E183" s="1908" t="str">
        <f>'6PK'!E52</f>
        <v>chuỗi</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795.6 mét.</v>
      </c>
      <c r="D199" s="1387">
        <f ca="1">'7day'!G5</f>
        <v>795.6</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4</v>
      </c>
      <c r="E205" s="1392"/>
    </row>
    <row r="206" spans="2:7">
      <c r="B206" s="1385"/>
      <c r="C206" s="1386" t="str">
        <f ca="1">'8TB'!D3&amp;": "&amp;'8TB'!F3&amp;" "&amp;'8TB'!E3</f>
        <v>FCO 24kV - 100A: 4 cái</v>
      </c>
      <c r="D206" s="1387">
        <f ca="1">'8TB'!F4</f>
        <v>3</v>
      </c>
      <c r="E206" s="1392"/>
    </row>
    <row r="207" spans="2:7" hidden="1">
      <c r="B207" s="1385"/>
      <c r="C207" s="1386" t="str">
        <f ca="1">'8TB'!D4&amp;": "&amp;'8TB'!F4&amp;" "&amp;'8TB'!E4</f>
        <v>FCO 24KV - 200A : 3 cái</v>
      </c>
      <c r="D207" s="1387">
        <f ca="1">'8TB'!F5</f>
        <v>12</v>
      </c>
      <c r="E207" s="1392"/>
    </row>
    <row r="208" spans="2:7">
      <c r="B208" s="1385"/>
      <c r="C208" s="1386" t="str">
        <f ca="1">'8TB'!D5&amp;": "&amp;'8TB'!F5&amp;" "&amp;'8TB'!E5</f>
        <v>Chống sét van LA-18KV-10KA: 12 cái</v>
      </c>
      <c r="D208" s="1387">
        <f ca="1">'8TB'!F6</f>
        <v>1</v>
      </c>
      <c r="E208" s="1392"/>
    </row>
    <row r="209" spans="2:7" hidden="1">
      <c r="B209" s="1385"/>
      <c r="C209" s="1386" t="str">
        <f ca="1">'8TB'!D6&amp;": "&amp;'8TB'!F6&amp;" "&amp;'8TB'!E6</f>
        <v>ACB 3P - 1600A - 65KA (nạp lò xo bằng tay): 1 cái</v>
      </c>
      <c r="D209" s="1387">
        <f ca="1">'8TB'!F7</f>
        <v>33</v>
      </c>
      <c r="E209" s="1392"/>
    </row>
    <row r="210" spans="2:7" hidden="1">
      <c r="B210" s="1385"/>
      <c r="C210" s="1386" t="str">
        <f ca="1">'8TB'!D7&amp;": "&amp;'8TB'!F7&amp;" "&amp;'8TB'!E7</f>
        <v>Sứ đứng 24KV : 33 chuỗi</v>
      </c>
      <c r="D210" s="1387">
        <f ca="1">'8TB'!F8</f>
        <v>22</v>
      </c>
      <c r="E210" s="1392"/>
    </row>
    <row r="211" spans="2:7" s="1208" customFormat="1">
      <c r="B211" s="1385"/>
      <c r="C211" s="1386" t="str">
        <f ca="1">'8TB'!D8&amp;": "&amp;'8TB'!F8&amp;" "&amp;'8TB'!E8</f>
        <v>Sứ treo polymer: 22 chuỗi</v>
      </c>
      <c r="D211" s="1387">
        <f ca="1">'8TB'!F9</f>
        <v>46</v>
      </c>
      <c r="E211" s="1392"/>
      <c r="G211" s="1371"/>
    </row>
    <row r="212" spans="2:7" s="1208" customFormat="1" hidden="1">
      <c r="B212" s="1385"/>
      <c r="C212" s="1386" t="str">
        <f ca="1">'8TB'!D9&amp;": "&amp;'8TB'!F9&amp;" "&amp;'8TB'!E9</f>
        <v>Cáp đồng bọc 24KV-CXV-25: 46 mét</v>
      </c>
      <c r="D212" s="1387">
        <f ca="1">'8TB'!F10</f>
        <v>72</v>
      </c>
      <c r="E212" s="1392"/>
      <c r="G212" s="1371"/>
    </row>
    <row r="213" spans="2:7" s="1208" customFormat="1" hidden="1">
      <c r="B213" s="1385"/>
      <c r="C213" s="1386" t="str">
        <f ca="1">'8TB'!D10&amp;": "&amp;'8TB'!F10&amp;" "&amp;'8TB'!E10</f>
        <v>Cáp đồng bọc CV240: 72 mét</v>
      </c>
      <c r="D213" s="1387">
        <f ca="1">'8TB'!F11</f>
        <v>33</v>
      </c>
      <c r="E213" s="1392"/>
      <c r="G213" s="1371"/>
    </row>
    <row r="214" spans="2:7" s="1208" customFormat="1" hidden="1">
      <c r="B214" s="1385"/>
      <c r="C214" s="1386" t="str">
        <f ca="1">'8TB'!D11&amp;": "&amp;'8TB'!F11&amp;" "&amp;'8TB'!E11</f>
        <v>Cáp CVV 4x4mm2  : 33 mét</v>
      </c>
      <c r="D214" s="1387">
        <f ca="1">'8TB'!F12</f>
        <v>19.5</v>
      </c>
      <c r="E214" s="1392"/>
      <c r="G214" s="1371"/>
    </row>
    <row r="215" spans="2:7" s="1208" customFormat="1" hidden="1">
      <c r="B215" s="1385"/>
      <c r="C215" s="1386" t="str">
        <f ca="1">'8TB'!D12&amp;": "&amp;'8TB'!F12&amp;" "&amp;'8TB'!E12</f>
        <v>Cáp đồng bọc 24KV-CXV-50: 19.5 mét</v>
      </c>
      <c r="D215" s="1387">
        <f ca="1">'8TB'!F13</f>
        <v>795.6</v>
      </c>
      <c r="E215" s="1392"/>
      <c r="G215" s="1371"/>
    </row>
    <row r="216" spans="2:7" s="1208" customFormat="1" hidden="1">
      <c r="B216" s="1385"/>
      <c r="C216" s="1386" t="str">
        <f ca="1">'8TB'!D13&amp;": "&amp;'8TB'!F13&amp;" "&amp;'8TB'!E13</f>
        <v>Cáp 24KV ACXH 50mm2: 795.6 mét</v>
      </c>
      <c r="D216" s="1387">
        <f ca="1">'8TB'!F14</f>
        <v>1</v>
      </c>
      <c r="E216" s="1392"/>
      <c r="G216" s="1371"/>
    </row>
    <row r="217" spans="2:7" s="1208" customFormat="1" ht="33.6" hidden="1">
      <c r="B217" s="1385"/>
      <c r="C217" s="1386" t="str">
        <f ca="1">'8TB'!D14&amp;": "&amp;'8TB'!F14&amp;" "&amp;'8TB'!E14</f>
        <v xml:space="preserve"> LBS SF6 3pha 24kV 630A - 16kA (MBA cấp nguồn + Phụ kiện): 1 mét</v>
      </c>
      <c r="D217" s="1387">
        <f ca="1">'8TB'!F15</f>
        <v>25.981999999999999</v>
      </c>
      <c r="E217" s="1392"/>
      <c r="G217" s="1371"/>
    </row>
    <row r="218" spans="2:7" s="1208" customFormat="1">
      <c r="B218" s="1385"/>
      <c r="C218" s="1386" t="str">
        <f ca="1">'8TB'!D15&amp;": "&amp;'8TB'!F15&amp;" "&amp;'8TB'!E15</f>
        <v>Cáp đồng trần M25mm2: 25.982 Bộ</v>
      </c>
      <c r="D218" s="1387">
        <f ca="1">'8TB'!F16</f>
        <v>12</v>
      </c>
      <c r="E218" s="1392"/>
      <c r="G218" s="1371"/>
    </row>
    <row r="219" spans="2:7" s="1208" customFormat="1">
      <c r="B219" s="1385"/>
      <c r="C219" s="1386" t="str">
        <f ca="1">'8TB'!D16&amp;": "&amp;'8TB'!F16&amp;" "&amp;'8TB'!E16</f>
        <v>Trụ BTLT 12m F540 dự ứng lực: 12 kg</v>
      </c>
      <c r="D219" s="1387">
        <f ca="1">'8TB'!F17</f>
        <v>51.713999999999999</v>
      </c>
      <c r="E219" s="1392"/>
      <c r="G219" s="1371"/>
    </row>
    <row r="220" spans="2:7" s="1208" customFormat="1">
      <c r="B220" s="1385"/>
      <c r="C220" s="1386" t="str">
        <f ca="1">'8TB'!D17&amp;": "&amp;'8TB'!F17&amp;" "&amp;'8TB'!E17</f>
        <v>Cáp nhôm lõi thép AC-50/8: 51.714 trụ</v>
      </c>
      <c r="D220" s="1387">
        <f ca="1">'8TB'!F18</f>
        <v>3</v>
      </c>
      <c r="E220" s="1392"/>
      <c r="G220" s="1371"/>
    </row>
    <row r="221" spans="2:7" s="1208" customFormat="1" hidden="1">
      <c r="B221" s="1385"/>
      <c r="C221" s="1386" t="str">
        <f ca="1">'8TB'!D18&amp;": "&amp;'8TB'!F18&amp;" "&amp;'8TB'!E18</f>
        <v>Dây chảy 40K: 3 kg</v>
      </c>
      <c r="D221" s="1387">
        <f ca="1">'8TB'!F19</f>
        <v>95565</v>
      </c>
      <c r="E221" s="1392"/>
      <c r="G221" s="1371"/>
    </row>
    <row r="222" spans="2:7" s="1208" customFormat="1" hidden="1">
      <c r="B222" s="1385"/>
      <c r="C222" s="1386" t="e">
        <f ca="1">'8TB'!D19&amp;": "&amp;'8TB'!F19&amp;" "&amp;'8TB'!E19</f>
        <v>#N/A</v>
      </c>
      <c r="D222" s="1387">
        <f ca="1">'8TB'!F20</f>
        <v>95565</v>
      </c>
      <c r="E222" s="1392"/>
      <c r="G222" s="1371"/>
    </row>
    <row r="223" spans="2:7" s="1208" customFormat="1">
      <c r="B223" s="1385"/>
      <c r="C223" s="1386" t="e">
        <f ca="1">'8TB'!D20&amp;": "&amp;'8TB'!F20&amp;" "&amp;'8TB'!E20</f>
        <v>#N/A</v>
      </c>
      <c r="D223" s="1387">
        <f ca="1">'8TB'!F21</f>
        <v>95565</v>
      </c>
      <c r="E223" s="1392"/>
      <c r="G223" s="1371"/>
    </row>
    <row r="224" spans="2:7" s="1208" customFormat="1">
      <c r="B224" s="1385"/>
      <c r="C224" s="1386" t="e">
        <f ca="1">'8TB'!D21&amp;": "&amp;'8TB'!F21&amp;" "&amp;'8TB'!E21</f>
        <v>#N/A</v>
      </c>
      <c r="D224" s="1387">
        <f ca="1">'8TB'!F22</f>
        <v>95565</v>
      </c>
      <c r="E224" s="1392"/>
      <c r="G224" s="1371"/>
    </row>
    <row r="225" spans="2:7" s="1208" customFormat="1" hidden="1">
      <c r="B225" s="1385"/>
      <c r="C225" s="1386" t="e">
        <f ca="1">'8TB'!D22&amp;": "&amp;'8TB'!F22&amp;" "&amp;'8TB'!E22</f>
        <v>#N/A</v>
      </c>
      <c r="D225" s="1387">
        <f ca="1">'8TB'!F23</f>
        <v>95565</v>
      </c>
      <c r="E225" s="1392"/>
      <c r="G225" s="1371"/>
    </row>
    <row r="226" spans="2:7" s="1208" customFormat="1" hidden="1">
      <c r="B226" s="1385"/>
      <c r="C226" s="1386" t="str">
        <f ca="1">'8TB'!D23&amp;": "&amp;'8TB'!F23&amp;" "&amp;'8TB'!E23</f>
        <v>B. PHẦN VẬT LIỆU: 95565 bộ</v>
      </c>
      <c r="D226" s="1387">
        <f ca="1">'8TB'!F24</f>
        <v>95565</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t="33.6" hidden="1">
      <c r="B235" s="1385"/>
      <c r="C235" s="1389" t="str">
        <f>'9TD'!D35</f>
        <v xml:space="preserve">     - Cáp đồng trần M25mm2: 10m noái leân voû caùc thieát bò: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Dây buộc đầu sứ cỡ dây 50mm2: 21 cái.</v>
      </c>
      <c r="D260" s="1387">
        <f>'10DN'!L8</f>
        <v>0</v>
      </c>
      <c r="E260" s="1388"/>
    </row>
    <row r="261" spans="2:7" hidden="1">
      <c r="B261" s="1385"/>
      <c r="C261" s="1389" t="str">
        <f>'10DN'!D9</f>
        <v xml:space="preserve">    - Dây buộc cổ sứ đôi cỡ dây 50 mm2: 6 cái.</v>
      </c>
      <c r="D261" s="1387">
        <f>'10DN'!L9</f>
        <v>0</v>
      </c>
      <c r="E261" s="1388"/>
    </row>
    <row r="262" spans="2:7">
      <c r="B262" s="1385"/>
      <c r="C262" s="1389" t="str">
        <f>'10DN'!D10</f>
        <v xml:space="preserve">    - Kẹp quai 2/0: 7 cái.</v>
      </c>
      <c r="D262" s="1387">
        <f>'10DN'!L10</f>
        <v>0</v>
      </c>
      <c r="E262" s="1388"/>
    </row>
    <row r="263" spans="2:7">
      <c r="B263" s="1385"/>
      <c r="C263" s="1389" t="str">
        <f>'10DN'!D11</f>
        <v xml:space="preserve">    - Kẹp hotline 2/0: 7 cái.</v>
      </c>
      <c r="D263" s="1387">
        <f>'10DN'!L11</f>
        <v>0</v>
      </c>
      <c r="E263" s="1388"/>
    </row>
    <row r="264" spans="2:7">
      <c r="B264" s="1385"/>
      <c r="C264" s="1389" t="str">
        <f>'10DN'!D12</f>
        <v xml:space="preserve">    - Kẹp ép WR cỡ dây 50mm2: 28 cái.</v>
      </c>
      <c r="D264" s="1387">
        <f>'10DN'!L12</f>
        <v>0</v>
      </c>
      <c r="E264" s="1388"/>
    </row>
    <row r="265" spans="2:7" hidden="1">
      <c r="B265" s="1385"/>
      <c r="C265" s="1389" t="str">
        <f>'10DN'!D13</f>
        <v xml:space="preserve">    - Đầu cosse ép Cu-Al 50mm2: 3 cái.</v>
      </c>
      <c r="D265" s="1387">
        <f>'10DN'!L13</f>
        <v>0</v>
      </c>
      <c r="E265" s="1388"/>
    </row>
    <row r="266" spans="2:7" hidden="1">
      <c r="B266" s="1385"/>
      <c r="C266" s="1389" t="str">
        <f>'10DN'!D14</f>
        <v xml:space="preserve">    - Đầu cosse ép Cu 50mm2: 3 cái.</v>
      </c>
      <c r="D266" s="1387">
        <f>'10DN'!L14</f>
        <v>0</v>
      </c>
      <c r="E266" s="1388"/>
    </row>
    <row r="267" spans="2:7" hidden="1">
      <c r="B267" s="1385"/>
      <c r="C267" s="1389" t="str">
        <f>'10DN'!D15</f>
        <v xml:space="preserve">    - Đầu cosse ép Cu 25mm2: 6 cái.</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60" t="s">
        <v>4534</v>
      </c>
      <c r="B1" s="3260"/>
      <c r="C1" s="3260"/>
      <c r="D1" s="3260"/>
      <c r="E1" s="3260"/>
      <c r="F1" s="3260"/>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t="str">
        <f>'NT-VT'!F6</f>
        <v>Thibidi</v>
      </c>
      <c r="F3" s="1302" t="str">
        <f>'NT-VT'!G6</f>
        <v>Thibidi</v>
      </c>
      <c r="G3" s="829">
        <f>IF(D3&gt;0,1,0)</f>
        <v>1</v>
      </c>
      <c r="H3" s="843"/>
      <c r="I3" s="819"/>
    </row>
    <row r="4" spans="1:9" ht="35.1" customHeight="1">
      <c r="A4" s="1302">
        <f>SUM($G$3:G4)</f>
        <v>2</v>
      </c>
      <c r="B4" s="1303" t="str">
        <f>'NT-VT'!C7</f>
        <v>FCO 24kV - 100A</v>
      </c>
      <c r="C4" s="1304" t="str">
        <f>'NT-VT'!D7</f>
        <v>cái</v>
      </c>
      <c r="D4" s="1305">
        <f>'NT-VT'!E7</f>
        <v>4</v>
      </c>
      <c r="E4" s="1302" t="str">
        <f>'NT-VT'!F7</f>
        <v>Chance</v>
      </c>
      <c r="F4" s="1302" t="str">
        <f>'NT-VT'!G7</f>
        <v>Cty TNHH MTV Đại Thiên An</v>
      </c>
      <c r="G4" s="829">
        <f t="shared" ref="G4:G67" si="0">IF(D4&gt;0,1,0)</f>
        <v>1</v>
      </c>
      <c r="H4" s="844"/>
    </row>
    <row r="5" spans="1:9" ht="35.1" customHeight="1">
      <c r="A5" s="1302">
        <f>SUM($G$3:G5)</f>
        <v>3</v>
      </c>
      <c r="B5" s="1303" t="str">
        <f>'NT-VT'!C8</f>
        <v xml:space="preserve">FCO 24KV - 200A </v>
      </c>
      <c r="C5" s="1304" t="str">
        <f>'NT-VT'!D8</f>
        <v>cái</v>
      </c>
      <c r="D5" s="1305">
        <f>'NT-VT'!E8</f>
        <v>3</v>
      </c>
      <c r="E5" s="1302" t="str">
        <f>'NT-VT'!F8</f>
        <v>Chance</v>
      </c>
      <c r="F5" s="1302" t="str">
        <f>'NT-VT'!G8</f>
        <v>Chance</v>
      </c>
      <c r="G5" s="829">
        <f t="shared" si="0"/>
        <v>1</v>
      </c>
      <c r="H5" s="844"/>
    </row>
    <row r="6" spans="1:9" ht="35.1" customHeight="1">
      <c r="A6" s="1302">
        <f>SUM($G$3:G6)</f>
        <v>4</v>
      </c>
      <c r="B6" s="1303" t="str">
        <f>'NT-VT'!C9</f>
        <v>Chống sét van LA-18KV-10KA</v>
      </c>
      <c r="C6" s="1304" t="str">
        <f>'NT-VT'!D9</f>
        <v>cái</v>
      </c>
      <c r="D6" s="1305">
        <f>'NT-VT'!E9</f>
        <v>12</v>
      </c>
      <c r="E6" s="1302" t="str">
        <f>'NT-VT'!F9</f>
        <v>Cooper</v>
      </c>
      <c r="F6" s="1302" t="str">
        <f>'NT-VT'!G9</f>
        <v>Cooper</v>
      </c>
      <c r="G6" s="829">
        <f t="shared" si="0"/>
        <v>1</v>
      </c>
      <c r="H6" s="844"/>
    </row>
    <row r="7" spans="1:9" ht="35.1" customHeight="1">
      <c r="A7" s="1302">
        <f>SUM($G$3:G7)</f>
        <v>5</v>
      </c>
      <c r="B7" s="1303" t="str">
        <f>'NT-VT'!C10</f>
        <v>ACB 3P - 1600A - 65KA (nạp lò xo bằng tay)</v>
      </c>
      <c r="C7" s="1304" t="str">
        <f>'NT-VT'!D10</f>
        <v>cái</v>
      </c>
      <c r="D7" s="1305">
        <f>'NT-VT'!E10</f>
        <v>1</v>
      </c>
      <c r="E7" s="1302" t="str">
        <f>'NT-VT'!F10</f>
        <v>Himel</v>
      </c>
      <c r="F7" s="1302" t="str">
        <f>'NT-VT'!G10</f>
        <v>Himel</v>
      </c>
      <c r="G7" s="829">
        <f t="shared" si="0"/>
        <v>1</v>
      </c>
      <c r="H7" s="843"/>
      <c r="I7" s="819"/>
    </row>
    <row r="8" spans="1:9" ht="35.1" customHeight="1">
      <c r="A8" s="1302">
        <f>SUM($G$3:G8)</f>
        <v>6</v>
      </c>
      <c r="B8" s="1303" t="str">
        <f>'NT-VT'!C11</f>
        <v xml:space="preserve">Sứ đứng 24KV </v>
      </c>
      <c r="C8" s="1304" t="str">
        <f>'NT-VT'!D11</f>
        <v>cái</v>
      </c>
      <c r="D8" s="1305">
        <f>'NT-VT'!E11</f>
        <v>33</v>
      </c>
      <c r="E8" s="1302" t="str">
        <f>'NT-VT'!F11</f>
        <v>Minh Long</v>
      </c>
      <c r="F8" s="1302" t="str">
        <f>'NT-VT'!G11</f>
        <v>Minh Long</v>
      </c>
      <c r="G8" s="829">
        <f t="shared" si="0"/>
        <v>1</v>
      </c>
      <c r="H8" s="843"/>
      <c r="I8" s="819"/>
    </row>
    <row r="9" spans="1:9" ht="35.1" customHeight="1">
      <c r="A9" s="1302">
        <f>SUM($G$3:G9)</f>
        <v>7</v>
      </c>
      <c r="B9" s="1303" t="str">
        <f>'NT-VT'!C12</f>
        <v>Sứ treo polymer</v>
      </c>
      <c r="C9" s="1304" t="str">
        <f>'NT-VT'!D12</f>
        <v>chuỗi</v>
      </c>
      <c r="D9" s="1305">
        <f>'NT-VT'!E12</f>
        <v>22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Cáp đồng bọc 24KV-CXV-25</v>
      </c>
      <c r="C10" s="1304" t="str">
        <f>'NT-VT'!D13</f>
        <v>mét</v>
      </c>
      <c r="D10" s="1305">
        <f>'NT-VT'!E13</f>
        <v>46</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bọc CV240</v>
      </c>
      <c r="C11" s="1304" t="str">
        <f>'NT-VT'!D14</f>
        <v>mét</v>
      </c>
      <c r="D11" s="1305">
        <f>'NT-VT'!E14</f>
        <v>72</v>
      </c>
      <c r="E11" s="1302" t="str">
        <f>'NT-VT'!F15</f>
        <v>Cty TNHHSX-TM Dây &amp; Cáp Điện Tài Trường Thành</v>
      </c>
      <c r="F11" s="1302" t="str">
        <f>'NT-VT'!G15</f>
        <v>Cty TNHHSX-TM Dây &amp; Cáp Điện Tài Trường Thành</v>
      </c>
      <c r="G11" s="829">
        <f t="shared" si="0"/>
        <v>1</v>
      </c>
      <c r="H11" s="844"/>
    </row>
    <row r="12" spans="1:9" ht="35.1" customHeight="1">
      <c r="A12" s="1302">
        <f>SUM($G$3:G12)</f>
        <v>10</v>
      </c>
      <c r="B12" s="1303" t="str">
        <f>'NT-VT'!C15</f>
        <v xml:space="preserve">Cáp CVV 4x4mm2  </v>
      </c>
      <c r="C12" s="1304" t="str">
        <f>'NT-VT'!D15</f>
        <v>mét</v>
      </c>
      <c r="D12" s="1305">
        <f>'NT-VT'!E15</f>
        <v>33</v>
      </c>
      <c r="E12" s="1302" t="str">
        <f>'NT-VT'!F16</f>
        <v>Cty TNHHSX-TM Dây &amp; Cáp Điện Tài Trường Thành</v>
      </c>
      <c r="F12" s="1302" t="str">
        <f>'NT-VT'!G16</f>
        <v>Cty TNHHSX-TM Dây &amp; Cáp Điện Tài Trường Thành</v>
      </c>
      <c r="G12" s="829">
        <f t="shared" si="0"/>
        <v>1</v>
      </c>
      <c r="H12" s="843"/>
      <c r="I12" s="819"/>
    </row>
    <row r="13" spans="1:9" ht="35.1" customHeight="1">
      <c r="A13" s="1302">
        <f>SUM($G$3:G13)</f>
        <v>11</v>
      </c>
      <c r="B13" s="1303" t="str">
        <f>'NT-VT'!C16</f>
        <v>Cáp đồng bọc 24KV-CXV-50</v>
      </c>
      <c r="C13" s="1304" t="str">
        <f>'NT-VT'!D16</f>
        <v>mét</v>
      </c>
      <c r="D13" s="1305">
        <f>'NT-VT'!E16</f>
        <v>19.5</v>
      </c>
      <c r="E13" s="1302" t="str">
        <f>'NT-VT'!F17</f>
        <v>Cty TNHHSX-TM Dây &amp; Cáp Điện Tài Trường Thành</v>
      </c>
      <c r="F13" s="1302" t="str">
        <f>'NT-VT'!G17</f>
        <v>Cty TNHHSX-TM Dây &amp; Cáp Điện Tài Trường Thành</v>
      </c>
      <c r="G13" s="829">
        <f t="shared" si="0"/>
        <v>1</v>
      </c>
      <c r="H13" s="843"/>
      <c r="I13" s="819"/>
    </row>
    <row r="14" spans="1:9" ht="35.1" customHeight="1">
      <c r="A14" s="1302">
        <f>SUM($G$3:G14)</f>
        <v>12</v>
      </c>
      <c r="B14" s="1303" t="str">
        <f>'NT-VT'!C17</f>
        <v>Cáp 24KV ACXH 50mm2</v>
      </c>
      <c r="C14" s="1304" t="str">
        <f>'NT-VT'!D17</f>
        <v>mét</v>
      </c>
      <c r="D14" s="1305">
        <f>'NT-VT'!E17</f>
        <v>795.6</v>
      </c>
      <c r="E14" s="1302">
        <f>'NT-VT'!F18</f>
        <v>0</v>
      </c>
      <c r="F14" s="1302">
        <f>'NT-VT'!G18</f>
        <v>0</v>
      </c>
      <c r="G14" s="829">
        <f t="shared" si="0"/>
        <v>1</v>
      </c>
      <c r="H14" s="843"/>
      <c r="I14" s="819"/>
    </row>
    <row r="15" spans="1:9" ht="35.1" customHeight="1">
      <c r="A15" s="1302">
        <f>SUM($G$3:G15)</f>
        <v>13</v>
      </c>
      <c r="B15" s="1303" t="str">
        <f>'NT-VT'!C18</f>
        <v xml:space="preserve"> LBS SF6 3pha 24kV 630A - 16kA (MBA cấp nguồn + Phụ kiện)</v>
      </c>
      <c r="C15" s="1304" t="str">
        <f>'NT-VT'!D18</f>
        <v>Bộ</v>
      </c>
      <c r="D15" s="1305">
        <f>'NT-VT'!E18</f>
        <v>1</v>
      </c>
      <c r="E15" s="1302" t="str">
        <f>'NT-VT'!F19</f>
        <v>Cty TNHHSX-TM Dây &amp; Cáp Điện Tài Trường Thành</v>
      </c>
      <c r="F15" s="1302" t="str">
        <f>'NT-VT'!G19</f>
        <v>Cty TNHHSX-TM Dây &amp; Cáp Điện Tài Trường Thành</v>
      </c>
      <c r="G15" s="829">
        <f t="shared" si="0"/>
        <v>1</v>
      </c>
      <c r="H15" s="843"/>
      <c r="I15" s="819"/>
    </row>
    <row r="16" spans="1:9" ht="35.1" customHeight="1">
      <c r="A16" s="1302">
        <f>SUM($G$3:G16)</f>
        <v>14</v>
      </c>
      <c r="B16" s="1303" t="str">
        <f>'NT-VT'!C19</f>
        <v>Cáp đồng trần M25mm2: 10m noái leân voû caùc thieát bò</v>
      </c>
      <c r="C16" s="1304" t="str">
        <f>'NT-VT'!D19</f>
        <v>kg</v>
      </c>
      <c r="D16" s="1305">
        <f>'NT-VT'!E19</f>
        <v>25.981999999999999</v>
      </c>
      <c r="E16" s="1302" t="str">
        <f>'NT-VT'!F20</f>
        <v>Cty Cổ phần Bê tông ly tâm Thủ Đức</v>
      </c>
      <c r="F16" s="1302" t="str">
        <f>'NT-VT'!G20</f>
        <v>Cty Cổ phần Bê tông ly tâm Thủ Đức</v>
      </c>
      <c r="G16" s="829">
        <f t="shared" si="0"/>
        <v>1</v>
      </c>
      <c r="H16" s="843"/>
      <c r="I16" s="819"/>
    </row>
    <row r="17" spans="1:9" ht="35.1" customHeight="1">
      <c r="A17" s="1302">
        <f>SUM($G$3:G17)</f>
        <v>15</v>
      </c>
      <c r="B17" s="1303" t="str">
        <f>'NT-VT'!C20</f>
        <v>Trụ BTLT 12m F540 dự ứng lực</v>
      </c>
      <c r="C17" s="1304" t="str">
        <f>'NT-VT'!D20</f>
        <v>trụ</v>
      </c>
      <c r="D17" s="1305">
        <f>'NT-VT'!E20</f>
        <v>12</v>
      </c>
      <c r="E17" s="1302" t="str">
        <f>'NT-VT'!F21</f>
        <v>Cty TNHHSX-TM Dây &amp; Cáp Điện Tài Trường Thành</v>
      </c>
      <c r="F17" s="1302" t="str">
        <f>'NT-VT'!G21</f>
        <v>Cty TNHHSX-TM Dây &amp; Cáp Điện Tài Trường Thành</v>
      </c>
      <c r="G17" s="829">
        <f t="shared" si="0"/>
        <v>1</v>
      </c>
      <c r="H17" s="843"/>
      <c r="I17" s="845"/>
    </row>
    <row r="18" spans="1:9" ht="35.1" customHeight="1">
      <c r="A18" s="1302">
        <f>SUM($G$3:G18)</f>
        <v>16</v>
      </c>
      <c r="B18" s="1303" t="str">
        <f>'NT-VT'!C21</f>
        <v>Cáp nhôm lõi thép AC-50/8</v>
      </c>
      <c r="C18" s="1304" t="str">
        <f>'NT-VT'!D21</f>
        <v>kg</v>
      </c>
      <c r="D18" s="1305">
        <f>'NT-VT'!E21</f>
        <v>51.713999999999999</v>
      </c>
      <c r="E18" s="1302" t="str">
        <f>'NT-VT'!F22</f>
        <v>Cty TNHH MTV Đại Thiên An</v>
      </c>
      <c r="F18" s="1302" t="str">
        <f>'NT-VT'!G22</f>
        <v>Cty TNHH MTV Đại Thiên An</v>
      </c>
      <c r="G18" s="829">
        <f t="shared" si="0"/>
        <v>1</v>
      </c>
      <c r="H18" s="843"/>
      <c r="I18" s="845"/>
    </row>
    <row r="19" spans="1:9" ht="35.1" customHeight="1">
      <c r="A19" s="1302">
        <f>SUM($G$3:G19)</f>
        <v>17</v>
      </c>
      <c r="B19" s="1303" t="str">
        <f>'NT-VT'!C22</f>
        <v>Dây chảy 40K</v>
      </c>
      <c r="C19" s="1304" t="str">
        <f>'NT-VT'!D22</f>
        <v>Sợi</v>
      </c>
      <c r="D19" s="1305">
        <f>'NT-VT'!E22</f>
        <v>3</v>
      </c>
      <c r="E19" s="1302" t="str">
        <f>'NT-VT'!F23</f>
        <v>nt</v>
      </c>
      <c r="F19" s="1302" t="str">
        <f>'NT-VT'!G23</f>
        <v>nt</v>
      </c>
      <c r="G19" s="829">
        <f t="shared" si="0"/>
        <v>1</v>
      </c>
      <c r="H19" s="843"/>
      <c r="I19" s="845"/>
    </row>
    <row r="20" spans="1:9" ht="35.1" customHeight="1">
      <c r="A20" s="1302">
        <f>SUM($G$3:G20)</f>
        <v>18</v>
      </c>
      <c r="B20" s="1303" t="str">
        <f>'NT-VT'!C23</f>
        <v>Xà composite 110x800x5 dài 2,4m</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Chống composite 40x10x920</v>
      </c>
      <c r="C21" s="1304" t="str">
        <f>'NT-VT'!D24</f>
        <v>cái</v>
      </c>
      <c r="D21" s="1305">
        <f>'NT-VT'!E24</f>
        <v>4</v>
      </c>
      <c r="E21" s="1302" t="str">
        <f>'NT-VT'!F25</f>
        <v>nt</v>
      </c>
      <c r="F21" s="1302" t="str">
        <f>'NT-VT'!G25</f>
        <v>nt</v>
      </c>
      <c r="G21" s="829">
        <f t="shared" si="0"/>
        <v>1</v>
      </c>
      <c r="H21" s="843"/>
      <c r="I21" s="819"/>
    </row>
    <row r="22" spans="1:9" ht="35.1" customHeight="1">
      <c r="A22" s="1302">
        <f>SUM($G$3:G22)</f>
        <v>20</v>
      </c>
      <c r="B22" s="1303" t="str">
        <f>'NT-VT'!C25</f>
        <v>Boulon 16x250+ 2 long đền vuông D18-50x50x3/Zn</v>
      </c>
      <c r="C22" s="1304" t="str">
        <f>'NT-VT'!D25</f>
        <v>bộ</v>
      </c>
      <c r="D22" s="1305">
        <f>'NT-VT'!E25</f>
        <v>3</v>
      </c>
      <c r="E22" s="1302" t="str">
        <f>'NT-VT'!F26</f>
        <v>nt</v>
      </c>
      <c r="F22" s="1302" t="str">
        <f>'NT-VT'!G26</f>
        <v>nt</v>
      </c>
      <c r="G22" s="829">
        <f t="shared" si="0"/>
        <v>1</v>
      </c>
      <c r="H22" s="843"/>
      <c r="I22" s="819"/>
    </row>
    <row r="23" spans="1:9" ht="35.1" customHeight="1">
      <c r="A23" s="1302">
        <f>SUM($G$3:G23)</f>
        <v>21</v>
      </c>
      <c r="B23" s="1303" t="str">
        <f>'NT-VT'!C26</f>
        <v>Boulon 16x350+ 2 long đền vuông D18-50x50x3/Zn</v>
      </c>
      <c r="C23" s="1304" t="str">
        <f>'NT-VT'!D26</f>
        <v>bộ</v>
      </c>
      <c r="D23" s="1305">
        <f>'NT-VT'!E26</f>
        <v>6</v>
      </c>
      <c r="E23" s="1302" t="str">
        <f>'NT-VT'!F27</f>
        <v>nt</v>
      </c>
      <c r="F23" s="1302" t="str">
        <f>'NT-VT'!G27</f>
        <v>nt</v>
      </c>
      <c r="G23" s="829">
        <f t="shared" si="0"/>
        <v>1</v>
      </c>
      <c r="H23" s="843"/>
      <c r="I23" s="845"/>
    </row>
    <row r="24" spans="1:9" ht="35.1" customHeight="1">
      <c r="A24" s="1302">
        <f>SUM($G$3:G24)</f>
        <v>22</v>
      </c>
      <c r="B24" s="1303" t="str">
        <f>'NT-VT'!C27</f>
        <v>Bass LL bắt FCO, LA</v>
      </c>
      <c r="C24" s="1304" t="str">
        <f>'NT-VT'!D27</f>
        <v>bộ</v>
      </c>
      <c r="D24" s="1305">
        <f>'NT-VT'!E27</f>
        <v>3</v>
      </c>
      <c r="E24" s="1302" t="str">
        <f>'NT-VT'!F28</f>
        <v>nt</v>
      </c>
      <c r="F24" s="1302" t="str">
        <f>'NT-VT'!G28</f>
        <v>nt</v>
      </c>
      <c r="G24" s="829">
        <f t="shared" si="0"/>
        <v>1</v>
      </c>
      <c r="H24" s="843"/>
      <c r="I24" s="845"/>
    </row>
    <row r="25" spans="1:9" ht="35.1" customHeight="1">
      <c r="A25" s="1302">
        <f>SUM($G$3:G25)</f>
        <v>23</v>
      </c>
      <c r="B25" s="1303" t="str">
        <f>'NT-VT'!C28</f>
        <v>Bass LI bắt FCO</v>
      </c>
      <c r="C25" s="1304" t="str">
        <f>'NT-VT'!D28</f>
        <v>Bộ</v>
      </c>
      <c r="D25" s="1305">
        <f>'NT-VT'!E28</f>
        <v>3</v>
      </c>
      <c r="E25" s="1302" t="str">
        <f>'NT-VT'!F29</f>
        <v>nt</v>
      </c>
      <c r="F25" s="1302" t="str">
        <f>'NT-VT'!G29</f>
        <v>nt</v>
      </c>
      <c r="G25" s="829">
        <f t="shared" si="0"/>
        <v>1</v>
      </c>
      <c r="H25" s="843"/>
      <c r="I25" s="819"/>
    </row>
    <row r="26" spans="1:9" ht="35.1" customHeight="1">
      <c r="A26" s="1302">
        <f>SUM($G$3:G26)</f>
        <v>24</v>
      </c>
      <c r="B26" s="1303" t="str">
        <f>'NT-VT'!C29</f>
        <v>Sắt góc L75 x75 x8 x</v>
      </c>
      <c r="C26" s="1304" t="str">
        <f>'NT-VT'!D29</f>
        <v>cái</v>
      </c>
      <c r="D26" s="1305">
        <f>'NT-VT'!E29</f>
        <v>2</v>
      </c>
      <c r="E26" s="1302" t="str">
        <f>'NT-VT'!F30</f>
        <v>nt</v>
      </c>
      <c r="F26" s="1302" t="str">
        <f>'NT-VT'!G30</f>
        <v>nt</v>
      </c>
      <c r="G26" s="829">
        <f t="shared" si="0"/>
        <v>1</v>
      </c>
      <c r="H26" s="843"/>
      <c r="I26" s="819"/>
    </row>
    <row r="27" spans="1:9" ht="35.1" customHeight="1">
      <c r="A27" s="1302">
        <f>SUM($G$3:G27)</f>
        <v>25</v>
      </c>
      <c r="B27" s="1303" t="str">
        <f>'NT-VT'!C30</f>
        <v>Sắt góc L50 x50 x5 x</v>
      </c>
      <c r="C27" s="1304" t="str">
        <f>'NT-VT'!D30</f>
        <v>cái</v>
      </c>
      <c r="D27" s="1305">
        <f>'NT-VT'!E30</f>
        <v>2</v>
      </c>
      <c r="E27" s="1302" t="str">
        <f>'NT-VT'!F31</f>
        <v>nt</v>
      </c>
      <c r="F27" s="1302" t="str">
        <f>'NT-VT'!G31</f>
        <v>nt</v>
      </c>
      <c r="G27" s="829">
        <f t="shared" si="0"/>
        <v>1</v>
      </c>
      <c r="H27" s="843"/>
      <c r="I27" s="819"/>
    </row>
    <row r="28" spans="1:9" ht="35.1" customHeight="1">
      <c r="A28" s="1302">
        <f>SUM($G$3:G28)</f>
        <v>26</v>
      </c>
      <c r="B28" s="1303" t="str">
        <f>'NT-VT'!C31</f>
        <v>Boulon 16x300+ 2 long đền vuông D18-50x50x3/Zn</v>
      </c>
      <c r="C28" s="1304" t="str">
        <f>'NT-VT'!D31</f>
        <v>bộ</v>
      </c>
      <c r="D28" s="1305">
        <f>'NT-VT'!E31</f>
        <v>22</v>
      </c>
      <c r="E28" s="1302" t="str">
        <f>'NT-VT'!F32</f>
        <v>nt</v>
      </c>
      <c r="F28" s="1302" t="str">
        <f>'NT-VT'!G32</f>
        <v>nt</v>
      </c>
      <c r="G28" s="829">
        <f t="shared" si="0"/>
        <v>1</v>
      </c>
      <c r="H28" s="843"/>
      <c r="I28" s="819"/>
    </row>
    <row r="29" spans="1:9" ht="35.1" customHeight="1">
      <c r="A29" s="1302">
        <f>SUM($G$3:G29)</f>
        <v>27</v>
      </c>
      <c r="B29" s="1303" t="str">
        <f>'NT-VT'!C32</f>
        <v>Boulon 16x50+ 2 long đền vuông D18-50x50x3/Zn</v>
      </c>
      <c r="C29" s="1304" t="str">
        <f>'NT-VT'!D32</f>
        <v>bộ</v>
      </c>
      <c r="D29" s="1305">
        <f>'NT-VT'!E32</f>
        <v>35</v>
      </c>
      <c r="E29" s="1302" t="str">
        <f>'NT-VT'!F33</f>
        <v>nt</v>
      </c>
      <c r="F29" s="1302" t="str">
        <f>'NT-VT'!G33</f>
        <v>nt</v>
      </c>
      <c r="G29" s="829">
        <f t="shared" si="0"/>
        <v>1</v>
      </c>
      <c r="H29" s="843"/>
      <c r="I29" s="845"/>
    </row>
    <row r="30" spans="1:9" ht="35.1" customHeight="1">
      <c r="A30" s="1302">
        <f>SUM($G$3:G30)</f>
        <v>28</v>
      </c>
      <c r="B30" s="1303" t="str">
        <f>'NT-VT'!C33</f>
        <v>Boulon 16x300VRS+ 4 long đền vuông D18-50x50x3/Zn</v>
      </c>
      <c r="C30" s="1304" t="str">
        <f>'NT-VT'!D33</f>
        <v>bộ</v>
      </c>
      <c r="D30" s="1305">
        <f>'NT-VT'!E33</f>
        <v>17</v>
      </c>
      <c r="E30" s="1302" t="str">
        <f>'NT-VT'!F34</f>
        <v>nt</v>
      </c>
      <c r="F30" s="1302" t="str">
        <f>'NT-VT'!G34</f>
        <v>nt</v>
      </c>
      <c r="G30" s="829">
        <f t="shared" si="0"/>
        <v>1</v>
      </c>
      <c r="H30" s="844"/>
    </row>
    <row r="31" spans="1:9" ht="35.1" customHeight="1">
      <c r="A31" s="1302">
        <f>SUM($G$3:G31)</f>
        <v>29</v>
      </c>
      <c r="B31" s="1303" t="str">
        <f>'NT-VT'!C34</f>
        <v>Cọc tiếp đất Þ 16- 2,4m + kẹp cọc mạ đồng</v>
      </c>
      <c r="C31" s="1304" t="str">
        <f>'NT-VT'!D34</f>
        <v>bộ</v>
      </c>
      <c r="D31" s="1305">
        <f>'NT-VT'!E34</f>
        <v>20</v>
      </c>
      <c r="E31" s="1302" t="str">
        <f>'NT-VT'!F35</f>
        <v>nt</v>
      </c>
      <c r="F31" s="1302" t="str">
        <f>'NT-VT'!G35</f>
        <v>nt</v>
      </c>
      <c r="G31" s="829">
        <f t="shared" si="0"/>
        <v>1</v>
      </c>
      <c r="H31" s="843"/>
      <c r="I31" s="845"/>
    </row>
    <row r="32" spans="1:9" ht="35.1" customHeight="1">
      <c r="A32" s="1302">
        <f>SUM($G$3:G32)</f>
        <v>30</v>
      </c>
      <c r="B32" s="1303" t="str">
        <f>'NT-VT'!C35</f>
        <v>Kẹp ép WR cỡ dây 50mm2</v>
      </c>
      <c r="C32" s="1304" t="str">
        <f>'NT-VT'!D35</f>
        <v>cái</v>
      </c>
      <c r="D32" s="1305">
        <f>'NT-VT'!E35</f>
        <v>32</v>
      </c>
      <c r="E32" s="1302" t="str">
        <f>'NT-VT'!F36</f>
        <v>nt</v>
      </c>
      <c r="F32" s="1302" t="str">
        <f>'NT-VT'!G36</f>
        <v>nt</v>
      </c>
      <c r="G32" s="829">
        <f t="shared" si="0"/>
        <v>1</v>
      </c>
      <c r="H32" s="843"/>
      <c r="I32" s="845"/>
    </row>
    <row r="33" spans="1:9" ht="35.1" customHeight="1">
      <c r="A33" s="1302">
        <f>SUM($G$3:G33)</f>
        <v>31</v>
      </c>
      <c r="B33" s="1303" t="str">
        <f>'NT-VT'!C36</f>
        <v>Ốc siết cáp cỡ 25mm2</v>
      </c>
      <c r="C33" s="1304" t="str">
        <f>'NT-VT'!D36</f>
        <v>cái</v>
      </c>
      <c r="D33" s="1305">
        <f>'NT-VT'!E36</f>
        <v>21</v>
      </c>
      <c r="E33" s="1302" t="str">
        <f>'NT-VT'!F37</f>
        <v>nt</v>
      </c>
      <c r="F33" s="1302" t="str">
        <f>'NT-VT'!G37</f>
        <v>nt</v>
      </c>
      <c r="G33" s="829">
        <f t="shared" si="0"/>
        <v>1</v>
      </c>
      <c r="H33" s="844"/>
    </row>
    <row r="34" spans="1:9" ht="35.1" customHeight="1">
      <c r="A34" s="1302">
        <f>SUM($G$3:G34)</f>
        <v>32</v>
      </c>
      <c r="B34" s="1303" t="str">
        <f>'NT-VT'!C37</f>
        <v>Tủ ACB + thanh cái 1600A</v>
      </c>
      <c r="C34" s="1304" t="str">
        <f>'NT-VT'!D37</f>
        <v>cái</v>
      </c>
      <c r="D34" s="1305">
        <f>'NT-VT'!E37</f>
        <v>1</v>
      </c>
      <c r="E34" s="1302" t="str">
        <f>'NT-VT'!F38</f>
        <v>nt</v>
      </c>
      <c r="F34" s="1302" t="str">
        <f>'NT-VT'!G38</f>
        <v>nt</v>
      </c>
      <c r="G34" s="829">
        <f t="shared" si="0"/>
        <v>1</v>
      </c>
      <c r="H34" s="843"/>
      <c r="I34" s="845"/>
    </row>
    <row r="35" spans="1:9" ht="35.1" customHeight="1">
      <c r="A35" s="1302">
        <f>SUM($G$3:G35)</f>
        <v>33</v>
      </c>
      <c r="B35" s="1303" t="str">
        <f>'NT-VT'!C38</f>
        <v xml:space="preserve">Bakelit 550x450 dầy 10mm </v>
      </c>
      <c r="C35" s="1304" t="str">
        <f>'NT-VT'!D38</f>
        <v>cái</v>
      </c>
      <c r="D35" s="1305">
        <f>'NT-VT'!E38</f>
        <v>1</v>
      </c>
      <c r="E35" s="1302" t="str">
        <f>'NT-VT'!F39</f>
        <v>nt</v>
      </c>
      <c r="F35" s="1302" t="str">
        <f>'NT-VT'!G39</f>
        <v>nt</v>
      </c>
      <c r="G35" s="829">
        <f t="shared" si="0"/>
        <v>1</v>
      </c>
      <c r="H35" s="843"/>
      <c r="I35" s="845"/>
    </row>
    <row r="36" spans="1:9" ht="35.1" customHeight="1">
      <c r="A36" s="1302">
        <f>SUM($G$3:G36)</f>
        <v>34</v>
      </c>
      <c r="B36" s="1303" t="str">
        <f>'NT-VT'!C39</f>
        <v>Bảng tên trạm, bảng báo nguy hiểm + đinh vít</v>
      </c>
      <c r="C36" s="1304" t="str">
        <f>'NT-VT'!D39</f>
        <v>bộ</v>
      </c>
      <c r="D36" s="1305">
        <f>'NT-VT'!E39</f>
        <v>1</v>
      </c>
      <c r="E36" s="1302" t="str">
        <f>'NT-VT'!F40</f>
        <v>nt</v>
      </c>
      <c r="F36" s="1302" t="str">
        <f>'NT-VT'!G40</f>
        <v>nt</v>
      </c>
      <c r="G36" s="829">
        <f t="shared" si="0"/>
        <v>1</v>
      </c>
      <c r="H36" s="843"/>
      <c r="I36" s="845"/>
    </row>
    <row r="37" spans="1:9" ht="35.1" customHeight="1">
      <c r="A37" s="1302">
        <f>SUM($G$3:G37)</f>
        <v>35</v>
      </c>
      <c r="B37" s="1303" t="str">
        <f>'NT-VT'!C40</f>
        <v>Kẹp quai 4/0</v>
      </c>
      <c r="C37" s="1304" t="str">
        <f>'NT-VT'!D40</f>
        <v>cái</v>
      </c>
      <c r="D37" s="1305">
        <f>'NT-VT'!E40</f>
        <v>3</v>
      </c>
      <c r="E37" s="1302" t="str">
        <f>'NT-VT'!F41</f>
        <v>nt</v>
      </c>
      <c r="F37" s="1302" t="str">
        <f>'NT-VT'!G41</f>
        <v>nt</v>
      </c>
      <c r="G37" s="829">
        <f t="shared" si="0"/>
        <v>1</v>
      </c>
      <c r="H37" s="843"/>
      <c r="I37" s="845"/>
    </row>
    <row r="38" spans="1:9" ht="35.1" customHeight="1">
      <c r="A38" s="1302">
        <f>SUM($G$3:G38)</f>
        <v>36</v>
      </c>
      <c r="B38" s="1303" t="str">
        <f>'NT-VT'!C41</f>
        <v xml:space="preserve">Kẹp hotline 4/0: </v>
      </c>
      <c r="C38" s="1304" t="str">
        <f>'NT-VT'!D41</f>
        <v>cái</v>
      </c>
      <c r="D38" s="1305">
        <f>'NT-VT'!E41</f>
        <v>3</v>
      </c>
      <c r="E38" s="1302" t="str">
        <f>'NT-VT'!F42</f>
        <v>nt</v>
      </c>
      <c r="F38" s="1302" t="str">
        <f>'NT-VT'!G42</f>
        <v>nt</v>
      </c>
      <c r="G38" s="829">
        <f t="shared" si="0"/>
        <v>1</v>
      </c>
      <c r="H38" s="843"/>
      <c r="I38" s="819"/>
    </row>
    <row r="39" spans="1:9" ht="35.1" customHeight="1">
      <c r="A39" s="1302">
        <f>SUM($G$3:G39)</f>
        <v>37</v>
      </c>
      <c r="B39" s="1303" t="str">
        <f>'NT-VT'!C42</f>
        <v>Chụp đầu MBA</v>
      </c>
      <c r="C39" s="1304" t="str">
        <f>'NT-VT'!D42</f>
        <v>cái</v>
      </c>
      <c r="D39" s="1305">
        <f>'NT-VT'!E42</f>
        <v>3</v>
      </c>
      <c r="E39" s="1302" t="str">
        <f>'NT-VT'!F43</f>
        <v>nt</v>
      </c>
      <c r="F39" s="1302" t="str">
        <f>'NT-VT'!G43</f>
        <v>nt</v>
      </c>
      <c r="G39" s="829">
        <f t="shared" si="0"/>
        <v>1</v>
      </c>
      <c r="H39" s="844"/>
    </row>
    <row r="40" spans="1:9" ht="35.1" customHeight="1">
      <c r="A40" s="1302">
        <f>SUM($G$3:G40)</f>
        <v>38</v>
      </c>
      <c r="B40" s="1303" t="str">
        <f>'NT-VT'!C43</f>
        <v>Chụp đầu cực LA</v>
      </c>
      <c r="C40" s="1304" t="str">
        <f>'NT-VT'!D43</f>
        <v>cái</v>
      </c>
      <c r="D40" s="1305">
        <f>'NT-VT'!E43</f>
        <v>6</v>
      </c>
      <c r="E40" s="1302" t="str">
        <f>'NT-VT'!F44</f>
        <v>nt</v>
      </c>
      <c r="F40" s="1302" t="str">
        <f>'NT-VT'!G44</f>
        <v>nt</v>
      </c>
      <c r="G40" s="829">
        <f t="shared" si="0"/>
        <v>1</v>
      </c>
      <c r="H40" s="844"/>
    </row>
    <row r="41" spans="1:9" ht="35.1" customHeight="1">
      <c r="A41" s="1302">
        <f>SUM($G$3:G41)</f>
        <v>39</v>
      </c>
      <c r="B41" s="1303" t="str">
        <f>'NT-VT'!C44</f>
        <v>Chụp đầu cực FCO (bộ 2 cái)</v>
      </c>
      <c r="C41" s="1304" t="str">
        <f>'NT-VT'!D44</f>
        <v>bộ</v>
      </c>
      <c r="D41" s="1305">
        <f>'NT-VT'!E44</f>
        <v>3</v>
      </c>
      <c r="E41" s="1302" t="str">
        <f>'NT-VT'!F45</f>
        <v>nt</v>
      </c>
      <c r="F41" s="1302" t="str">
        <f>'NT-VT'!G45</f>
        <v>nt</v>
      </c>
      <c r="G41" s="829">
        <f t="shared" si="0"/>
        <v>1</v>
      </c>
      <c r="H41" s="843"/>
      <c r="I41" s="845"/>
    </row>
    <row r="42" spans="1:9" ht="35.1" customHeight="1">
      <c r="A42" s="1302">
        <f>SUM($G$3:G42)</f>
        <v>40</v>
      </c>
      <c r="B42" s="1303" t="str">
        <f>'NT-VT'!C45</f>
        <v>Chụp đầu cực TI, TU</v>
      </c>
      <c r="C42" s="1304" t="str">
        <f>'NT-VT'!D45</f>
        <v>Cái</v>
      </c>
      <c r="D42" s="1305">
        <f>'NT-VT'!E45</f>
        <v>9</v>
      </c>
      <c r="E42" s="1302" t="str">
        <f>'NT-VT'!F46</f>
        <v>nt</v>
      </c>
      <c r="F42" s="1302" t="str">
        <f>'NT-VT'!G46</f>
        <v>nt</v>
      </c>
      <c r="G42" s="829">
        <f t="shared" si="0"/>
        <v>1</v>
      </c>
      <c r="H42" s="843"/>
      <c r="I42" s="819"/>
    </row>
    <row r="43" spans="1:9" ht="35.1" customHeight="1">
      <c r="A43" s="1302">
        <f>SUM($G$3:G43)</f>
        <v>41</v>
      </c>
      <c r="B43" s="1303" t="str">
        <f>'NT-VT'!C46</f>
        <v>Chân sứ đứng D20</v>
      </c>
      <c r="C43" s="1304" t="str">
        <f>'NT-VT'!D46</f>
        <v>cái</v>
      </c>
      <c r="D43" s="1305">
        <f>'NT-VT'!E46</f>
        <v>33</v>
      </c>
      <c r="E43" s="1302" t="str">
        <f>'NT-VT'!F47</f>
        <v>nt</v>
      </c>
      <c r="F43" s="1302" t="str">
        <f>'NT-VT'!G47</f>
        <v>nt</v>
      </c>
      <c r="G43" s="829">
        <f t="shared" si="0"/>
        <v>1</v>
      </c>
      <c r="H43" s="843"/>
      <c r="I43" s="845"/>
    </row>
    <row r="44" spans="1:9" ht="35.1" customHeight="1">
      <c r="A44" s="1302">
        <f>SUM($G$3:G44)</f>
        <v>42</v>
      </c>
      <c r="B44" s="1303" t="str">
        <f>'NT-VT'!C47</f>
        <v>Dây buộc đầu sứ cỡ dây 50mm2</v>
      </c>
      <c r="C44" s="1304" t="str">
        <f>'NT-VT'!D47</f>
        <v>cái</v>
      </c>
      <c r="D44" s="1305">
        <f>'NT-VT'!E47</f>
        <v>27</v>
      </c>
      <c r="E44" s="1302" t="str">
        <f>'NT-VT'!F48</f>
        <v>nt</v>
      </c>
      <c r="F44" s="1302" t="str">
        <f>'NT-VT'!G48</f>
        <v>nt</v>
      </c>
      <c r="G44" s="829">
        <f t="shared" si="0"/>
        <v>1</v>
      </c>
      <c r="H44" s="843"/>
      <c r="I44" s="819"/>
    </row>
    <row r="45" spans="1:9" ht="35.1" customHeight="1">
      <c r="A45" s="1302">
        <f>SUM($G$3:G45)</f>
        <v>43</v>
      </c>
      <c r="B45" s="1303" t="str">
        <f>'NT-VT'!C48</f>
        <v>Đầu cosse ép Cu 240mm2</v>
      </c>
      <c r="C45" s="1304" t="str">
        <f>'NT-VT'!D48</f>
        <v>cái</v>
      </c>
      <c r="D45" s="1305">
        <f>'NT-VT'!E48</f>
        <v>28</v>
      </c>
      <c r="E45" s="1302" t="str">
        <f>'NT-VT'!F49</f>
        <v>nt</v>
      </c>
      <c r="F45" s="1302" t="str">
        <f>'NT-VT'!G49</f>
        <v>nt</v>
      </c>
      <c r="G45" s="829">
        <f t="shared" si="0"/>
        <v>1</v>
      </c>
      <c r="H45" s="843"/>
      <c r="I45" s="819"/>
    </row>
    <row r="46" spans="1:9" ht="35.1" customHeight="1">
      <c r="A46" s="1302">
        <f>SUM($G$3:G46)</f>
        <v>44</v>
      </c>
      <c r="B46" s="1303" t="str">
        <f>'NT-VT'!C49</f>
        <v>Chụp đầu cosse  240mm2</v>
      </c>
      <c r="C46" s="1304" t="str">
        <f>'NT-VT'!D49</f>
        <v>cái</v>
      </c>
      <c r="D46" s="1305">
        <f>'NT-VT'!E49</f>
        <v>28</v>
      </c>
      <c r="E46" s="1302" t="str">
        <f>'NT-VT'!F50</f>
        <v>nt</v>
      </c>
      <c r="F46" s="1302" t="str">
        <f>'NT-VT'!G50</f>
        <v>nt</v>
      </c>
      <c r="G46" s="829">
        <f t="shared" si="0"/>
        <v>1</v>
      </c>
      <c r="H46" s="843"/>
      <c r="I46" s="819"/>
    </row>
    <row r="47" spans="1:9" ht="35.1" customHeight="1">
      <c r="A47" s="1302">
        <f>SUM($G$3:G47)</f>
        <v>45</v>
      </c>
      <c r="B47" s="1303" t="str">
        <f>'NT-VT'!C50</f>
        <v xml:space="preserve">Ống PVC D114x4,9mm </v>
      </c>
      <c r="C47" s="1304" t="str">
        <f>'NT-VT'!D50</f>
        <v>m</v>
      </c>
      <c r="D47" s="1305">
        <f>'NT-VT'!E50</f>
        <v>8</v>
      </c>
      <c r="E47" s="1302" t="str">
        <f>'NT-VT'!F51</f>
        <v>nt</v>
      </c>
      <c r="F47" s="1302" t="str">
        <f>'NT-VT'!G51</f>
        <v>nt</v>
      </c>
      <c r="G47" s="829">
        <f t="shared" si="0"/>
        <v>1</v>
      </c>
      <c r="H47" s="843"/>
      <c r="I47" s="819"/>
    </row>
    <row r="48" spans="1:9" ht="35.1" customHeight="1">
      <c r="A48" s="1302">
        <f>SUM($G$3:G48)</f>
        <v>46</v>
      </c>
      <c r="B48" s="1303" t="str">
        <f>'NT-VT'!C51</f>
        <v>Keo silicon bít miệng ống:</v>
      </c>
      <c r="C48" s="1304" t="str">
        <f>'NT-VT'!D51</f>
        <v>ống</v>
      </c>
      <c r="D48" s="1305">
        <f>'NT-VT'!E51</f>
        <v>7</v>
      </c>
      <c r="E48" s="1302" t="str">
        <f>'NT-VT'!F52</f>
        <v>nt</v>
      </c>
      <c r="F48" s="1302" t="str">
        <f>'NT-VT'!G52</f>
        <v>nt</v>
      </c>
      <c r="G48" s="829">
        <f t="shared" si="0"/>
        <v>1</v>
      </c>
      <c r="H48" s="843"/>
      <c r="I48" s="819"/>
    </row>
    <row r="49" spans="1:9" ht="35.1" customHeight="1">
      <c r="A49" s="1302">
        <f>SUM($G$3:G49)</f>
        <v>47</v>
      </c>
      <c r="B49" s="1303" t="str">
        <f>'NT-VT'!C52</f>
        <v>Dây rút cáp</v>
      </c>
      <c r="C49" s="1304" t="str">
        <f>'NT-VT'!D52</f>
        <v>bọc</v>
      </c>
      <c r="D49" s="1305">
        <f>'NT-VT'!E52</f>
        <v>3</v>
      </c>
      <c r="E49" s="1302" t="str">
        <f>'NT-VT'!F53</f>
        <v>nt</v>
      </c>
      <c r="F49" s="1302" t="str">
        <f>'NT-VT'!G53</f>
        <v>nt</v>
      </c>
      <c r="G49" s="829">
        <f t="shared" si="0"/>
        <v>1</v>
      </c>
      <c r="H49" s="843"/>
      <c r="I49" s="819"/>
    </row>
    <row r="50" spans="1:9" ht="35.1" customHeight="1">
      <c r="A50" s="1302">
        <f>SUM($G$3:G50)</f>
        <v>48</v>
      </c>
      <c r="B50" s="1303" t="str">
        <f>'NT-VT'!C53</f>
        <v>Băng keo cách điện</v>
      </c>
      <c r="C50" s="1304" t="str">
        <f>'NT-VT'!D53</f>
        <v>cuộn</v>
      </c>
      <c r="D50" s="1305">
        <f>'NT-VT'!E53</f>
        <v>2</v>
      </c>
      <c r="E50" s="1302" t="str">
        <f>'NT-VT'!F54</f>
        <v>nt</v>
      </c>
      <c r="F50" s="1302" t="str">
        <f>'NT-VT'!G54</f>
        <v>nt</v>
      </c>
      <c r="G50" s="829">
        <f t="shared" si="0"/>
        <v>1</v>
      </c>
      <c r="H50" s="843"/>
      <c r="I50" s="819"/>
    </row>
    <row r="51" spans="1:9" ht="35.1" customHeight="1">
      <c r="A51" s="1302">
        <f>SUM($G$3:G51)</f>
        <v>49</v>
      </c>
      <c r="B51" s="1303" t="str">
        <f>'NT-VT'!C54</f>
        <v>Sắt Ø10</v>
      </c>
      <c r="C51" s="1304" t="str">
        <f>'NT-VT'!D54</f>
        <v>kg</v>
      </c>
      <c r="D51" s="1305">
        <f>'NT-VT'!E54</f>
        <v>1.1399999999999999</v>
      </c>
      <c r="E51" s="1302" t="str">
        <f>'NT-VT'!F55</f>
        <v>nt</v>
      </c>
      <c r="F51" s="1302" t="str">
        <f>'NT-VT'!G55</f>
        <v>nt</v>
      </c>
      <c r="G51" s="829">
        <f t="shared" si="0"/>
        <v>1</v>
      </c>
      <c r="H51" s="843"/>
      <c r="I51" s="819"/>
    </row>
    <row r="52" spans="1:9" ht="35.1" customHeight="1">
      <c r="A52" s="1302">
        <f>SUM($G$3:G52)</f>
        <v>50</v>
      </c>
      <c r="B52" s="1303" t="str">
        <f>'NT-VT'!C55</f>
        <v>Ông sắt tráng kẽm D76</v>
      </c>
      <c r="C52" s="1304" t="str">
        <f>'NT-VT'!D55</f>
        <v>mét</v>
      </c>
      <c r="D52" s="1305">
        <f>'NT-VT'!E55</f>
        <v>18</v>
      </c>
      <c r="E52" s="1302" t="str">
        <f>'NT-VT'!F56</f>
        <v>nt</v>
      </c>
      <c r="F52" s="1302" t="str">
        <f>'NT-VT'!G56</f>
        <v>nt</v>
      </c>
      <c r="G52" s="829">
        <f t="shared" si="0"/>
        <v>1</v>
      </c>
      <c r="H52" s="843"/>
      <c r="I52" s="819"/>
    </row>
    <row r="53" spans="1:9" ht="35.1" customHeight="1">
      <c r="A53" s="1302">
        <f>SUM($G$3:G53)</f>
        <v>51</v>
      </c>
      <c r="B53" s="1303" t="str">
        <f>'NT-VT'!C56</f>
        <v>Thanh sắt V50x50x5-4000 - 16kg/thanh</v>
      </c>
      <c r="C53" s="1304" t="str">
        <f>'NT-VT'!D56</f>
        <v>kg</v>
      </c>
      <c r="D53" s="1305">
        <f>'NT-VT'!E56</f>
        <v>128</v>
      </c>
      <c r="E53" s="1302" t="str">
        <f>'NT-VT'!F57</f>
        <v>nt</v>
      </c>
      <c r="F53" s="1302" t="str">
        <f>'NT-VT'!G57</f>
        <v>nt</v>
      </c>
      <c r="G53" s="829">
        <f t="shared" si="0"/>
        <v>1</v>
      </c>
      <c r="H53" s="843"/>
      <c r="I53" s="819"/>
    </row>
    <row r="54" spans="1:9" ht="35.1" customHeight="1">
      <c r="A54" s="1302">
        <f>SUM($G$3:G54)</f>
        <v>52</v>
      </c>
      <c r="B54" s="1303" t="str">
        <f>'NT-VT'!C57</f>
        <v>Thanh sắt V40x40x3-6000 - 17,7kg/thanh</v>
      </c>
      <c r="C54" s="1304" t="str">
        <f>'NT-VT'!D57</f>
        <v>kg</v>
      </c>
      <c r="D54" s="1305">
        <f>'NT-VT'!E57</f>
        <v>47.2</v>
      </c>
      <c r="E54" s="1302" t="str">
        <f>'NT-VT'!F58</f>
        <v>nt</v>
      </c>
      <c r="F54" s="1302" t="str">
        <f>'NT-VT'!G58</f>
        <v>nt</v>
      </c>
      <c r="G54" s="829">
        <f t="shared" si="0"/>
        <v>1</v>
      </c>
      <c r="H54" s="843"/>
      <c r="I54" s="819"/>
    </row>
    <row r="55" spans="1:9" ht="35.1" customHeight="1">
      <c r="A55" s="1302">
        <f>SUM($G$3:G55)</f>
        <v>53</v>
      </c>
      <c r="B55" s="1303" t="str">
        <f>'NT-VT'!C58</f>
        <v>Sắt dẹt 60 x 6</v>
      </c>
      <c r="C55" s="1304" t="str">
        <f>'NT-VT'!D58</f>
        <v>kg</v>
      </c>
      <c r="D55" s="1305">
        <f>'NT-VT'!E58</f>
        <v>3</v>
      </c>
      <c r="E55" s="1302" t="str">
        <f>'NT-VT'!F59</f>
        <v>nt</v>
      </c>
      <c r="F55" s="1302" t="str">
        <f>'NT-VT'!G59</f>
        <v>nt</v>
      </c>
      <c r="G55" s="829">
        <f t="shared" si="0"/>
        <v>1</v>
      </c>
      <c r="H55" s="843"/>
      <c r="I55" s="819"/>
    </row>
    <row r="56" spans="1:9" ht="35.1" customHeight="1">
      <c r="A56" s="1302">
        <f>SUM($G$3:G56)</f>
        <v>54</v>
      </c>
      <c r="B56" s="1303" t="str">
        <f>'NT-VT'!C59</f>
        <v>Lưới B40 - 1800-3/Zn</v>
      </c>
      <c r="C56" s="1304" t="str">
        <f>'NT-VT'!D59</f>
        <v>mét</v>
      </c>
      <c r="D56" s="1305">
        <f>'NT-VT'!E59</f>
        <v>14.2</v>
      </c>
      <c r="E56" s="1302" t="str">
        <f>'NT-VT'!F60</f>
        <v>nt</v>
      </c>
      <c r="F56" s="1302" t="str">
        <f>'NT-VT'!G60</f>
        <v>nt</v>
      </c>
      <c r="G56" s="829">
        <f t="shared" si="0"/>
        <v>1</v>
      </c>
      <c r="H56" s="843"/>
      <c r="I56" s="819"/>
    </row>
    <row r="57" spans="1:9" ht="35.1" customHeight="1">
      <c r="A57" s="1302">
        <f>SUM($G$3:G57)</f>
        <v>55</v>
      </c>
      <c r="B57" s="1303" t="str">
        <f>'NT-VT'!C60</f>
        <v>Sắt Ø8</v>
      </c>
      <c r="C57" s="1304" t="str">
        <f>'NT-VT'!D60</f>
        <v>kg</v>
      </c>
      <c r="D57" s="1305">
        <f>'NT-VT'!E60</f>
        <v>16</v>
      </c>
      <c r="E57" s="1302" t="str">
        <f>'NT-VT'!F61</f>
        <v>nt</v>
      </c>
      <c r="F57" s="1302" t="str">
        <f>'NT-VT'!G61</f>
        <v>nt</v>
      </c>
      <c r="G57" s="829">
        <f t="shared" si="0"/>
        <v>1</v>
      </c>
      <c r="H57" s="843"/>
      <c r="I57" s="819"/>
    </row>
    <row r="58" spans="1:9" ht="35.1" customHeight="1">
      <c r="A58" s="1302">
        <f>SUM($G$3:G58)</f>
        <v>56</v>
      </c>
      <c r="B58" s="1303" t="str">
        <f>'NT-VT'!C61</f>
        <v>Boulon 14x350+ 2 long đền vuông D16-50x50x3/Zn</v>
      </c>
      <c r="C58" s="1304" t="str">
        <f>'NT-VT'!D61</f>
        <v>bộ</v>
      </c>
      <c r="D58" s="1305">
        <f>'NT-VT'!E61</f>
        <v>36</v>
      </c>
      <c r="E58" s="1302" t="str">
        <f>'NT-VT'!F62</f>
        <v>nt</v>
      </c>
      <c r="F58" s="1302" t="str">
        <f>'NT-VT'!G62</f>
        <v>nt</v>
      </c>
      <c r="G58" s="829">
        <f t="shared" si="0"/>
        <v>1</v>
      </c>
      <c r="H58" s="843"/>
      <c r="I58" s="819"/>
    </row>
    <row r="59" spans="1:9" ht="35.1" customHeight="1">
      <c r="A59" s="1302">
        <f>SUM($G$3:G59)</f>
        <v>57</v>
      </c>
      <c r="B59" s="1303" t="str">
        <f>'NT-VT'!C62</f>
        <v>Boulon 10x50+ 2 long đền vuông D12-50x50x3/Zn</v>
      </c>
      <c r="C59" s="1304" t="str">
        <f>'NT-VT'!D62</f>
        <v>bộ</v>
      </c>
      <c r="D59" s="1305">
        <f>'NT-VT'!E62</f>
        <v>24</v>
      </c>
      <c r="E59" s="1302" t="str">
        <f>'NT-VT'!F63</f>
        <v>nt</v>
      </c>
      <c r="F59" s="1302" t="str">
        <f>'NT-VT'!G63</f>
        <v>nt</v>
      </c>
      <c r="G59" s="829">
        <f t="shared" si="0"/>
        <v>1</v>
      </c>
      <c r="H59" s="843"/>
      <c r="I59" s="819"/>
    </row>
    <row r="60" spans="1:9" ht="35.1" customHeight="1">
      <c r="A60" s="1302">
        <f>SUM($G$3:G60)</f>
        <v>58</v>
      </c>
      <c r="B60" s="1303" t="str">
        <f>'NT-VT'!C63</f>
        <v>Xà kẹp TU, TI U50x32x4 350</v>
      </c>
      <c r="C60" s="1304" t="str">
        <f>'NT-VT'!D63</f>
        <v>Bộ</v>
      </c>
      <c r="D60" s="1305">
        <f>'NT-VT'!E63</f>
        <v>24</v>
      </c>
      <c r="E60" s="1302" t="str">
        <f>'NT-VT'!F64</f>
        <v>nt</v>
      </c>
      <c r="F60" s="1302" t="str">
        <f>'NT-VT'!G64</f>
        <v>nt</v>
      </c>
      <c r="G60" s="829">
        <f t="shared" si="0"/>
        <v>1</v>
      </c>
      <c r="H60" s="843"/>
      <c r="I60" s="819"/>
    </row>
    <row r="61" spans="1:9" ht="35.1" customHeight="1">
      <c r="A61" s="1302">
        <f>SUM($G$3:G61)</f>
        <v>59</v>
      </c>
      <c r="B61" s="1303" t="str">
        <f>'NT-VT'!C64</f>
        <v>Đầu cosse ép Cu 4mm2 + bao PVC  (ñaáu TU)</v>
      </c>
      <c r="C61" s="1304" t="str">
        <f>'NT-VT'!D64</f>
        <v>cái</v>
      </c>
      <c r="D61" s="1305">
        <f>'NT-VT'!E64</f>
        <v>16</v>
      </c>
      <c r="E61" s="1302" t="str">
        <f>'NT-VT'!F65</f>
        <v>nt</v>
      </c>
      <c r="F61" s="1302" t="str">
        <f>'NT-VT'!G65</f>
        <v>nt</v>
      </c>
      <c r="G61" s="829">
        <f t="shared" si="0"/>
        <v>1</v>
      </c>
      <c r="H61" s="843"/>
      <c r="I61" s="819"/>
    </row>
    <row r="62" spans="1:9" ht="35.1" customHeight="1">
      <c r="A62" s="1302">
        <f>SUM($G$3:G62)</f>
        <v>60</v>
      </c>
      <c r="B62" s="1303" t="str">
        <f>'NT-VT'!C65</f>
        <v>Ống PVC D60x2,8mm</v>
      </c>
      <c r="C62" s="1304" t="str">
        <f>'NT-VT'!D65</f>
        <v>m</v>
      </c>
      <c r="D62" s="1305">
        <f>'NT-VT'!E65</f>
        <v>24</v>
      </c>
      <c r="E62" s="1302" t="str">
        <f>'NT-VT'!F66</f>
        <v>nt</v>
      </c>
      <c r="F62" s="1302" t="str">
        <f>'NT-VT'!G66</f>
        <v>nt</v>
      </c>
      <c r="G62" s="829">
        <f t="shared" si="0"/>
        <v>1</v>
      </c>
      <c r="H62" s="843"/>
      <c r="I62" s="819"/>
    </row>
    <row r="63" spans="1:9" ht="35.1" customHeight="1">
      <c r="A63" s="1302">
        <f>SUM($G$3:G63)</f>
        <v>61</v>
      </c>
      <c r="B63" s="1303" t="str">
        <f>'NT-VT'!C66</f>
        <v>Cổ dê kẹp ống PVC Ø 60</v>
      </c>
      <c r="C63" s="1304" t="str">
        <f>'NT-VT'!D66</f>
        <v>bộ</v>
      </c>
      <c r="D63" s="1305">
        <f>'NT-VT'!E66</f>
        <v>4</v>
      </c>
      <c r="E63" s="1302" t="str">
        <f>'NT-VT'!F67</f>
        <v>nt</v>
      </c>
      <c r="F63" s="1302" t="str">
        <f>'NT-VT'!G67</f>
        <v>nt</v>
      </c>
      <c r="G63" s="829">
        <f t="shared" si="0"/>
        <v>1</v>
      </c>
      <c r="H63" s="843"/>
      <c r="I63" s="819"/>
    </row>
    <row r="64" spans="1:9" ht="35.1" customHeight="1">
      <c r="A64" s="1302">
        <f>SUM($G$3:G64)</f>
        <v>62</v>
      </c>
      <c r="B64" s="1303" t="str">
        <f>'NT-VT'!C67</f>
        <v>Co 90 độ PVC 60</v>
      </c>
      <c r="C64" s="1304" t="str">
        <f>'NT-VT'!D67</f>
        <v>cái</v>
      </c>
      <c r="D64" s="1305">
        <f>'NT-VT'!E67</f>
        <v>8</v>
      </c>
      <c r="E64" s="1302" t="str">
        <f>'NT-VT'!F68</f>
        <v>nt</v>
      </c>
      <c r="F64" s="1302" t="str">
        <f>'NT-VT'!G68</f>
        <v>nt</v>
      </c>
      <c r="G64" s="829">
        <f t="shared" si="0"/>
        <v>1</v>
      </c>
      <c r="H64" s="843"/>
      <c r="I64" s="819"/>
    </row>
    <row r="65" spans="1:9" ht="35.1" customHeight="1">
      <c r="A65" s="1302">
        <f>SUM($G$3:G65)</f>
        <v>63</v>
      </c>
      <c r="B65" s="1303" t="str">
        <f>'NT-VT'!C68</f>
        <v>Nối ống PVC 60</v>
      </c>
      <c r="C65" s="1304" t="str">
        <f>'NT-VT'!D68</f>
        <v>cái</v>
      </c>
      <c r="D65" s="1305">
        <f>'NT-VT'!E68</f>
        <v>5</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nt</v>
      </c>
      <c r="F66" s="1302" t="str">
        <f>'NT-VT'!G69</f>
        <v>nt</v>
      </c>
      <c r="G66" s="829" t="e">
        <f t="shared" si="0"/>
        <v>#REF!</v>
      </c>
      <c r="H66" s="843"/>
      <c r="I66" s="819"/>
    </row>
    <row r="67" spans="1:9" ht="35.1" customHeight="1">
      <c r="A67" s="1302" t="e">
        <f>SUM($G$3:G67)</f>
        <v>#REF!</v>
      </c>
      <c r="B67" s="1303" t="str">
        <f>'NT-VT'!C69</f>
        <v>Keo dán ống PVC (500gr)</v>
      </c>
      <c r="C67" s="1304" t="str">
        <f>'NT-VT'!D69</f>
        <v>lon</v>
      </c>
      <c r="D67" s="1305">
        <f>'NT-VT'!E69</f>
        <v>1</v>
      </c>
      <c r="E67" s="1302" t="str">
        <f>'NT-VT'!F70</f>
        <v>nt</v>
      </c>
      <c r="F67" s="1302" t="str">
        <f>'NT-VT'!G70</f>
        <v>nt</v>
      </c>
      <c r="G67" s="829">
        <f t="shared" si="0"/>
        <v>1</v>
      </c>
      <c r="H67" s="843"/>
      <c r="I67" s="819"/>
    </row>
    <row r="68" spans="1:9" ht="35.1" customHeight="1">
      <c r="A68" s="1302" t="e">
        <f>SUM($G$3:G68)</f>
        <v>#REF!</v>
      </c>
      <c r="B68" s="1303" t="str">
        <f>'NT-VT'!C70</f>
        <v>Khâu ven răng trong D60</v>
      </c>
      <c r="C68" s="1304" t="str">
        <f>'NT-VT'!D70</f>
        <v>cái</v>
      </c>
      <c r="D68" s="1305">
        <f>'NT-VT'!E70</f>
        <v>1</v>
      </c>
      <c r="E68" s="1302" t="str">
        <f>'NT-VT'!F71</f>
        <v>nt</v>
      </c>
      <c r="F68" s="1302" t="str">
        <f>'NT-VT'!G71</f>
        <v>nt</v>
      </c>
      <c r="G68" s="829">
        <f t="shared" ref="G68:G93" si="1">IF(D68&gt;0,1,0)</f>
        <v>1</v>
      </c>
      <c r="H68" s="843"/>
      <c r="I68" s="819"/>
    </row>
    <row r="69" spans="1:9" ht="35.1" customHeight="1">
      <c r="A69" s="1302" t="e">
        <f>SUM($G$3:G69)</f>
        <v>#REF!</v>
      </c>
      <c r="B69" s="1303" t="str">
        <f>'NT-VT'!C71</f>
        <v>Khâu ven răng ngoài D60</v>
      </c>
      <c r="C69" s="1304" t="str">
        <f>'NT-VT'!D71</f>
        <v>cái</v>
      </c>
      <c r="D69" s="1305">
        <f>'NT-VT'!E71</f>
        <v>1</v>
      </c>
      <c r="E69" s="1302" t="str">
        <f>'NT-VT'!F72</f>
        <v>nt</v>
      </c>
      <c r="F69" s="1302" t="str">
        <f>'NT-VT'!G72</f>
        <v>nt</v>
      </c>
      <c r="G69" s="829">
        <f t="shared" si="1"/>
        <v>1</v>
      </c>
      <c r="H69" s="843"/>
      <c r="I69" s="819"/>
    </row>
    <row r="70" spans="1:9" ht="35.1" customHeight="1">
      <c r="A70" s="1302" t="e">
        <f>SUM($G$3:G70)</f>
        <v>#REF!</v>
      </c>
      <c r="B70" s="1303" t="str">
        <f>'NT-VT'!C72</f>
        <v>Cổ dê CDĐKĐT( bắt thùng điện kế)</v>
      </c>
      <c r="C70" s="1304" t="str">
        <f>'NT-VT'!D72</f>
        <v>bộ</v>
      </c>
      <c r="D70" s="1305">
        <f>'NT-VT'!E72</f>
        <v>1</v>
      </c>
      <c r="E70" s="1302" t="str">
        <f>'NT-VT'!F73</f>
        <v>nt</v>
      </c>
      <c r="F70" s="1302" t="str">
        <f>'NT-VT'!G73</f>
        <v>nt</v>
      </c>
      <c r="G70" s="829">
        <f t="shared" si="1"/>
        <v>1</v>
      </c>
      <c r="H70" s="843"/>
      <c r="I70" s="819"/>
    </row>
    <row r="71" spans="1:9" ht="35.1" customHeight="1">
      <c r="A71" s="1302" t="e">
        <f>SUM($G$3:G71)</f>
        <v>#REF!</v>
      </c>
      <c r="B71" s="1303" t="str">
        <f>'NT-VT'!C73</f>
        <v>Thùng điện kế 450x300x200mm đo đếm trung thế</v>
      </c>
      <c r="C71" s="1304" t="str">
        <f>'NT-VT'!D73</f>
        <v>cái</v>
      </c>
      <c r="D71" s="1305">
        <f>'NT-VT'!E73</f>
        <v>1</v>
      </c>
      <c r="E71" s="1302" t="str">
        <f>'NT-VT'!F74</f>
        <v>nt</v>
      </c>
      <c r="F71" s="1302" t="str">
        <f>'NT-VT'!G74</f>
        <v>nt</v>
      </c>
      <c r="G71" s="829">
        <f t="shared" si="1"/>
        <v>1</v>
      </c>
      <c r="H71" s="843"/>
      <c r="I71" s="819"/>
    </row>
    <row r="72" spans="1:9" ht="35.1" customHeight="1">
      <c r="A72" s="1302" t="e">
        <f>SUM($G$3:G72)</f>
        <v>#REF!</v>
      </c>
      <c r="B72" s="1303" t="str">
        <f>'NT-VT'!C74</f>
        <v>Dây đồng trần mềm dẹt</v>
      </c>
      <c r="C72" s="1304" t="str">
        <f>'NT-VT'!D74</f>
        <v>mét</v>
      </c>
      <c r="D72" s="1305">
        <f>'NT-VT'!E74</f>
        <v>4</v>
      </c>
      <c r="E72" s="1302" t="str">
        <f>'NT-VT'!F75</f>
        <v>nt</v>
      </c>
      <c r="F72" s="1302" t="str">
        <f>'NT-VT'!G75</f>
        <v>nt</v>
      </c>
      <c r="G72" s="829">
        <f t="shared" si="1"/>
        <v>1</v>
      </c>
      <c r="H72" s="843"/>
      <c r="I72" s="819"/>
    </row>
    <row r="73" spans="1:9" ht="35.1" hidden="1" customHeight="1">
      <c r="A73" s="1302" t="e">
        <f>SUM($G$3:G73)</f>
        <v>#REF!</v>
      </c>
      <c r="B73" s="1303" t="str">
        <f>'NT-VT'!C75</f>
        <v>Boulon 16x650VRS+ 4 long đền vuông D18-50x50x3/Zn</v>
      </c>
      <c r="C73" s="1304" t="str">
        <f>'NT-VT'!D75</f>
        <v>bộ</v>
      </c>
      <c r="D73" s="1305">
        <f>'NT-VT'!E75</f>
        <v>4</v>
      </c>
      <c r="E73" s="1302" t="str">
        <f>'NT-VT'!F76</f>
        <v>nt</v>
      </c>
      <c r="F73" s="1302" t="str">
        <f>'NT-VT'!G76</f>
        <v>nt</v>
      </c>
      <c r="G73" s="829">
        <f t="shared" si="1"/>
        <v>1</v>
      </c>
      <c r="H73" s="843"/>
      <c r="I73" s="819"/>
    </row>
    <row r="74" spans="1:9" ht="35.1" hidden="1" customHeight="1">
      <c r="A74" s="1302" t="e">
        <f>SUM($G$3:G74)</f>
        <v>#REF!</v>
      </c>
      <c r="B74" s="1303" t="str">
        <f>'NT-VT'!C76</f>
        <v>Boulon 16x750VRS+ 4 long đền vuông D18-50x50x3/Zn</v>
      </c>
      <c r="C74" s="1304" t="str">
        <f>'NT-VT'!D76</f>
        <v>bộ</v>
      </c>
      <c r="D74" s="1305">
        <f>'NT-VT'!E76</f>
        <v>4</v>
      </c>
      <c r="E74" s="1302" t="str">
        <f>'NT-VT'!F77</f>
        <v>nt</v>
      </c>
      <c r="F74" s="1302" t="str">
        <f>'NT-VT'!G77</f>
        <v>nt</v>
      </c>
      <c r="G74" s="829">
        <f t="shared" si="1"/>
        <v>1</v>
      </c>
      <c r="H74" s="843"/>
      <c r="I74" s="819"/>
    </row>
    <row r="75" spans="1:9" ht="35.1" hidden="1" customHeight="1">
      <c r="A75" s="1302" t="e">
        <f>SUM($G$3:G75)</f>
        <v>#REF!</v>
      </c>
      <c r="B75" s="1303" t="str">
        <f>'NT-VT'!C77</f>
        <v>Kẹp ép WR cỡ dây 185mm2</v>
      </c>
      <c r="C75" s="1304" t="str">
        <f>'NT-VT'!D77</f>
        <v>cái</v>
      </c>
      <c r="D75" s="1305">
        <f>'NT-VT'!E77</f>
        <v>2</v>
      </c>
      <c r="E75" s="1302" t="str">
        <f>'NT-VT'!F78</f>
        <v>nt</v>
      </c>
      <c r="F75" s="1302" t="str">
        <f>'NT-VT'!G78</f>
        <v>nt</v>
      </c>
      <c r="G75" s="829">
        <f t="shared" si="1"/>
        <v>1</v>
      </c>
      <c r="H75" s="843"/>
      <c r="I75" s="819"/>
    </row>
    <row r="76" spans="1:9" ht="35.1" hidden="1" customHeight="1">
      <c r="A76" s="1302" t="e">
        <f>SUM($G$3:G76)</f>
        <v>#REF!</v>
      </c>
      <c r="B76" s="1303" t="str">
        <f>'NT-VT'!C78</f>
        <v>Sắt góc L75 x75 x8 x</v>
      </c>
      <c r="C76" s="1304" t="str">
        <f>'NT-VT'!D78</f>
        <v>cái</v>
      </c>
      <c r="D76" s="1305">
        <f>'NT-VT'!E78</f>
        <v>12</v>
      </c>
      <c r="E76" s="1302" t="str">
        <f>'NT-VT'!F79</f>
        <v>nt</v>
      </c>
      <c r="F76" s="1302" t="str">
        <f>'NT-VT'!G79</f>
        <v>nt</v>
      </c>
      <c r="G76" s="829">
        <f t="shared" si="1"/>
        <v>1</v>
      </c>
      <c r="H76" s="843"/>
      <c r="I76" s="819"/>
    </row>
    <row r="77" spans="1:9" ht="35.1" hidden="1" customHeight="1">
      <c r="A77" s="1302" t="e">
        <f>SUM($G$3:G77)</f>
        <v>#REF!</v>
      </c>
      <c r="B77" s="1303" t="str">
        <f>'NT-VT'!C79</f>
        <v>Sắt góc L50 x50 x5 - 810</v>
      </c>
      <c r="C77" s="1304" t="str">
        <f>'NT-VT'!D79</f>
        <v>cái</v>
      </c>
      <c r="D77" s="1305">
        <f>'NT-VT'!E79</f>
        <v>24</v>
      </c>
      <c r="E77" s="1302" t="str">
        <f>'NT-VT'!F80</f>
        <v>nt</v>
      </c>
      <c r="F77" s="1302" t="str">
        <f>'NT-VT'!G80</f>
        <v>nt</v>
      </c>
      <c r="G77" s="829">
        <f t="shared" si="1"/>
        <v>1</v>
      </c>
      <c r="H77" s="843"/>
      <c r="I77" s="819"/>
    </row>
    <row r="78" spans="1:9" ht="35.1" hidden="1" customHeight="1">
      <c r="A78" s="1302" t="e">
        <f>SUM($G$3:G78)</f>
        <v>#REF!</v>
      </c>
      <c r="B78" s="1303" t="str">
        <f>'NT-VT'!C80</f>
        <v>Boulon 16x500+ 2 long đền vuông D18-50x50x3/Zn</v>
      </c>
      <c r="C78" s="1304" t="str">
        <f>'NT-VT'!D80</f>
        <v>bộ</v>
      </c>
      <c r="D78" s="1305">
        <f>'NT-VT'!E80</f>
        <v>3</v>
      </c>
      <c r="E78" s="1302" t="str">
        <f>'NT-VT'!F81</f>
        <v>nt</v>
      </c>
      <c r="F78" s="1302" t="str">
        <f>'NT-VT'!G81</f>
        <v>nt</v>
      </c>
      <c r="G78" s="829">
        <f t="shared" si="1"/>
        <v>1</v>
      </c>
      <c r="H78" s="843"/>
      <c r="I78" s="819"/>
    </row>
    <row r="79" spans="1:9" ht="35.1" hidden="1" customHeight="1">
      <c r="A79" s="1302" t="e">
        <f>SUM($G$3:G79)</f>
        <v>#REF!</v>
      </c>
      <c r="B79" s="1303" t="str">
        <f>'NT-VT'!C81</f>
        <v>Boulon 16x600+ 2 long đền vuông D18-50x50x3/Zn</v>
      </c>
      <c r="C79" s="1304" t="str">
        <f>'NT-VT'!D81</f>
        <v>bộ</v>
      </c>
      <c r="D79" s="1305">
        <f>'NT-VT'!E81</f>
        <v>3</v>
      </c>
      <c r="E79" s="1302" t="str">
        <f>'NT-VT'!F82</f>
        <v>nt</v>
      </c>
      <c r="F79" s="1302" t="str">
        <f>'NT-VT'!G82</f>
        <v>nt</v>
      </c>
      <c r="G79" s="829">
        <f t="shared" si="1"/>
        <v>1</v>
      </c>
      <c r="H79" s="843"/>
      <c r="I79" s="819"/>
    </row>
    <row r="80" spans="1:9" ht="35.1" hidden="1" customHeight="1">
      <c r="A80" s="1302" t="e">
        <f>SUM($G$3:G80)</f>
        <v>#REF!</v>
      </c>
      <c r="B80" s="1303" t="str">
        <f>'NT-VT'!C82</f>
        <v>Boulon 16x550VRS+ 4 long đền vuông D18-50x50x3/Zn</v>
      </c>
      <c r="C80" s="1304" t="str">
        <f>'NT-VT'!D82</f>
        <v>bộ</v>
      </c>
      <c r="D80" s="1305">
        <f>'NT-VT'!E82</f>
        <v>6</v>
      </c>
      <c r="E80" s="1302" t="str">
        <f>'NT-VT'!F83</f>
        <v>nt</v>
      </c>
      <c r="F80" s="1302" t="str">
        <f>'NT-VT'!G83</f>
        <v>nt</v>
      </c>
      <c r="G80" s="829">
        <f t="shared" si="1"/>
        <v>1</v>
      </c>
      <c r="H80" s="843"/>
      <c r="I80" s="819"/>
    </row>
    <row r="81" spans="1:9" ht="35.1" hidden="1" customHeight="1">
      <c r="A81" s="1302" t="e">
        <f>SUM($G$3:G81)</f>
        <v>#REF!</v>
      </c>
      <c r="B81" s="1303" t="str">
        <f>'NT-VT'!C83</f>
        <v>Sắt góc L75 x75 x8-2100</v>
      </c>
      <c r="C81" s="1304" t="str">
        <f>'NT-VT'!D83</f>
        <v>cái</v>
      </c>
      <c r="D81" s="1305">
        <f>'NT-VT'!E83</f>
        <v>5</v>
      </c>
      <c r="E81" s="1302" t="str">
        <f>'NT-VT'!F84</f>
        <v>nt</v>
      </c>
      <c r="F81" s="1302" t="str">
        <f>'NT-VT'!G84</f>
        <v>nt</v>
      </c>
      <c r="G81" s="829">
        <f t="shared" si="1"/>
        <v>1</v>
      </c>
      <c r="H81" s="843"/>
      <c r="I81" s="819"/>
    </row>
    <row r="82" spans="1:9" ht="35.1" hidden="1" customHeight="1">
      <c r="A82" s="1302" t="e">
        <f>SUM($G$3:G82)</f>
        <v>#REF!</v>
      </c>
      <c r="B82" s="1303" t="str">
        <f>'NT-VT'!C84</f>
        <v>Sắt góc L50 x50 x5 x</v>
      </c>
      <c r="C82" s="1304" t="str">
        <f>'NT-VT'!D84</f>
        <v>cái</v>
      </c>
      <c r="D82" s="1305">
        <f>'NT-VT'!E84</f>
        <v>5</v>
      </c>
      <c r="E82" s="1302" t="str">
        <f>'NT-VT'!F85</f>
        <v>nt</v>
      </c>
      <c r="F82" s="1302" t="str">
        <f>'NT-VT'!G85</f>
        <v>nt</v>
      </c>
      <c r="G82" s="829">
        <f t="shared" si="1"/>
        <v>1</v>
      </c>
      <c r="H82" s="843"/>
      <c r="I82" s="819"/>
    </row>
    <row r="83" spans="1:9" ht="35.1" hidden="1" customHeight="1">
      <c r="A83" s="1302" t="e">
        <f>SUM($G$3:G83)</f>
        <v>#REF!</v>
      </c>
      <c r="B83" s="1303" t="str">
        <f>'NT-VT'!C85</f>
        <v>Boulon 16x35+ 2 long đền vuông D18-50x50x3/Zn</v>
      </c>
      <c r="C83" s="1304" t="str">
        <f>'NT-VT'!D85</f>
        <v>bộ</v>
      </c>
      <c r="D83" s="1305">
        <f>'NT-VT'!E85</f>
        <v>2</v>
      </c>
      <c r="E83" s="1302" t="str">
        <f>'NT-VT'!F86</f>
        <v>nt</v>
      </c>
      <c r="F83" s="1302" t="str">
        <f>'NT-VT'!G86</f>
        <v>nt</v>
      </c>
      <c r="G83" s="829">
        <f t="shared" si="1"/>
        <v>1</v>
      </c>
      <c r="H83" s="843"/>
      <c r="I83" s="819"/>
    </row>
    <row r="84" spans="1:9" ht="35.1" hidden="1" customHeight="1">
      <c r="A84" s="1302" t="e">
        <f>SUM($G$3:G84)</f>
        <v>#REF!</v>
      </c>
      <c r="B84" s="1303" t="str">
        <f>'NT-VT'!C86</f>
        <v>Đà composite 0,8m</v>
      </c>
      <c r="C84" s="1304" t="str">
        <f>'NT-VT'!D86</f>
        <v>cây</v>
      </c>
      <c r="D84" s="1305">
        <f>'NT-VT'!E86</f>
        <v>1</v>
      </c>
      <c r="E84" s="1302" t="str">
        <f>'NT-VT'!F87</f>
        <v>nt</v>
      </c>
      <c r="F84" s="1302" t="str">
        <f>'NT-VT'!G87</f>
        <v>nt</v>
      </c>
      <c r="G84" s="829">
        <f t="shared" si="1"/>
        <v>1</v>
      </c>
      <c r="H84" s="843"/>
      <c r="I84" s="819"/>
    </row>
    <row r="85" spans="1:9" ht="35.1" hidden="1" customHeight="1">
      <c r="A85" s="1302" t="e">
        <f>SUM($G$3:G85)</f>
        <v>#REF!</v>
      </c>
      <c r="B85" s="1303" t="str">
        <f>'NT-VT'!C87</f>
        <v>Boulon 16x150+ 2 long đền vuông D18-50x50x3/Zn</v>
      </c>
      <c r="C85" s="1304" t="str">
        <f>'NT-VT'!D87</f>
        <v>bộ</v>
      </c>
      <c r="D85" s="1305">
        <f>'NT-VT'!E87</f>
        <v>4</v>
      </c>
      <c r="E85" s="1302" t="str">
        <f>'NT-VT'!F88</f>
        <v>nt</v>
      </c>
      <c r="F85" s="1302" t="str">
        <f>'NT-VT'!G88</f>
        <v>nt</v>
      </c>
      <c r="G85" s="829">
        <f t="shared" si="1"/>
        <v>1</v>
      </c>
      <c r="H85" s="843"/>
      <c r="I85" s="819"/>
    </row>
    <row r="86" spans="1:9" ht="35.1" hidden="1" customHeight="1">
      <c r="A86" s="1302" t="e">
        <f>SUM($G$3:G86)</f>
        <v>#REF!</v>
      </c>
      <c r="B86" s="1303" t="str">
        <f>'NT-VT'!C88</f>
        <v>Boulon 16x400+ 2 long đền vuông D18-50x50x3/Zn</v>
      </c>
      <c r="C86" s="1304" t="str">
        <f>'NT-VT'!D88</f>
        <v>bộ</v>
      </c>
      <c r="D86" s="1305">
        <f>'NT-VT'!E88</f>
        <v>2</v>
      </c>
      <c r="E86" s="1302" t="str">
        <f>'NT-VT'!F89</f>
        <v>nt</v>
      </c>
      <c r="F86" s="1302" t="str">
        <f>'NT-VT'!G89</f>
        <v>nt</v>
      </c>
      <c r="G86" s="829">
        <f t="shared" si="1"/>
        <v>1</v>
      </c>
      <c r="H86" s="843"/>
      <c r="I86" s="819"/>
    </row>
    <row r="87" spans="1:9" ht="35.1" hidden="1" customHeight="1">
      <c r="A87" s="1302" t="e">
        <f>SUM($G$3:G87)</f>
        <v>#REF!</v>
      </c>
      <c r="B87" s="1303" t="str">
        <f>'NT-VT'!C89</f>
        <v>Uclevis + sứ ống chỉ</v>
      </c>
      <c r="C87" s="1304" t="str">
        <f>'NT-VT'!D89</f>
        <v>bộ</v>
      </c>
      <c r="D87" s="1305">
        <f>'NT-VT'!E89</f>
        <v>4</v>
      </c>
      <c r="E87" s="1302" t="str">
        <f>'NT-VT'!F90</f>
        <v>nt</v>
      </c>
      <c r="F87" s="1302" t="str">
        <f>'NT-VT'!G90</f>
        <v>nt</v>
      </c>
      <c r="G87" s="829">
        <f t="shared" si="1"/>
        <v>1</v>
      </c>
      <c r="H87" s="843"/>
      <c r="I87" s="819"/>
    </row>
    <row r="88" spans="1:9" ht="35.1" hidden="1" customHeight="1">
      <c r="A88" s="1302" t="e">
        <f>SUM($G$3:G88)</f>
        <v>#REF!</v>
      </c>
      <c r="B88" s="1303" t="str">
        <f>'NT-VT'!C90</f>
        <v>Khóa néo dây cỡ dây 50</v>
      </c>
      <c r="C88" s="1304" t="str">
        <f>'NT-VT'!D90</f>
        <v>cái</v>
      </c>
      <c r="D88" s="1305">
        <f>'NT-VT'!E90</f>
        <v>1</v>
      </c>
      <c r="E88" s="1302" t="str">
        <f>'NT-VT'!F91</f>
        <v>nt</v>
      </c>
      <c r="F88" s="1302" t="str">
        <f>'NT-VT'!G91</f>
        <v>nt</v>
      </c>
      <c r="G88" s="829">
        <f t="shared" si="1"/>
        <v>1</v>
      </c>
      <c r="H88" s="843"/>
      <c r="I88" s="819"/>
    </row>
    <row r="89" spans="1:9" ht="35.1" hidden="1" customHeight="1">
      <c r="A89" s="1302" t="e">
        <f>SUM($G$3:G89)</f>
        <v>#REF!</v>
      </c>
      <c r="B89" s="1303" t="str">
        <f>'NT-VT'!C91</f>
        <v>Boulon mắt 16x300+ 2 long đền vuông D18-50x50x3/Zn</v>
      </c>
      <c r="C89" s="1304" t="str">
        <f>'NT-VT'!D91</f>
        <v>bộ</v>
      </c>
      <c r="D89" s="1305">
        <f>'NT-VT'!E91</f>
        <v>1</v>
      </c>
      <c r="E89" s="1302" t="str">
        <f>'NT-VT'!F92</f>
        <v>nt</v>
      </c>
      <c r="F89" s="1302" t="str">
        <f>'NT-VT'!G92</f>
        <v>nt</v>
      </c>
      <c r="G89" s="829">
        <f t="shared" si="1"/>
        <v>1</v>
      </c>
      <c r="H89" s="843"/>
      <c r="I89" s="819"/>
    </row>
    <row r="90" spans="1:9" ht="35.1" hidden="1" customHeight="1">
      <c r="A90" s="1302" t="e">
        <f>SUM($G$3:G90)</f>
        <v>#REF!</v>
      </c>
      <c r="B90" s="1303"/>
      <c r="C90" s="1304" t="str">
        <f>'NT-VT'!D93</f>
        <v>bộ</v>
      </c>
      <c r="D90" s="1305">
        <f>'NT-VT'!E93</f>
        <v>1</v>
      </c>
      <c r="E90" s="1302" t="str">
        <f>'NT-VT'!F93</f>
        <v>nt</v>
      </c>
      <c r="F90" s="1302" t="str">
        <f>'NT-VT'!G93</f>
        <v>nt</v>
      </c>
      <c r="G90" s="829">
        <f t="shared" si="1"/>
        <v>1</v>
      </c>
      <c r="H90" s="843"/>
      <c r="I90" s="819"/>
    </row>
    <row r="91" spans="1:9" ht="35.1" hidden="1" customHeight="1">
      <c r="A91" s="1302" t="e">
        <f>SUM($G$3:G91)</f>
        <v>#REF!</v>
      </c>
      <c r="B91" s="1303"/>
      <c r="C91" s="1304" t="str">
        <f>'NT-VT'!D94</f>
        <v>cái</v>
      </c>
      <c r="D91" s="1305">
        <f>'NT-VT'!E94</f>
        <v>44</v>
      </c>
      <c r="E91" s="1302" t="str">
        <f>'NT-VT'!F94</f>
        <v>nt</v>
      </c>
      <c r="F91" s="1302" t="str">
        <f>'NT-VT'!G94</f>
        <v>nt</v>
      </c>
      <c r="G91" s="829">
        <f t="shared" si="1"/>
        <v>1</v>
      </c>
      <c r="H91" s="843"/>
      <c r="I91" s="819"/>
    </row>
    <row r="92" spans="1:9" ht="35.1" hidden="1" customHeight="1">
      <c r="A92" s="1302" t="e">
        <f>SUM($G$3:G92)</f>
        <v>#REF!</v>
      </c>
      <c r="B92" s="1303"/>
      <c r="C92" s="1304" t="str">
        <f>'NT-VT'!D95</f>
        <v>cái</v>
      </c>
      <c r="D92" s="1305">
        <f>'NT-VT'!E95</f>
        <v>22</v>
      </c>
      <c r="E92" s="1302" t="str">
        <f>'NT-VT'!F95</f>
        <v>nt</v>
      </c>
      <c r="F92" s="1302" t="str">
        <f>'NT-VT'!G95</f>
        <v>nt</v>
      </c>
      <c r="G92" s="829">
        <f t="shared" si="1"/>
        <v>1</v>
      </c>
      <c r="H92" s="843"/>
      <c r="I92" s="819"/>
    </row>
    <row r="93" spans="1:9" ht="35.1" hidden="1" customHeight="1">
      <c r="A93" s="1302" t="e">
        <f>SUM($G$3:G93)</f>
        <v>#REF!</v>
      </c>
      <c r="B93" s="1303"/>
      <c r="C93" s="1304" t="str">
        <f>'NT-VT'!D96</f>
        <v>cái</v>
      </c>
      <c r="D93" s="1305">
        <f>'NT-VT'!E96</f>
        <v>6</v>
      </c>
      <c r="E93" s="1302" t="str">
        <f>'NT-VT'!F96</f>
        <v>nt</v>
      </c>
      <c r="F93" s="1302" t="str">
        <f>'NT-VT'!G96</f>
        <v>nt</v>
      </c>
      <c r="G93" s="829">
        <f t="shared" si="1"/>
        <v>1</v>
      </c>
      <c r="H93" s="843"/>
      <c r="I93" s="819"/>
    </row>
    <row r="94" spans="1:9" ht="35.1" customHeight="1">
      <c r="A94" s="1302" t="e">
        <f>SUM($G$3:G94)</f>
        <v>#REF!</v>
      </c>
      <c r="B94" s="1303" t="s">
        <v>4427</v>
      </c>
      <c r="C94" s="1304"/>
      <c r="D94" s="1305"/>
      <c r="E94" s="1302" t="str">
        <f>'NT-VT'!F97</f>
        <v>nt</v>
      </c>
      <c r="F94" s="1302" t="str">
        <f>'NT-VT'!G97</f>
        <v>nt</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2020-12-17T03:19:57Z</dcterms:modified>
</cp:coreProperties>
</file>