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05" yWindow="-105" windowWidth="20730" windowHeight="11760" tabRatio="917" activeTab="2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H7" i="26"/>
  <c r="F11" i="78" s="1"/>
  <c r="I8" i="26"/>
  <c r="G12" i="78" s="1"/>
  <c r="F9" i="79" s="1"/>
  <c r="H6" i="26"/>
  <c r="F10" i="78" s="1"/>
  <c r="L11" i="26"/>
  <c r="L15" i="78" s="1"/>
  <c r="H11" i="26"/>
  <c r="F15" i="78" s="1"/>
  <c r="I12" i="26"/>
  <c r="G16" i="78" s="1"/>
  <c r="F12" i="117" s="1"/>
  <c r="O16" i="26"/>
  <c r="I3" i="26"/>
  <c r="O4" i="26"/>
  <c r="L4" i="26" s="1"/>
  <c r="L8" i="78" s="1"/>
  <c r="O5" i="26"/>
  <c r="L5" i="26" s="1"/>
  <c r="L9" i="78" s="1"/>
  <c r="L13" i="26"/>
  <c r="L17" i="78" s="1"/>
  <c r="M16" i="26"/>
  <c r="I5" i="26"/>
  <c r="G9" i="78" s="1"/>
  <c r="I13" i="26"/>
  <c r="G17" i="78" s="1"/>
  <c r="F13" i="117" s="1"/>
  <c r="H15" i="26"/>
  <c r="F19" i="78" s="1"/>
  <c r="O3" i="26"/>
  <c r="L3" i="26"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J11" i="106" l="1"/>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<sst xmlns="http://schemas.openxmlformats.org/spreadsheetml/2006/main" count="30318" uniqueCount="6605">
  <si>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</si>
  <si>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</si>
  <si>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</si>
  <si>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</si>
  <si>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</si>
  <si>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</si>
  <si>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</si>
  <si>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</si>
  <si>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</si>
  <si>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</si>
  <si>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</si>
  <si>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</si>
  <si>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</si>
  <si>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</si>
  <si>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</si>
  <si>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</si>
  <si>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</si>
  <si>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</si>
  <si>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</si>
  <si>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</si>
  <si>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</si>
  <si>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</si>
  <si>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</si>
  <si>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</si>
  <si>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</si>
  <si>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</si>
  <si>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</si>
  <si>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</si>
  <si>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</si>
  <si>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</si>
  <si>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</si>
  <si>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</si>
  <si>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</si>
  <si>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</si>
  <si>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</si>
  <si>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</si>
  <si>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</si>
  <si>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</si>
  <si>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</si>
  <si>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</si>
  <si>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</si>
  <si>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</si>
  <si>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</si>
  <si>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</si>
  <si>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</si>
  <si>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</si>
  <si>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</si>
  <si>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</si>
  <si>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</si>
  <si>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</si>
  <si>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</si>
  <si>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</si>
  <si>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</si>
  <si>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</si>
  <si>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</si>
  <si>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</si>
  <si>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</si>
  <si>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</si>
  <si>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</si>
  <si>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</si>
  <si>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</si>
  <si>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</si>
  <si>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</si>
  <si>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</si>
  <si>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</si>
  <si>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</si>
  <si>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</si>
  <si>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</si>
  <si>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</si>
  <si>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</si>
  <si>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</si>
  <si>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</si>
  <si>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</si>
  <si>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</si>
  <si>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</si>
  <si>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</si>
  <si>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</si>
  <si>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</si>
  <si>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</si>
  <si>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</si>
  <si>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</si>
  <si>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</si>
  <si>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</si>
  <si>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</si>
  <si>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</si>
  <si>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</si>
  <si>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</si>
  <si>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</si>
  <si>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</si>
  <si>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</si>
  <si>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</si>
  <si>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</si>
  <si>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</si>
  <si>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</si>
  <si>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</si>
  <si>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</si>
  <si>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</si>
  <si>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</si>
  <si>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</si>
  <si>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</si>
  <si>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</si>
  <si>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</si>
  <si>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</si>
  <si>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</si>
  <si>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</si>
  <si>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</si>
  <si>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</si>
  <si>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</si>
  <si>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</si>
  <si>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</si>
  <si>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</si>
  <si>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</si>
  <si>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</si>
  <si>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</si>
  <si>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</si>
  <si>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</si>
  <si>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</si>
  <si>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</si>
  <si>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</si>
  <si>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</si>
  <si>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</si>
  <si>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</si>
  <si>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</si>
  <si>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</si>
  <si>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</si>
  <si>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</si>
  <si>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</si>
  <si>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</si>
  <si>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</si>
  <si>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</si>
  <si>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</si>
  <si>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</si>
  <si>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</si>
  <si>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</si>
  <si>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</si>
  <si>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</si>
  <si>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</si>
  <si>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</si>
  <si>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</si>
  <si>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</si>
  <si>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</si>
  <si>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</si>
  <si>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</si>
  <si>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</si>
  <si>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</si>
  <si>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</si>
  <si>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</si>
  <si>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</si>
  <si>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</si>
  <si>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</si>
  <si>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</si>
  <si>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</si>
  <si>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</si>
  <si>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</si>
  <si>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</si>
  <si>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</si>
  <si>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</si>
  <si>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</si>
  <si>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</si>
  <si>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</si>
  <si>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</si>
  <si>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</si>
  <si>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</si>
  <si>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</si>
  <si>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</si>
  <si>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</si>
  <si>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</si>
  <si>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</si>
  <si>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</si>
  <si>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</si>
  <si>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</si>
  <si>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</si>
  <si>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</si>
  <si>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</si>
  <si>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</si>
  <si>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</si>
  <si>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</si>
  <si>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</si>
  <si>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</si>
  <si>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</si>
  <si>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</si>
  <si>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</si>
  <si>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</si>
  <si>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</si>
  <si>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</si>
  <si>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</si>
  <si>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</si>
  <si>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</si>
  <si>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</si>
  <si>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</si>
  <si>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</si>
  <si>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</si>
  <si>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</si>
  <si>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</si>
  <si>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</si>
  <si>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</si>
  <si>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</si>
  <si>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</si>
  <si>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</si>
  <si>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</si>
  <si>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</si>
  <si>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</si>
  <si>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</si>
  <si>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</si>
  <si>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</si>
  <si>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</si>
  <si>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</si>
  <si>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</si>
  <si>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</si>
  <si>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</si>
  <si>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</si>
  <si>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</si>
  <si>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</si>
  <si>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</si>
  <si>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</si>
  <si>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</si>
  <si>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</si>
  <si>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</si>
  <si>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</si>
  <si>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</si>
  <si>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</si>
  <si>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</si>
  <si>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</si>
  <si>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</si>
  <si>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</si>
  <si>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</si>
  <si>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</si>
  <si>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</si>
  <si>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</si>
  <si>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</si>
  <si>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</si>
  <si>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</si>
  <si>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</si>
  <si>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</si>
  <si>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</si>
  <si>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</si>
  <si>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</si>
  <si>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</si>
  <si>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</si>
  <si>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</si>
  <si>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</si>
  <si>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</si>
  <si>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</si>
  <si>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</si>
  <si>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</si>
  <si>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</si>
  <si>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</si>
  <si>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</si>
  <si>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</si>
  <si>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</si>
  <si>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</si>
  <si>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</si>
  <si>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</si>
  <si>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</si>
  <si>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</si>
  <si>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</si>
  <si>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</si>
  <si>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</si>
  <si>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</si>
  <si>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</si>
  <si>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</si>
  <si>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</si>
  <si>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</si>
  <si>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</si>
  <si>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</si>
  <si>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</si>
  <si>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</si>
  <si>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</si>
  <si>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</si>
  <si>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</si>
  <si>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</si>
  <si>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</si>
  <si>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</si>
  <si>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</si>
  <si>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</si>
  <si>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</si>
  <si>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</si>
  <si>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</si>
  <si>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</si>
  <si>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</si>
  <si>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</si>
  <si>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</si>
  <si>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</si>
  <si>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</si>
  <si>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</si>
  <si>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</si>
  <si>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</si>
  <si>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</si>
  <si>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</si>
  <si>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</si>
  <si>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</si>
  <si>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</si>
  <si>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</si>
  <si>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</si>
  <si>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</si>
  <si>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</si>
  <si>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</si>
  <si>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</si>
  <si>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</si>
  <si>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</si>
  <si>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</si>
  <si>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</si>
  <si>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</si>
  <si>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</si>
  <si>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</si>
  <si>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</si>
  <si>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</si>
  <si>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</si>
  <si>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</si>
  <si>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</si>
  <si>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</si>
  <si>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</si>
  <si>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</si>
  <si>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</si>
  <si>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</si>
  <si>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</si>
  <si>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</si>
  <si>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</si>
  <si>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</si>
  <si>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</si>
  <si>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</si>
  <si>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</si>
  <si>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</si>
  <si>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</si>
  <si>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</si>
  <si>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</si>
  <si>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</si>
  <si>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</si>
  <si>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</si>
  <si>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</si>
  <si>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</si>
  <si>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</si>
  <si>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</si>
  <si>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</si>
  <si>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</si>
  <si>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</si>
  <si>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</si>
  <si>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</si>
  <si>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</si>
  <si>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</si>
  <si>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</si>
  <si>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</si>
  <si>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</si>
  <si>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</si>
  <si>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</si>
  <si>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</si>
  <si>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</si>
  <si>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</si>
  <si>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</si>
  <si>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</si>
  <si>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</si>
  <si>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</si>
  <si>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</si>
  <si>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</si>
  <si>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</si>
  <si>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</si>
  <si>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</si>
  <si>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</si>
  <si>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</si>
  <si>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</si>
  <si>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</si>
  <si>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</si>
  <si>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</si>
  <si>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</si>
  <si>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</si>
  <si>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</si>
  <si>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</si>
  <si>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</si>
  <si>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</si>
  <si>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</si>
  <si>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</si>
  <si>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</si>
  <si>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</si>
  <si>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</si>
  <si>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</si>
  <si>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</si>
  <si>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</si>
  <si>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</si>
  <si>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</si>
  <si>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</si>
  <si>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</si>
  <si>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</si>
  <si>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</si>
  <si>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</si>
  <si>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</si>
  <si>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</si>
  <si>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</si>
  <si>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</si>
  <si>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</si>
  <si>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</si>
  <si>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</si>
  <si>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</si>
  <si>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</si>
  <si>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</si>
  <si>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</si>
  <si>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</si>
  <si>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</si>
  <si>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</si>
  <si>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</si>
  <si>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</si>
  <si>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</si>
  <si>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</si>
  <si>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</si>
  <si>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</si>
  <si>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</si>
  <si>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</si>
  <si>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</si>
  <si>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</si>
  <si>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</si>
  <si>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</si>
  <si>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</si>
  <si>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</si>
  <si>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</si>
  <si>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</si>
  <si>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</si>
  <si>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</si>
  <si>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</si>
  <si>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</si>
  <si>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</si>
  <si>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</si>
  <si>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</si>
  <si>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</si>
  <si>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</si>
  <si>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</si>
  <si>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</si>
  <si>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</si>
  <si>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</si>
  <si>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</si>
  <si>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</si>
  <si>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</si>
  <si>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</si>
  <si>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</si>
  <si>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</si>
  <si>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</si>
  <si>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</si>
  <si>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</si>
  <si>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</si>
  <si>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</si>
  <si>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</si>
  <si>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</si>
  <si>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</si>
  <si>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</si>
  <si>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</si>
  <si>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</si>
  <si>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</si>
  <si>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</si>
  <si>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</si>
  <si>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</si>
  <si>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</si>
  <si>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</si>
  <si>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</si>
  <si>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</si>
  <si>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</si>
  <si>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</si>
  <si>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</si>
  <si>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</si>
  <si>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</si>
  <si>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</si>
  <si>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</si>
  <si>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</si>
  <si>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</si>
  <si>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</si>
  <si>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</si>
  <si>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</si>
  <si>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</si>
  <si>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</si>
  <si>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</si>
  <si>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</si>
  <si>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</si>
  <si>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</si>
  <si>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</si>
  <si>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</si>
  <si>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</si>
  <si>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</si>
  <si>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</si>
  <si>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</si>
  <si>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</si>
  <si>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</si>
  <si>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</si>
  <si>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</si>
  <si>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</si>
  <si>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</si>
  <si>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</si>
  <si>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</si>
  <si>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</si>
  <si>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</si>
  <si>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</si>
  <si>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</si>
  <si>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</si>
  <si>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</si>
  <si>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</si>
  <si>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</si>
  <si>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</si>
  <si>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</si>
  <si>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</si>
  <si>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</si>
  <si>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</si>
  <si>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</si>
  <si>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</si>
  <si>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</si>
  <si>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</si>
  <si>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</si>
  <si>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</si>
  <si>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</si>
  <si>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</si>
  <si>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</si>
  <si>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</si>
  <si>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</si>
  <si>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</si>
  <si>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</si>
  <si>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</si>
  <si>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</si>
  <si>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</si>
  <si>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</si>
  <si>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</si>
  <si>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</si>
  <si>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</si>
  <si>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</si>
  <si>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</si>
  <si>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</si>
  <si>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</si>
  <si>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</si>
  <si>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</si>
  <si>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</si>
  <si>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</si>
  <si>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</si>
  <si>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</si>
  <si>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</si>
  <si>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</si>
  <si>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</si>
  <si>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</si>
  <si>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</si>
  <si>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</si>
  <si>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</si>
  <si>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</si>
  <si>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</si>
  <si>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</si>
  <si>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</si>
  <si>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</si>
  <si>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</si>
  <si>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</si>
  <si>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</si>
  <si>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</si>
  <si>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</si>
  <si>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</si>
  <si>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</si>
  <si>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</si>
  <si>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</si>
  <si>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</si>
  <si>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</si>
  <si>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</si>
  <si>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</si>
  <si>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</si>
  <si>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</si>
  <si>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</si>
  <si>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</si>
  <si>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</si>
  <si>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</si>
  <si>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</si>
  <si>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</si>
  <si>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</si>
  <si>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</si>
  <si>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</si>
  <si>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</si>
  <si>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</si>
  <si>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</si>
  <si>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</si>
  <si>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</si>
  <si>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</si>
  <si>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</si>
  <si>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</si>
  <si>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</si>
  <si>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</si>
  <si>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</si>
  <si>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</si>
  <si>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</si>
  <si>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</si>
  <si>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</si>
  <si>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</si>
  <si>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</si>
  <si>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</si>
  <si>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</si>
  <si>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</si>
  <si>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</si>
  <si>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</si>
  <si>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</si>
  <si>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</si>
  <si>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</si>
  <si>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</si>
  <si>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</si>
  <si>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</si>
  <si>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</si>
  <si>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</si>
  <si>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</si>
  <si>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</si>
  <si>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</si>
  <si>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</si>
  <si>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</si>
  <si>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</si>
  <si>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</si>
  <si>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</si>
  <si>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</si>
  <si>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</si>
  <si>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</si>
  <si>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</si>
  <si>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</si>
  <si>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</si>
  <si>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</si>
  <si>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</si>
  <si>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</si>
  <si>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</si>
  <si>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</si>
  <si>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</si>
  <si>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</si>
  <si>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</si>
  <si>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</si>
  <si>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</si>
  <si>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</si>
  <si>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</si>
  <si>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</si>
  <si>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</si>
  <si>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</si>
  <si>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</si>
  <si>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</si>
  <si>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</si>
  <si>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</si>
  <si>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</si>
  <si>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</si>
  <si>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</si>
  <si>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</si>
  <si>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</si>
  <si>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</si>
  <si>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</si>
  <si>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</si>
  <si>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</si>
  <si>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</si>
  <si>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</si>
  <si>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</si>
  <si>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</si>
  <si>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</si>
  <si>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</si>
  <si>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</si>
  <si>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</si>
  <si>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</si>
  <si>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</si>
  <si>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</si>
  <si>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</si>
  <si>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</si>
  <si>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</si>
  <si>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</si>
  <si>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</si>
  <si>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</si>
  <si>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</si>
  <si>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</si>
  <si>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</si>
  <si>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</si>
  <si>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</si>
  <si>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</si>
  <si>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</si>
  <si>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</si>
  <si>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</si>
  <si>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</si>
  <si>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</si>
  <si>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</si>
  <si>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</si>
  <si>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</si>
  <si>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</si>
  <si>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</si>
  <si>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</si>
  <si>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</si>
  <si>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</si>
  <si>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</si>
  <si>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</si>
  <si>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</si>
  <si>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</si>
  <si>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</si>
  <si>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</si>
  <si>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</si>
  <si>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</si>
  <si>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</si>
  <si>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</si>
  <si>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</si>
  <si>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</si>
  <si>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</si>
  <si>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</si>
  <si>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</si>
  <si>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</si>
  <si>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</si>
  <si>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</si>
  <si>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</si>
  <si>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</si>
  <si>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</si>
  <si>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</si>
  <si>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</si>
  <si>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</si>
  <si>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</si>
  <si>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</si>
  <si>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</si>
  <si>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</si>
  <si>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</si>
  <si>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</si>
  <si>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</si>
  <si>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</si>
  <si>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</si>
  <si>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</si>
  <si>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</si>
  <si>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</si>
  <si>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</si>
  <si>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</si>
  <si>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</si>
  <si>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</si>
  <si>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</si>
  <si>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</si>
  <si>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</si>
  <si>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</si>
  <si>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</si>
  <si>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</si>
  <si>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</si>
  <si>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</si>
  <si>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</si>
  <si>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</si>
  <si>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</si>
  <si>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</si>
  <si>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</si>
  <si>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</si>
  <si>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</si>
  <si>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</si>
  <si>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</si>
  <si>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</si>
  <si>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</si>
  <si>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</si>
  <si>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</si>
  <si>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</si>
  <si>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</si>
  <si>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</si>
  <si>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</si>
  <si>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</si>
  <si>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</si>
  <si>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</si>
  <si>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</si>
  <si>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</si>
  <si>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</si>
  <si>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</si>
  <si>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</si>
  <si>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</si>
  <si>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</si>
  <si>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</si>
  <si>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</si>
  <si>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</si>
  <si>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</si>
  <si>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</si>
  <si>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</si>
  <si>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</si>
  <si>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</si>
  <si>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</si>
  <si>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</si>
  <si>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</si>
  <si>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</si>
  <si>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</si>
  <si>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</si>
  <si>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</si>
  <si>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</si>
  <si>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</si>
  <si>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</si>
  <si>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</si>
  <si>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</si>
  <si>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</si>
  <si>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</si>
  <si>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</si>
  <si>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</si>
  <si>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</si>
  <si>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</si>
  <si>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</si>
  <si>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</si>
  <si>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</si>
  <si>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</si>
  <si>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</si>
  <si>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</si>
  <si>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</si>
  <si>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</si>
  <si>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</si>
  <si>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</si>
  <si>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</si>
  <si>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</si>
  <si>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</si>
  <si>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</si>
  <si>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</si>
  <si>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</si>
  <si>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</si>
  <si>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</si>
  <si>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</si>
  <si>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</si>
  <si>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</si>
  <si>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</si>
  <si>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</si>
  <si>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</si>
  <si>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</si>
  <si>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</si>
  <si>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</si>
  <si>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</si>
  <si>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</si>
  <si>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</si>
  <si>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</si>
  <si>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</si>
  <si>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</si>
  <si>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</si>
  <si>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</si>
  <si>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</si>
  <si>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</si>
  <si>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</si>
  <si>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</si>
  <si>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</si>
  <si>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</si>
  <si>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</si>
  <si>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</si>
  <si>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</si>
  <si>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</si>
  <si>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</si>
  <si>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</si>
  <si>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</si>
  <si>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</si>
  <si>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</si>
  <si>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</si>
  <si>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</si>
  <si>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</si>
  <si>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</si>
  <si>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</si>
  <si>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</si>
  <si>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</si>
  <si>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</si>
  <si>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</si>
  <si>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</si>
  <si>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</si>
  <si>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</si>
  <si>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</si>
  <si>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</si>
  <si>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</si>
  <si>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</si>
  <si>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</si>
  <si>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</si>
  <si>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</si>
  <si>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</si>
  <si>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</si>
  <si>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</si>
  <si>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</si>
  <si>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</si>
  <si>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</si>
  <si>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</si>
  <si>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</si>
  <si>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</si>
  <si>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</si>
  <si>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</si>
  <si>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</si>
  <si>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</si>
  <si>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</si>
  <si>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</si>
  <si>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</si>
  <si>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</si>
  <si>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</si>
  <si>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</si>
  <si>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</si>
  <si>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</si>
  <si>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</si>
  <si>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</si>
  <si>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</si>
  <si>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</si>
  <si>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</si>
  <si>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</si>
  <si>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</si>
  <si>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</si>
  <si>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</si>
  <si>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</si>
  <si>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</si>
  <si>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</si>
  <si>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</si>
  <si>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</si>
  <si>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</si>
  <si>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</si>
  <si>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</si>
  <si>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</si>
  <si>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</si>
  <si>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</si>
  <si>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</si>
  <si>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</si>
  <si>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</si>
  <si>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</si>
  <si>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</si>
  <si>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</si>
  <si>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</si>
  <si>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</si>
  <si>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</si>
  <si>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</si>
  <si>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</si>
  <si>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</si>
  <si>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</si>
  <si>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</si>
  <si>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</si>
  <si>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</si>
  <si>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</si>
  <si>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</si>
  <si>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</si>
  <si>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</si>
  <si>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</si>
  <si>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</si>
  <si>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</si>
  <si>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</si>
  <si>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</si>
  <si>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</si>
  <si>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</si>
  <si>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</si>
  <si>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</si>
  <si>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</si>
  <si>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</si>
  <si>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</si>
  <si>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</si>
  <si>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</si>
  <si>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</si>
  <si>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</si>
  <si>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</si>
  <si>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</si>
  <si>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</si>
  <si>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</si>
  <si>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</si>
  <si>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</si>
  <si>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</si>
  <si>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</si>
  <si>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</si>
  <si>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</si>
  <si>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</si>
  <si>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</si>
  <si>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</si>
  <si>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</si>
  <si>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</si>
  <si>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</si>
  <si>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</si>
  <si>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</si>
  <si>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</si>
  <si>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</si>
  <si>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</si>
  <si>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</si>
  <si>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</si>
  <si>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</si>
  <si>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</si>
  <si>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</si>
  <si>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</si>
  <si>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</si>
  <si>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</si>
  <si>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</si>
  <si>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</si>
  <si>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</si>
  <si>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</si>
  <si>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</si>
  <si>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</si>
  <si>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</si>
  <si>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</si>
  <si>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</si>
  <si>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</si>
  <si>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</si>
  <si>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</si>
  <si>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</si>
  <si>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</si>
  <si>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</si>
  <si>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</si>
  <si>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</si>
  <si>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</si>
  <si>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</si>
  <si>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</si>
  <si>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</si>
  <si>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</si>
  <si>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</si>
  <si>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</si>
  <si>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</si>
  <si>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</si>
  <si>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</si>
  <si>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</si>
  <si>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</si>
  <si>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</si>
  <si>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</si>
  <si>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</si>
  <si>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</si>
  <si>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</si>
  <si>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</si>
  <si>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</si>
  <si>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</si>
  <si>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</si>
  <si>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</si>
  <si>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</si>
  <si>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</si>
  <si>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</si>
  <si>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</si>
  <si>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</si>
  <si>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</si>
  <si>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</si>
  <si>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</si>
  <si>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</si>
  <si>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</si>
  <si>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</si>
  <si>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</si>
  <si>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</si>
  <si>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</si>
  <si>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</si>
  <si>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</si>
  <si>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</si>
  <si>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</si>
  <si>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</si>
  <si>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</si>
  <si>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</si>
  <si>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</si>
  <si>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</si>
  <si>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</si>
  <si>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</si>
  <si>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</si>
  <si>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</si>
  <si>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</si>
  <si>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</si>
  <si>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</si>
  <si>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</si>
  <si>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</si>
  <si>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</si>
  <si>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</si>
  <si>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</si>
  <si>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</si>
  <si>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</si>
  <si>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</si>
  <si>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</si>
  <si>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</si>
  <si>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</si>
  <si>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</si>
  <si>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</si>
  <si>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</si>
  <si>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</si>
  <si>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</si>
  <si>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</si>
  <si>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</si>
  <si>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</si>
  <si>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</si>
  <si>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</si>
  <si>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</si>
  <si>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</si>
  <si>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</si>
  <si>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</si>
  <si>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</si>
  <si>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</si>
  <si>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</si>
  <si>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</si>
  <si>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</si>
  <si>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</si>
  <si>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</si>
  <si>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</si>
  <si>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</si>
  <si>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</si>
  <si>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</si>
  <si>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</si>
  <si>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</si>
  <si>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</si>
  <si>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</si>
  <si>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</si>
  <si>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</si>
  <si>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</si>
  <si>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</si>
  <si>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</si>
  <si>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</si>
  <si>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</si>
  <si>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</si>
  <si>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</si>
  <si>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</si>
  <si>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</si>
  <si>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</si>
  <si>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</si>
  <si>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</si>
  <si>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</si>
  <si>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</si>
  <si>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</si>
  <si>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</si>
  <si>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</si>
  <si>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</si>
  <si>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</si>
  <si>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</si>
  <si>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</si>
  <si>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</si>
  <si>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</si>
  <si>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</si>
  <si>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</si>
  <si>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</si>
  <si>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</si>
  <si>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</si>
  <si>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</si>
  <si>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</si>
  <si>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</si>
  <si>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</si>
  <si>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</si>
  <si>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</si>
  <si>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</si>
  <si>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</si>
  <si>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</si>
  <si>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</si>
  <si>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</si>
  <si>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</si>
  <si>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</si>
  <si>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</si>
  <si>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</si>
  <si>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</si>
  <si>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</si>
  <si>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</si>
  <si>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</si>
  <si>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</si>
  <si>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</si>
  <si>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</si>
  <si>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</si>
  <si>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</si>
  <si>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</si>
  <si>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</si>
  <si>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</si>
  <si>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</si>
  <si>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</si>
  <si>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</si>
  <si>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</si>
  <si>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</si>
  <si>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</si>
  <si>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</si>
  <si>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</si>
  <si>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</si>
  <si>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</si>
  <si>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</si>
  <si>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</si>
  <si>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</si>
  <si>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</si>
  <si>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</si>
  <si>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</si>
  <si>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</si>
  <si>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</si>
  <si>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</si>
  <si>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</si>
  <si>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</si>
  <si>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</si>
  <si>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</si>
  <si>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</si>
  <si>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</si>
  <si>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</si>
  <si>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</si>
  <si>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</si>
  <si>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</si>
  <si>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</si>
  <si>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</si>
  <si>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</si>
  <si>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</si>
  <si>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</si>
  <si>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</si>
  <si>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</si>
  <si>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</si>
  <si>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</si>
  <si>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</si>
  <si>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</si>
  <si>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</si>
  <si>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</si>
  <si>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</si>
  <si>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</si>
  <si>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</si>
  <si>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</si>
  <si>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</si>
  <si>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</si>
  <si>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</si>
  <si>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</si>
  <si>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</si>
  <si>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</si>
  <si>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</si>
  <si>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</si>
  <si>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</si>
  <si>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</si>
  <si>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</si>
  <si>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</si>
  <si>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</si>
  <si>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</si>
  <si>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</si>
  <si>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</si>
  <si>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</si>
  <si>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</si>
  <si>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</si>
  <si>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</si>
  <si>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</si>
  <si>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</si>
  <si>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</si>
  <si>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</si>
  <si>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</si>
  <si>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</si>
  <si>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</si>
  <si>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</si>
  <si>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</si>
  <si>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</si>
  <si>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</si>
  <si>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</si>
  <si>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</si>
  <si>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</si>
  <si>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</si>
  <si>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</si>
  <si>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</si>
  <si>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</si>
  <si>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</si>
  <si>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</si>
  <si>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</si>
  <si>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</si>
  <si>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</si>
  <si>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</si>
  <si>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</si>
  <si>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</si>
  <si>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</si>
  <si>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</si>
  <si>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</si>
  <si>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</si>
  <si>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</si>
  <si>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</si>
  <si>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</si>
  <si>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</si>
  <si>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</si>
  <si>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</si>
  <si>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</si>
  <si>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</si>
  <si>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</si>
  <si>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</si>
  <si>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</si>
  <si>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</si>
  <si>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</si>
  <si>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</si>
  <si>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</si>
  <si>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</si>
  <si>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</si>
  <si>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</si>
  <si>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</si>
  <si>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</si>
  <si>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</si>
  <si>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</si>
  <si>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</si>
  <si>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</si>
  <si>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</si>
  <si>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</si>
  <si>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</si>
  <si>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</si>
  <si>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</si>
  <si>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</si>
  <si>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</si>
  <si>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</si>
  <si>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</si>
  <si>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</si>
  <si>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</si>
  <si>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</si>
  <si>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</si>
  <si>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</si>
  <si>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</si>
  <si>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</si>
  <si>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</si>
  <si>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</si>
  <si>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</si>
  <si>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</si>
  <si>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</si>
  <si>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</si>
  <si>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</si>
  <si>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</si>
  <si>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</si>
  <si>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</si>
  <si>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</si>
  <si>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</si>
  <si>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</si>
  <si>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</si>
  <si>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</si>
  <si>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</si>
  <si>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</si>
  <si>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</si>
  <si>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</si>
  <si>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</si>
  <si>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</si>
  <si>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</si>
  <si>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</si>
  <si>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</si>
  <si>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</si>
  <si>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</si>
  <si>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</si>
  <si>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</si>
  <si>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</si>
  <si>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</si>
  <si>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</si>
  <si>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</si>
  <si>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</si>
  <si>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</si>
  <si>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</si>
  <si>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</si>
  <si>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</si>
  <si>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</si>
  <si>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</si>
  <si>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</si>
  <si>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</si>
  <si>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</si>
  <si>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</si>
  <si>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</si>
  <si>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</si>
  <si>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</si>
  <si>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</si>
  <si>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</si>
  <si>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</si>
  <si>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</si>
  <si>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</si>
  <si>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</si>
  <si>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</si>
  <si>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</si>
  <si>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</si>
  <si>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</si>
  <si>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</si>
  <si>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</si>
  <si>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</si>
  <si>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</si>
  <si>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</si>
  <si>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</si>
  <si>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</si>
  <si>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</si>
  <si>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</si>
  <si>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</si>
  <si>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</si>
  <si>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</si>
  <si>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</si>
  <si>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</si>
  <si>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</si>
  <si>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</si>
  <si>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</si>
  <si>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</si>
  <si>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</si>
  <si>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</si>
  <si>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</si>
  <si>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</si>
  <si>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</si>
  <si>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</si>
  <si>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</si>
  <si>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</si>
  <si>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</si>
  <si>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</si>
  <si>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</si>
  <si>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</si>
  <si>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</si>
  <si>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</si>
  <si>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</si>
  <si>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</si>
  <si>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</si>
  <si>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</si>
  <si>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</si>
  <si>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</si>
  <si>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</si>
  <si>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</si>
  <si>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</si>
  <si>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</si>
  <si>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</si>
  <si>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</si>
  <si>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</si>
  <si>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</si>
  <si>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</si>
  <si>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</si>
  <si>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</si>
  <si>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</si>
  <si>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</si>
  <si>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</si>
  <si>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</si>
  <si>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</si>
  <si>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</si>
  <si>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</si>
  <si>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</si>
  <si>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</si>
  <si>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</si>
  <si>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</si>
  <si>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</si>
  <si>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</si>
  <si>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</si>
  <si>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</si>
  <si>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</si>
  <si>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</si>
  <si>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</si>
  <si>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</si>
  <si>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</si>
  <si>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</si>
  <si>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</si>
  <si>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</si>
  <si>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</si>
  <si>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</si>
  <si>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</si>
  <si>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</si>
  <si>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</si>
  <si>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</si>
  <si>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</si>
  <si>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</si>
  <si>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</si>
  <si>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</si>
  <si>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</si>
  <si>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</si>
  <si>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</si>
  <si>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</si>
  <si>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</si>
  <si>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</si>
  <si>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</si>
  <si>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</si>
  <si>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</si>
  <si>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</si>
  <si>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</si>
  <si>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</si>
  <si>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</si>
  <si>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</si>
  <si>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</si>
  <si>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</si>
  <si>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</si>
  <si>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</si>
  <si>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</si>
  <si>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</si>
  <si>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</si>
  <si>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</si>
  <si>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</si>
  <si>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</si>
  <si>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</si>
  <si>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</si>
  <si>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</si>
  <si>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</si>
  <si>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</si>
  <si>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</si>
  <si>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</si>
  <si>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</si>
  <si>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</si>
  <si>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</si>
  <si>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</si>
  <si>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</si>
  <si>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</si>
  <si>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</si>
  <si>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</si>
  <si>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</si>
  <si>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</si>
  <si>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</si>
  <si>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</si>
  <si>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</si>
  <si>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</si>
  <si>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</si>
  <si>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</si>
  <si>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</si>
  <si>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</si>
  <si>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</si>
  <si>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</si>
  <si>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</si>
  <si>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</si>
  <si>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</si>
  <si>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</si>
  <si>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</si>
  <si>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</si>
  <si>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</si>
  <si>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</si>
  <si>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</si>
  <si>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</si>
  <si>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</si>
  <si>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</si>
  <si>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</si>
  <si>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</si>
  <si>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</si>
  <si>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</si>
  <si>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</si>
  <si>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</si>
  <si>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</si>
  <si>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</si>
  <si>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</si>
  <si>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</si>
  <si>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</si>
  <si>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</si>
  <si>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</si>
  <si>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</si>
  <si>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</si>
  <si>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</si>
  <si>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</si>
  <si>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</si>
  <si>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</si>
  <si>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</si>
  <si>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</si>
  <si>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</si>
  <si>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</si>
  <si>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</si>
  <si>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</si>
  <si>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</si>
  <si>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</si>
  <si>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</si>
  <si>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</si>
  <si>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</si>
  <si>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</si>
  <si>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</si>
  <si>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</si>
  <si>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</si>
  <si>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</si>
  <si>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</si>
  <si>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</si>
  <si>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</si>
  <si>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</si>
  <si>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</si>
  <si>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</si>
  <si>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</si>
  <si>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</si>
  <si>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</si>
  <si>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</si>
  <si>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</si>
  <si>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</si>
  <si>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</si>
  <si>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</si>
  <si>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</si>
  <si>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</si>
  <si>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</si>
  <si>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</si>
  <si>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</si>
  <si>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</si>
  <si>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</si>
  <si>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</si>
  <si>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</si>
  <si>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</si>
  <si>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</si>
  <si>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</si>
  <si>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</si>
  <si>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</si>
  <si>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</si>
  <si>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</si>
  <si>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</si>
  <si>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</si>
  <si>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</si>
  <si>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</si>
  <si>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</si>
  <si>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</si>
  <si>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</si>
  <si>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</si>
  <si>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</si>
  <si>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</si>
  <si>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</si>
  <si>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</si>
  <si>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</si>
  <si>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</si>
  <si>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</si>
  <si>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</si>
  <si>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</si>
  <si>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</si>
  <si>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</si>
  <si>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</si>
  <si>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</si>
  <si>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</si>
  <si>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</si>
  <si>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</si>
  <si>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</si>
  <si>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</si>
  <si>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</si>
  <si>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</si>
  <si>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</si>
  <si>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</si>
  <si>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</si>
  <si>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</si>
  <si>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</si>
  <si>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</si>
  <si>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</si>
  <si>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</si>
  <si>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</si>
  <si>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</si>
  <si>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</si>
  <si>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</si>
  <si>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</si>
  <si>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</si>
  <si>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</si>
  <si>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</si>
  <si>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</si>
  <si>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</si>
  <si>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</si>
  <si>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</si>
  <si>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</si>
  <si>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</si>
  <si>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</si>
  <si>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</si>
  <si>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</si>
  <si>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</si>
  <si>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</si>
  <si>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</si>
  <si>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</si>
  <si>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</si>
  <si>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</si>
  <si>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</si>
  <si>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</si>
  <si>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</si>
  <si>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</si>
  <si>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</si>
  <si>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</si>
  <si>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</si>
  <si>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</si>
  <si>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</si>
  <si>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</si>
  <si>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</si>
  <si>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</si>
  <si>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</si>
  <si>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</si>
  <si>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</si>
  <si>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</si>
  <si>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</si>
  <si>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</si>
  <si>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</si>
  <si>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</si>
  <si>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</si>
  <si>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</si>
  <si>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</si>
  <si>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</si>
  <si>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</si>
  <si>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</si>
  <si>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</si>
  <si>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</si>
  <si>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</si>
  <si>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</si>
  <si>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</si>
  <si>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</si>
  <si>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</si>
  <si>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</si>
  <si>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</si>
  <si>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</si>
  <si>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</si>
  <si>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</si>
  <si>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</si>
  <si>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</si>
  <si>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</si>
  <si>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</si>
  <si>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</si>
  <si>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</si>
  <si>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</si>
  <si>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</si>
  <si>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</si>
  <si>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</si>
  <si>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</si>
  <si>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</si>
  <si>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</si>
  <si>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</si>
  <si>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</si>
  <si>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</si>
  <si>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</si>
  <si>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</si>
  <si>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</si>
  <si>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</si>
  <si>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</si>
  <si>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</si>
  <si>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</si>
  <si>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</si>
  <si>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</si>
  <si>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</si>
  <si>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</si>
  <si>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</si>
  <si>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</si>
  <si>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</si>
  <si>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</si>
  <si>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</si>
  <si>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</si>
  <si>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</si>
  <si>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</si>
  <si>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</si>
  <si>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</si>
  <si>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</si>
  <si>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</si>
  <si>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</si>
  <si>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</si>
  <si>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</si>
  <si>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</si>
  <si>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</si>
  <si>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</si>
  <si>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</si>
  <si>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</si>
  <si>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</si>
  <si>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</si>
  <si>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</si>
  <si>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</si>
  <si>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</si>
  <si>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</si>
  <si>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</si>
  <si>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</si>
  <si>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</si>
  <si>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</si>
  <si>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</si>
  <si>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</si>
  <si>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</si>
  <si>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</si>
  <si>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</si>
  <si>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</si>
  <si>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</si>
  <si>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</si>
  <si>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</si>
  <si>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</si>
  <si>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</si>
  <si>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</si>
  <si>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</si>
  <si>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</si>
  <si>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</si>
  <si>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</si>
  <si>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</si>
  <si>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</si>
  <si>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</si>
  <si>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</si>
  <si>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</si>
  <si>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</si>
  <si>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</si>
  <si>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</si>
  <si>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</si>
  <si>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</si>
  <si>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</si>
  <si>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</si>
  <si>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</si>
  <si>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</si>
  <si>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</si>
  <si>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</si>
  <si>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</si>
  <si>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</si>
  <si>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</si>
  <si>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</si>
  <si>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</si>
  <si>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</si>
  <si>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</si>
  <si>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</si>
  <si>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</si>
  <si>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</si>
  <si>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</si>
  <si>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</si>
  <si>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</si>
  <si>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</si>
  <si>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</si>
  <si>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</si>
  <si>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</si>
  <si>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</si>
  <si>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</si>
  <si>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</si>
  <si>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</si>
  <si>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</si>
  <si>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</si>
  <si>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</si>
  <si>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</si>
  <si>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</si>
  <si>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</si>
  <si>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</si>
  <si>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</si>
  <si>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</si>
  <si>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</si>
  <si>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</si>
  <si>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</si>
  <si>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</si>
  <si>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</si>
  <si>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</si>
  <si>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</si>
  <si>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</si>
  <si>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</si>
  <si>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</si>
  <si>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</si>
  <si>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</si>
  <si>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</si>
  <si>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</si>
  <si>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</si>
  <si>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</si>
  <si>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</si>
  <si>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</si>
  <si>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</si>
  <si>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</si>
  <si>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</si>
  <si>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</si>
  <si>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</si>
  <si>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</si>
  <si>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</si>
  <si>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</si>
  <si>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</si>
  <si>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</si>
  <si>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</si>
  <si>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</si>
  <si>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</si>
  <si>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</si>
  <si>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</si>
  <si>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</si>
  <si>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</si>
  <si>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</si>
  <si>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</si>
  <si>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</si>
  <si>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</si>
  <si>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</si>
  <si>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</si>
  <si>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</si>
  <si>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</si>
  <si>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</si>
  <si>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</si>
  <si>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</si>
  <si>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</si>
  <si>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</si>
  <si>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</si>
  <si>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</si>
  <si>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</si>
  <si>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</si>
  <si>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</si>
  <si>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</si>
  <si>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</si>
  <si>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</si>
  <si>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</si>
  <si>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</si>
  <si>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</si>
  <si>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</si>
  <si>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</si>
  <si>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</si>
  <si>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</si>
  <si>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</si>
  <si>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</si>
  <si>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</si>
  <si>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</si>
  <si>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</si>
  <si>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</si>
  <si>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</si>
  <si>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</si>
  <si>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</si>
  <si>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</si>
  <si>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</si>
  <si>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</si>
  <si>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</si>
  <si>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</si>
  <si>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</si>
  <si>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</si>
  <si>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</si>
  <si>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</si>
  <si>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</si>
  <si>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</si>
  <si>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</si>
  <si>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</si>
  <si>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</si>
  <si>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</si>
  <si>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</si>
  <si>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</si>
  <si>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</si>
  <si>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</si>
  <si>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</si>
  <si>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</si>
  <si>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</si>
  <si>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</si>
  <si>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</si>
  <si>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</si>
  <si>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</si>
  <si>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</si>
  <si>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</si>
  <si>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</si>
  <si>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</si>
  <si>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</si>
  <si>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</si>
  <si>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</si>
  <si>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</si>
  <si>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</si>
  <si>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</si>
  <si>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</si>
  <si>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</si>
  <si>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</si>
  <si>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</si>
  <si>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</si>
  <si>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</si>
  <si>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</si>
  <si>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</si>
  <si>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</si>
  <si>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</si>
  <si>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</si>
  <si>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</si>
  <si>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</si>
  <si>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</si>
  <si>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</si>
  <si>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</si>
  <si>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</si>
  <si>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</si>
  <si>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</si>
  <si>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</si>
  <si>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</si>
  <si>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</si>
  <si>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</si>
  <si>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</si>
  <si>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</si>
  <si>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</si>
  <si>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</si>
  <si>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</si>
  <si>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</si>
  <si>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</si>
  <si>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</si>
  <si>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</si>
  <si>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</si>
  <si>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</si>
  <si>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</si>
  <si>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</si>
  <si>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</si>
  <si>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</si>
  <si>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</si>
  <si>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</si>
  <si>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</si>
  <si>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</si>
  <si>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</si>
  <si>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</si>
  <si>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</si>
  <si>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</si>
  <si>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</si>
  <si>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</si>
  <si>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</si>
  <si>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</si>
  <si>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</si>
  <si>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</si>
  <si>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</si>
  <si>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</si>
  <si>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</si>
  <si>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</si>
  <si>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</si>
  <si>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</si>
  <si>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</si>
  <si>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</si>
  <si>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</si>
  <si>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</si>
  <si>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</si>
  <si>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</si>
  <si>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</si>
  <si>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</si>
  <si>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</si>
  <si>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</si>
  <si>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</si>
  <si>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</si>
  <si>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</si>
  <si>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</si>
  <si>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</si>
  <si>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</si>
  <si>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</si>
  <si>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</si>
  <si>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</si>
  <si>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</si>
  <si>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</si>
  <si>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</si>
  <si>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</si>
  <si>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</si>
  <si>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</si>
  <si>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</si>
  <si>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</si>
  <si>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</si>
  <si>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</si>
  <si>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</si>
  <si>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</si>
  <si>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</si>
  <si>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</si>
  <si>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</si>
  <si>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</si>
  <si>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</si>
  <si>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</si>
  <si>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</si>
  <si>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</si>
  <si>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</si>
  <si>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</si>
  <si>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</si>
  <si>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</si>
  <si>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</si>
  <si>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</si>
  <si>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</si>
  <si>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</si>
  <si>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</si>
  <si>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</si>
  <si>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</si>
  <si>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</si>
  <si>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</si>
  <si>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</si>
  <si>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</si>
  <si>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</si>
  <si>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</si>
  <si>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</si>
  <si>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</si>
  <si>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</si>
  <si>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</si>
  <si>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</si>
  <si>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</si>
  <si>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</si>
  <si>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</si>
  <si>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</si>
  <si>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</si>
  <si>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</si>
  <si>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</si>
  <si>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</si>
  <si>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</si>
  <si>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</si>
  <si>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</si>
  <si>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</si>
  <si>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</si>
  <si>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</si>
  <si>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</si>
  <si>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</si>
  <si>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</si>
  <si>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</si>
  <si>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</si>
  <si>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</si>
  <si>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</si>
  <si>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</si>
  <si>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</si>
  <si>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</si>
  <si>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</si>
  <si>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</si>
  <si>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</si>
  <si>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</si>
  <si>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</si>
  <si>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</si>
  <si>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</si>
  <si>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</si>
  <si>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</si>
  <si>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</si>
  <si>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</si>
  <si>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</si>
  <si>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</si>
  <si>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</si>
  <si>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</si>
  <si>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</si>
  <si>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</si>
  <si>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</si>
  <si>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</si>
  <si>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</si>
  <si>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</si>
  <si>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</si>
  <si>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</si>
  <si>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</si>
  <si>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</si>
  <si>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</si>
  <si>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</si>
  <si>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</si>
  <si>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</si>
  <si>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</si>
  <si>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</si>
  <si>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</si>
  <si>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</si>
  <si>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</si>
  <si>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</si>
  <si>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</si>
  <si>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</si>
  <si>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</si>
  <si>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</si>
  <si>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</si>
  <si>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</si>
  <si>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</si>
  <si>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</si>
  <si>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</si>
  <si>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</si>
  <si>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</si>
  <si>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</si>
  <si>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</si>
  <si>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</si>
  <si>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</si>
  <si>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</si>
  <si>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</si>
  <si>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</si>
  <si>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</si>
  <si>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</si>
  <si>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</si>
  <si>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</si>
  <si>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</si>
  <si>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</si>
  <si>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</si>
  <si>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</si>
  <si>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</si>
  <si>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</si>
  <si>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</si>
  <si>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</si>
  <si>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</si>
  <si>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</si>
  <si>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</si>
  <si>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</si>
  <si>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</si>
  <si>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</si>
  <si>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</si>
  <si>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</si>
  <si>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</si>
  <si>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</si>
  <si>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</si>
  <si>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</si>
  <si>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</si>
  <si>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</si>
  <si>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</si>
  <si>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</si>
  <si>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</si>
  <si>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</si>
  <si>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</si>
  <si>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</si>
  <si>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</si>
  <si>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</si>
  <si>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</si>
  <si>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</si>
  <si>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</si>
  <si>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</si>
  <si>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</si>
  <si>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</si>
  <si>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</si>
  <si>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</si>
  <si>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</si>
  <si>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</si>
  <si>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</si>
  <si>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</si>
  <si>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</si>
  <si>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</si>
  <si>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</si>
  <si>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</si>
  <si>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</si>
  <si>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</si>
  <si>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</si>
  <si>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</si>
  <si>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</si>
  <si>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</si>
  <si>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</si>
  <si>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</si>
  <si>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</si>
  <si>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</si>
  <si>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</si>
  <si>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</si>
  <si>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</si>
  <si>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</si>
  <si>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</si>
  <si>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</si>
  <si>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</si>
  <si>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</si>
  <si>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</si>
  <si>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</si>
  <si>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</si>
  <si>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</si>
  <si>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</si>
  <si>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</si>
  <si>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</si>
  <si>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</si>
  <si>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</si>
  <si>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</si>
  <si>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</si>
  <si>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</si>
  <si>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</si>
  <si>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</si>
  <si>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</si>
  <si>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</si>
  <si>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</si>
  <si>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</si>
  <si>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</si>
  <si>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</si>
  <si>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</si>
  <si>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</si>
  <si>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</si>
  <si>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</si>
  <si>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</si>
  <si>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</si>
  <si>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</si>
  <si>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</si>
  <si>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</si>
  <si>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</si>
  <si>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</si>
  <si>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</si>
  <si>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</si>
  <si>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</si>
  <si>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</si>
  <si>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</si>
  <si>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</si>
  <si>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</si>
  <si>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</si>
  <si>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</si>
  <si>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</si>
  <si>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</si>
  <si>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</si>
  <si>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</si>
  <si>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</si>
  <si>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</si>
  <si>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</si>
  <si>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</si>
  <si>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</si>
  <si>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</si>
  <si>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</si>
  <si>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</si>
  <si>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</si>
  <si>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</si>
  <si>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</si>
  <si>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</si>
  <si>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</si>
  <si>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</si>
  <si>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</si>
  <si>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</si>
  <si>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</si>
  <si>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</si>
  <si>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</si>
  <si>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</si>
  <si>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</si>
  <si>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</si>
  <si>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</si>
  <si>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</si>
  <si>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</si>
  <si>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</si>
  <si>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</si>
  <si>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</si>
  <si>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</si>
  <si>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</si>
  <si>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</si>
  <si>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</si>
  <si>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</si>
  <si>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</si>
  <si>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</si>
  <si>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</si>
  <si>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</si>
  <si>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</si>
  <si>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</si>
  <si>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</si>
  <si>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</si>
  <si>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</si>
  <si>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</si>
  <si>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</si>
  <si>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</si>
  <si>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</si>
  <si>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</si>
  <si>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</si>
  <si>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</si>
  <si>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</si>
  <si>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</si>
  <si>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</si>
  <si>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</si>
  <si>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</si>
  <si>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</si>
  <si>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</si>
  <si>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</si>
  <si>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</si>
  <si>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</si>
  <si>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</si>
  <si>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</si>
  <si>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</si>
  <si>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</si>
  <si>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</si>
  <si>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</si>
  <si>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</si>
  <si>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</si>
  <si>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</si>
  <si>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</si>
  <si>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</si>
  <si>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</si>
  <si>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</si>
  <si>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</si>
  <si>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</si>
  <si>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</si>
  <si>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</si>
  <si>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</si>
  <si>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</si>
  <si>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</si>
  <si>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</si>
  <si>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</si>
  <si>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</si>
  <si>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</si>
  <si>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</si>
  <si>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</si>
  <si>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</si>
  <si>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</si>
  <si>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</si>
  <si>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</si>
  <si>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</si>
  <si>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</si>
  <si>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</si>
  <si>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</si>
  <si>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</si>
  <si>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</si>
  <si>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</si>
  <si>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</si>
  <si>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</si>
  <si>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</si>
  <si>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</si>
  <si>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</si>
  <si>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</si>
  <si>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</si>
  <si>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</si>
  <si>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</si>
  <si>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</si>
  <si>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</si>
  <si>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</si>
  <si>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</si>
  <si>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</si>
  <si>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</si>
  <si>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</si>
  <si>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</si>
  <si>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</si>
  <si>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</si>
  <si>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</si>
  <si>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</si>
  <si>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</si>
  <si>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</si>
  <si>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</si>
  <si>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</si>
  <si>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</si>
  <si>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</si>
  <si>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</si>
  <si>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</si>
  <si>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</si>
  <si>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</si>
  <si>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</si>
  <si>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</si>
  <si>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</si>
  <si>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</si>
  <si>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</si>
  <si>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</si>
  <si>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</si>
  <si>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</si>
  <si>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</si>
  <si>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</si>
  <si>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</si>
  <si>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</si>
  <si>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</si>
  <si>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</si>
  <si>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</si>
  <si>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</si>
  <si>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</si>
  <si>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</si>
  <si>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</si>
  <si>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</si>
  <si>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</si>
  <si>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</si>
  <si>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</si>
  <si>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</si>
  <si>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</si>
  <si>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</si>
  <si>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</si>
  <si>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</si>
  <si>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</si>
  <si>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</si>
  <si>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</si>
  <si>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</si>
  <si>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</si>
  <si>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</si>
  <si>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</si>
  <si>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</si>
  <si>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</si>
  <si>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</si>
  <si>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</si>
  <si>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</si>
  <si>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</si>
  <si>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</si>
  <si>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</si>
  <si>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</si>
  <si>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</si>
  <si>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</si>
  <si>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</si>
  <si>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</si>
  <si>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</si>
  <si>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</si>
  <si>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</si>
  <si>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</si>
  <si>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</si>
  <si>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</si>
  <si>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</si>
  <si>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</si>
  <si>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</si>
  <si>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</si>
  <si>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</si>
  <si>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</si>
  <si>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</si>
  <si>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</si>
  <si>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</si>
  <si>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</si>
  <si>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</si>
  <si>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</si>
  <si>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</si>
  <si>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</si>
  <si>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</si>
  <si>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</si>
  <si>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</si>
  <si>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</si>
  <si>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</si>
  <si>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</si>
  <si>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</si>
  <si>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</si>
  <si>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</si>
  <si>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</si>
  <si>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</si>
  <si>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</si>
  <si>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</si>
  <si>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</si>
  <si>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</si>
  <si>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</si>
  <si>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</si>
  <si>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</si>
  <si>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</si>
  <si>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</si>
  <si>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</si>
  <si>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</si>
  <si>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</si>
  <si>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</si>
  <si>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</si>
  <si>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</si>
  <si>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</si>
  <si>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</si>
  <si>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</si>
  <si>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</si>
  <si>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</si>
  <si>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</si>
  <si>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</si>
  <si>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</si>
  <si>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</si>
  <si>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</si>
  <si>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</si>
  <si>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</si>
  <si>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</si>
  <si>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</si>
  <si>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</si>
  <si>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</si>
  <si>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</si>
  <si>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</si>
  <si>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</si>
  <si>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</si>
  <si>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</si>
  <si>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</si>
  <si>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</si>
  <si>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</si>
  <si>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</si>
  <si>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</si>
  <si>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</si>
  <si>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</si>
  <si>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</si>
  <si>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</si>
  <si>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</si>
  <si>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</si>
  <si>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</si>
  <si>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</si>
  <si>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</si>
  <si>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</si>
  <si>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</si>
  <si>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</si>
  <si>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</si>
  <si>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</si>
  <si>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</si>
  <si>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</si>
  <si>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</si>
  <si>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</si>
  <si>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</si>
  <si>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</si>
  <si>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</si>
  <si>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</si>
  <si>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</si>
  <si>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</si>
  <si>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</si>
  <si>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</si>
  <si>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</si>
  <si>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</si>
  <si>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</si>
  <si>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</si>
  <si>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</si>
  <si>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</si>
  <si>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</si>
  <si>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</si>
  <si>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</si>
  <si>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</si>
  <si>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</si>
  <si>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</si>
  <si>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</si>
  <si>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</si>
  <si>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</si>
  <si>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</si>
  <si>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</si>
  <si>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</si>
  <si>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</si>
  <si>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</si>
  <si>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</si>
  <si>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</si>
  <si>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</si>
  <si>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</si>
  <si>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</si>
  <si>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</si>
  <si>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</si>
  <si>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</si>
  <si>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</si>
  <si>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</si>
  <si>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</si>
  <si>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</si>
  <si>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</si>
  <si>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</si>
  <si>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</si>
  <si>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</si>
  <si>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</si>
  <si>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</si>
  <si>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</si>
  <si>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</si>
  <si>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</si>
  <si>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</si>
  <si>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</si>
  <si>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</si>
  <si>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</si>
  <si>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</si>
  <si>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</si>
  <si>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</si>
  <si>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</si>
  <si>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</si>
  <si>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</si>
  <si>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</si>
  <si>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</si>
  <si>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</si>
  <si>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</si>
  <si>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</si>
  <si>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</si>
  <si>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</si>
  <si>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</si>
  <si>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</si>
  <si>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</si>
  <si>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</si>
  <si>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</si>
  <si>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</si>
  <si>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</si>
  <si>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</si>
  <si>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</si>
  <si>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</si>
  <si>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</si>
  <si>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</si>
  <si>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</si>
  <si>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</si>
  <si>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</si>
  <si>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</si>
  <si>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</si>
  <si>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</si>
  <si>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</si>
  <si>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</si>
  <si>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</si>
  <si>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</si>
  <si>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</si>
  <si>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</si>
  <si>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</si>
  <si>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</si>
  <si>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</si>
  <si>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</si>
  <si>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</si>
  <si>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</si>
  <si>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</si>
  <si>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</si>
  <si>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</si>
  <si>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</si>
  <si>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</si>
  <si>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</si>
  <si>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</si>
  <si>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</si>
  <si>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</si>
  <si>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</si>
  <si>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</si>
  <si>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</si>
  <si>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</si>
  <si>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</si>
  <si>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</si>
  <si>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</si>
  <si>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</si>
  <si>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</si>
  <si>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</si>
  <si>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</si>
  <si>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</si>
  <si>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</si>
  <si>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</si>
  <si>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</si>
  <si>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</si>
  <si>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</si>
  <si>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</si>
  <si>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</si>
  <si>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</si>
  <si>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</si>
  <si>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</si>
  <si>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</si>
  <si>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</si>
  <si>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</si>
  <si>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</si>
  <si>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</si>
  <si>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</si>
  <si>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</si>
  <si>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</si>
  <si>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</si>
  <si>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</si>
  <si>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</si>
  <si>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</si>
  <si>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</si>
  <si>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</si>
  <si>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</si>
  <si>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</si>
  <si>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</si>
  <si>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</si>
  <si>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</si>
  <si>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</si>
  <si>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</si>
  <si>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</si>
  <si>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</si>
  <si>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</si>
  <si>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</si>
  <si>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</si>
  <si>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</si>
  <si>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</si>
  <si>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</si>
  <si>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</si>
  <si>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</si>
  <si>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</si>
  <si>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</si>
  <si>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</si>
  <si>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</si>
  <si>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</si>
  <si>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</si>
  <si>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</si>
  <si>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</si>
  <si>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</si>
  <si>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</si>
  <si>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</si>
  <si>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</si>
  <si>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</si>
  <si>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</si>
  <si>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</si>
  <si>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</si>
  <si>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</si>
  <si>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</si>
  <si>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</si>
  <si>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</si>
  <si>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</si>
  <si>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</si>
  <si>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</si>
  <si>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</si>
  <si>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</si>
  <si>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</si>
  <si>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</si>
  <si>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</si>
  <si>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</si>
  <si>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</si>
  <si>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</si>
  <si>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</si>
  <si>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</si>
  <si>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</si>
  <si>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</si>
  <si>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</si>
  <si>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</si>
  <si>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</si>
  <si>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</si>
  <si>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</si>
  <si>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</si>
  <si>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</si>
  <si>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</si>
  <si>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</si>
  <si>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</si>
  <si>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</si>
  <si>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</si>
  <si>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</si>
  <si>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</si>
  <si>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</si>
  <si>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</si>
  <si>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</si>
  <si>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</si>
  <si>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</si>
  <si>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</si>
  <si>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</si>
  <si>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</si>
  <si>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</si>
  <si>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</si>
  <si>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</si>
  <si>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</si>
  <si>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</si>
  <si>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</si>
  <si>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</si>
  <si>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</si>
  <si>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</si>
  <si>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</si>
  <si>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</si>
  <si>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</si>
  <si>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</si>
  <si>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</si>
  <si>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</si>
  <si>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</si>
  <si>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</si>
  <si>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</si>
  <si>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</si>
  <si>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</si>
  <si>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</si>
  <si>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</si>
  <si>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</si>
  <si>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</si>
  <si>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</si>
  <si>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</si>
  <si>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</si>
  <si>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</si>
  <si>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</si>
  <si>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</si>
  <si>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</si>
  <si>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</si>
  <si>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</si>
  <si>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</si>
  <si>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</si>
  <si>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</si>
  <si>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</si>
  <si>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</si>
  <si>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</si>
  <si>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</si>
  <si>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</si>
  <si>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</si>
  <si>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</si>
  <si>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</si>
  <si>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</si>
  <si>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</si>
  <si>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</si>
  <si>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</si>
  <si>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</si>
  <si>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</si>
  <si>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</si>
  <si>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</si>
  <si>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</si>
  <si>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</si>
  <si>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</si>
  <si>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</si>
  <si>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</si>
  <si>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</si>
  <si>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</si>
  <si>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</si>
  <si>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</si>
  <si>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</si>
  <si>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</si>
  <si>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</si>
  <si>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</si>
  <si>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</si>
  <si>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</si>
  <si>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</si>
  <si>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</si>
  <si>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</si>
  <si>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</si>
  <si>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</si>
  <si>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</si>
  <si>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</si>
  <si>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</si>
  <si>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</si>
  <si>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</si>
  <si>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</si>
  <si>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</si>
  <si>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</si>
  <si>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</si>
  <si>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</si>
  <si>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</si>
  <si>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</si>
  <si>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</si>
  <si>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</si>
  <si>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</si>
  <si>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</si>
  <si>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</si>
  <si>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</si>
  <si>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</si>
  <si>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</si>
  <si>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</si>
  <si>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</si>
  <si>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</si>
  <si>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</si>
  <si>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</si>
  <si>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</si>
  <si>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</si>
  <si>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</si>
  <si>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</si>
  <si>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</si>
  <si>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</si>
  <si>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</si>
  <si>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</si>
  <si>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</si>
  <si>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</si>
  <si>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</si>
  <si>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</si>
  <si>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</si>
  <si>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</si>
  <si>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</si>
  <si>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</si>
  <si>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</si>
  <si>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</si>
  <si>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</si>
  <si>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</si>
  <si>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</si>
  <si>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</si>
  <si>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</si>
  <si>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</si>
  <si>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</si>
  <si>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</si>
  <si>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</si>
  <si>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</si>
  <si>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</si>
  <si>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</si>
  <si>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</si>
  <si>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</si>
  <si>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</si>
  <si>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</si>
  <si>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</si>
  <si>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</si>
  <si>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</si>
  <si>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</si>
  <si>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</si>
  <si>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</si>
  <si>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</si>
  <si>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</si>
  <si>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</si>
  <si>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</si>
  <si>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</si>
  <si>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</si>
  <si>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</si>
  <si>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</si>
  <si>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</si>
  <si>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</si>
  <si>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</si>
  <si>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</si>
  <si>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</si>
  <si>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</si>
  <si>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</si>
  <si>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</si>
  <si>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</si>
  <si>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</si>
  <si>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</si>
  <si>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</si>
  <si>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</si>
  <si>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</si>
  <si>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</si>
  <si>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</si>
  <si>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</si>
  <si>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</si>
  <si>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</si>
  <si>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</si>
  <si>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</si>
  <si>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</si>
  <si>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</si>
  <si>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</si>
  <si>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</si>
  <si>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</si>
  <si>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</si>
  <si>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</si>
  <si>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</si>
  <si>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</si>
  <si>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</si>
  <si>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</si>
  <si>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</si>
  <si>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</si>
  <si>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</si>
  <si>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</si>
  <si>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</si>
  <si>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</si>
  <si>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</si>
  <si>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</si>
  <si>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</si>
  <si>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</si>
  <si>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</si>
  <si>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</si>
  <si>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</si>
  <si>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</si>
  <si>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</si>
  <si>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</si>
  <si>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</si>
  <si>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</si>
  <si>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</si>
  <si>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</si>
  <si>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</si>
  <si>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</si>
  <si>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</si>
  <si>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</si>
  <si>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</si>
  <si>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</si>
  <si>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</si>
  <si>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</si>
  <si>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</si>
  <si>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</si>
  <si>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</si>
  <si>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</si>
  <si>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</si>
  <si>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</si>
  <si>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</si>
  <si>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</si>
  <si>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</si>
  <si>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</si>
  <si>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</si>
  <si>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</si>
  <si>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</si>
  <si>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</si>
  <si>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</si>
  <si>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</si>
  <si>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</si>
  <si>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</si>
  <si>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</si>
  <si>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</si>
  <si>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</si>
  <si>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</si>
  <si>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</si>
  <si>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</si>
  <si>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</si>
  <si>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</si>
  <si>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</si>
  <si>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</si>
  <si>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</si>
  <si>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</si>
  <si>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</si>
  <si>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</si>
  <si>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</si>
  <si>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</si>
  <si>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</si>
  <si>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</si>
  <si>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</si>
  <si>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</si>
  <si>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</si>
  <si>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</si>
  <si>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</si>
  <si>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</si>
  <si>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</si>
  <si>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</si>
  <si>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</si>
  <si>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</si>
  <si>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</si>
  <si>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</si>
  <si>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</si>
  <si>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</si>
  <si>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</si>
  <si>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</si>
  <si>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</si>
  <si>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</si>
  <si>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</si>
  <si>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</si>
  <si>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</si>
  <si>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</si>
  <si>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</si>
  <si>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</si>
  <si>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</si>
  <si>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</si>
  <si>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</si>
  <si>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</si>
  <si>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</si>
  <si>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</si>
  <si>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</si>
  <si>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</si>
  <si>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</si>
  <si>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</si>
  <si>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</si>
  <si>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</si>
  <si>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</si>
  <si>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</si>
  <si>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</si>
  <si>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</si>
  <si>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</si>
  <si>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</si>
  <si>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</si>
  <si>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</si>
  <si>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</si>
  <si>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</si>
  <si>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</si>
  <si>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</si>
  <si>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</si>
  <si>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</si>
  <si>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</si>
  <si>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</si>
  <si>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</si>
  <si>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</si>
  <si>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</si>
  <si>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</si>
  <si>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</si>
  <si>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</si>
  <si>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</si>
  <si>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</si>
  <si>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</si>
  <si>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</si>
  <si>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</si>
  <si>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</si>
  <si>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</si>
  <si>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</si>
  <si>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</si>
  <si>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</si>
  <si>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</si>
  <si>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</si>
  <si>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</si>
  <si>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</si>
  <si>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</si>
  <si>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</si>
  <si>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</si>
  <si>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</si>
  <si>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</si>
  <si>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</si>
  <si>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</si>
  <si>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</si>
  <si>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</si>
  <si>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</si>
  <si>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</si>
  <si>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</si>
  <si>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</si>
  <si>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</si>
  <si>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</si>
  <si>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</si>
  <si>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</si>
  <si>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</si>
  <si>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</si>
  <si>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</si>
  <si>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</si>
  <si>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</si>
  <si>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</si>
  <si>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</si>
  <si>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</si>
  <si>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</si>
  <si>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</si>
  <si>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</si>
  <si>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</si>
  <si>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</si>
  <si>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</si>
  <si>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</si>
  <si>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</si>
  <si>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</si>
  <si>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</si>
  <si>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</si>
  <si>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</si>
  <si>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</si>
  <si>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</si>
  <si>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</si>
  <si>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</si>
  <si>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</si>
  <si>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</si>
  <si>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</si>
  <si>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</si>
  <si>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</si>
  <si>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</si>
  <si>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</si>
  <si>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</si>
  <si>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</si>
  <si>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</si>
  <si>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</si>
  <si>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</si>
  <si>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</si>
  <si>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</si>
  <si>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</si>
  <si>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</si>
  <si>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</si>
  <si>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</si>
  <si>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</si>
  <si>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</si>
  <si>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</si>
  <si>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</si>
  <si>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</si>
  <si>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</si>
  <si>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</si>
  <si>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</si>
  <si>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</si>
  <si>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</si>
  <si>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</si>
  <si>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</si>
  <si>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</si>
  <si>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</si>
  <si>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</si>
  <si>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</si>
  <si>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</si>
  <si>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</si>
  <si>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</si>
  <si>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</si>
  <si>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</si>
  <si>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</si>
  <si>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</si>
  <si>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</si>
  <si>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</si>
  <si>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</si>
  <si>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</si>
  <si>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</si>
  <si>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</si>
  <si>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</si>
  <si>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</si>
  <si>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</si>
  <si>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</si>
  <si>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</si>
  <si>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</si>
  <si>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</si>
  <si>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</si>
  <si>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</si>
  <si>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</si>
  <si>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</si>
  <si>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</si>
  <si>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</si>
  <si>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</si>
  <si>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</si>
  <si>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</si>
  <si>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</si>
  <si>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</si>
  <si>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</si>
  <si>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</si>
  <si>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</si>
  <si>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</si>
  <si>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</si>
  <si>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</si>
  <si>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</si>
  <si>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</si>
  <si>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</si>
  <si>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</si>
  <si>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</si>
  <si>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</si>
  <si>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</si>
  <si>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</si>
  <si>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</si>
  <si>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</si>
  <si>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</si>
  <si>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</si>
  <si>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</si>
  <si>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</si>
  <si>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</si>
  <si>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</si>
  <si>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</si>
  <si>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</si>
  <si>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</si>
  <si>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</si>
  <si>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</si>
  <si>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</si>
  <si>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</si>
  <si>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</si>
  <si>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</si>
  <si>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</si>
  <si>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</si>
  <si>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</si>
  <si>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</si>
  <si>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</si>
  <si>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</si>
  <si>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</si>
  <si>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</si>
  <si>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</si>
  <si>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</si>
  <si>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</si>
  <si>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</si>
  <si>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</si>
  <si>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</si>
  <si>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</si>
  <si>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</si>
  <si>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</si>
  <si>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</si>
  <si>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</si>
  <si>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</si>
  <si>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</si>
  <si>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</si>
  <si>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</si>
  <si>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</si>
  <si>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</si>
  <si>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</si>
  <si>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</si>
  <si>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</si>
  <si>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</si>
  <si>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</si>
  <si>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</si>
  <si>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</si>
  <si>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</si>
  <si>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</si>
  <si>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</si>
  <si>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</si>
  <si>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</si>
  <si>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</si>
  <si>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</si>
  <si>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</si>
  <si>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</si>
  <si>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</si>
  <si>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</si>
  <si>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</si>
  <si>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</si>
  <si>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</si>
  <si>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</si>
  <si>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</si>
  <si>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</si>
  <si>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</si>
  <si>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</si>
  <si>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</si>
  <si>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</si>
  <si>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</si>
  <si>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</si>
  <si>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</si>
  <si>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</si>
  <si>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</si>
  <si>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</si>
  <si>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</si>
  <si>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</si>
  <si>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</si>
  <si>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</si>
  <si>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</si>
  <si>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</si>
  <si>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</si>
  <si>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</si>
  <si>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</si>
  <si>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</si>
  <si>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</si>
  <si>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</si>
  <si>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</si>
  <si>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</si>
  <si>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</si>
  <si>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</si>
  <si>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</si>
  <si>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</si>
  <si>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</si>
  <si>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</si>
  <si>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</si>
  <si>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</si>
  <si>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</si>
  <si>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</si>
  <si>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</si>
  <si>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</si>
  <si>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</si>
  <si>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</si>
  <si>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</si>
  <si>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</si>
  <si>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</si>
  <si>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</si>
  <si>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</si>
  <si>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</si>
  <si>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</si>
  <si>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</si>
  <si>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</si>
  <si>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</si>
  <si>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</si>
  <si>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</si>
  <si>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</si>
  <si>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</si>
  <si>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</si>
  <si>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</si>
  <si>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</si>
  <si>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</si>
  <si>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</si>
  <si>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</si>
  <si>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</si>
  <si>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</si>
  <si>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</si>
  <si>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</si>
  <si>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</si>
  <si>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</si>
  <si>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</si>
  <si>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</si>
  <si>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</si>
  <si>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</si>
  <si>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</si>
  <si>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</si>
  <si>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</si>
  <si>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</si>
  <si>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</si>
  <si>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</si>
  <si>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</si>
  <si>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</si>
  <si>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</si>
  <si>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</si>
  <si>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</si>
  <si>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</si>
  <si>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</si>
  <si>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</si>
  <si>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</si>
  <si>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</si>
  <si>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</si>
  <si>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</si>
  <si>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</si>
  <si>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</si>
  <si>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</si>
  <si>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</si>
  <si>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</si>
  <si>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</si>
  <si>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</si>
  <si>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</si>
  <si>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</si>
  <si>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</si>
  <si>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</si>
  <si>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</si>
  <si>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</si>
  <si>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</si>
  <si>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</si>
  <si>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</si>
  <si>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</si>
  <si>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</si>
  <si>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</si>
  <si>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</si>
  <si>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</si>
  <si>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</si>
  <si>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</si>
  <si>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</si>
  <si>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</si>
  <si>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</si>
  <si>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</si>
  <si>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</si>
  <si>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</si>
  <si>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</si>
  <si>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</si>
  <si>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</si>
  <si>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</si>
  <si>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</si>
  <si>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</si>
  <si>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</si>
  <si>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</si>
  <si>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</si>
  <si>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</si>
  <si>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</si>
  <si>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</si>
  <si>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</si>
  <si>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</si>
  <si>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</si>
  <si>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</si>
  <si>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</si>
  <si>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</si>
  <si>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</si>
  <si>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</si>
  <si>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</si>
  <si>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</si>
  <si>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</si>
  <si>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</si>
  <si>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</si>
  <si>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</si>
  <si>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</si>
  <si>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</si>
  <si>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</si>
  <si>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</si>
  <si>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</si>
  <si>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</si>
  <si>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</si>
  <si>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</si>
  <si>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</si>
  <si>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</si>
  <si>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</si>
  <si>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</si>
  <si>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</si>
  <si>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</si>
  <si>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</si>
  <si>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</si>
  <si>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</si>
  <si>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</si>
  <si>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</si>
  <si>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</si>
  <si>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</si>
  <si>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</si>
  <si>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</si>
  <si>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</si>
  <si>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</si>
  <si>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</si>
  <si>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</si>
  <si>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</si>
  <si>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</si>
  <si>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</si>
  <si>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</si>
  <si>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</si>
  <si>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</si>
  <si>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</si>
  <si>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</si>
  <si>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</si>
  <si>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</si>
  <si>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</si>
  <si>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</si>
  <si>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</si>
  <si>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</si>
  <si>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</si>
  <si>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</si>
  <si>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</si>
  <si>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</si>
  <si>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</si>
  <si>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</si>
  <si>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</si>
  <si>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</si>
  <si>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</si>
  <si>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</si>
  <si>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</si>
  <si>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</si>
  <si>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</si>
  <si>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</si>
  <si>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</si>
  <si>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</si>
  <si>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</si>
  <si>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</si>
  <si>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</si>
  <si>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</si>
  <si>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</si>
  <si>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</si>
  <si>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</si>
  <si>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</si>
  <si>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</si>
  <si>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</si>
  <si>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</si>
  <si>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</si>
  <si>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</si>
  <si>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</si>
  <si>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</si>
  <si>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</si>
  <si>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</si>
  <si>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</si>
  <si>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</si>
  <si>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</si>
  <si>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</si>
  <si>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</si>
  <si>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</si>
  <si>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</si>
  <si>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</si>
  <si>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</si>
  <si>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</si>
  <si>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</si>
  <si>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</si>
  <si>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</si>
  <si>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</si>
  <si>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</si>
  <si>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</si>
  <si>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</si>
  <si>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</si>
  <si>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</si>
  <si>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</si>
  <si>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</si>
  <si>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</si>
  <si>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</si>
  <si>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</si>
  <si>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</si>
  <si>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</si>
  <si>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</si>
  <si>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</si>
  <si>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</si>
  <si>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</si>
  <si>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</si>
  <si>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</si>
  <si>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</si>
  <si>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</si>
  <si>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</si>
  <si>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</si>
  <si>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</si>
  <si>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</si>
  <si>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</si>
  <si>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</si>
  <si>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</si>
  <si>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</si>
  <si>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</si>
  <si>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</si>
  <si>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</si>
  <si>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</si>
  <si>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</si>
  <si>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</si>
  <si>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</si>
  <si>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</si>
  <si>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</si>
  <si>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</si>
  <si>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</si>
  <si>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</si>
  <si>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</si>
  <si>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</si>
  <si>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</si>
  <si>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</si>
  <si>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</si>
  <si>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</si>
  <si>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</si>
  <si>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</si>
  <si>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</si>
  <si>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</si>
  <si>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</si>
  <si>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</si>
  <si>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</si>
  <si>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</si>
  <si>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</si>
  <si>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</si>
  <si>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</si>
  <si>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</si>
  <si>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</si>
  <si>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</si>
  <si>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</si>
  <si>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</si>
  <si>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</si>
  <si>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</si>
  <si>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</si>
  <si>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</si>
  <si>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</si>
  <si>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</si>
  <si>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</si>
  <si>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</si>
  <si>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</si>
  <si>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</si>
  <si>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</si>
  <si>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</si>
  <si>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</si>
  <si>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</si>
  <si>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</si>
  <si>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</si>
  <si>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</si>
  <si>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</si>
  <si>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</si>
  <si>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</si>
  <si>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</si>
  <si>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</si>
  <si>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</si>
  <si>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</si>
  <si>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</si>
  <si>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</si>
  <si>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</si>
  <si>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</si>
  <si>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</si>
  <si>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</si>
  <si>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</si>
  <si>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</si>
  <si>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</si>
  <si>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</si>
  <si>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</si>
  <si>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</si>
  <si>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</si>
  <si>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</si>
  <si>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</si>
  <si>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</si>
  <si>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</si>
  <si>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</si>
  <si>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</si>
  <si>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</si>
  <si>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</si>
  <si>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</si>
  <si>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</si>
  <si>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</si>
  <si>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</si>
  <si>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</si>
  <si>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</si>
  <si>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</si>
  <si>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</si>
  <si>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</si>
  <si>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</si>
  <si>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</si>
  <si>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</si>
  <si>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</si>
  <si>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</si>
  <si>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</si>
  <si>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</si>
  <si>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</si>
  <si>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</si>
  <si>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</si>
  <si>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</si>
  <si>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</si>
  <si>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</si>
  <si>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</si>
  <si>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</si>
  <si>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</si>
  <si>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</si>
  <si>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</si>
  <si>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</si>
  <si>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</si>
  <si>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</si>
  <si>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</si>
  <si>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</si>
  <si>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</si>
  <si>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</si>
  <si>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</si>
  <si>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</si>
  <si>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</si>
  <si>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</si>
  <si>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</si>
  <si>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</si>
  <si>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</si>
  <si>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</si>
  <si>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</si>
  <si>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</si>
  <si>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</si>
  <si>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</si>
  <si>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</si>
  <si>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</si>
  <si>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</si>
  <si>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</si>
  <si>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</si>
  <si>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</si>
  <si>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</si>
  <si>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</si>
  <si>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</si>
  <si>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</si>
  <si>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</si>
  <si>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</si>
  <si>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</si>
  <si>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</si>
  <si>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</si>
  <si>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</si>
  <si>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</si>
  <si>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</si>
  <si>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</si>
  <si>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</si>
  <si>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</si>
  <si>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</si>
  <si>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</si>
  <si>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</si>
  <si>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</si>
  <si>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</si>
  <si>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</si>
  <si>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</si>
  <si>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</si>
  <si>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</si>
  <si>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</si>
  <si>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</si>
  <si>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</si>
  <si>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</si>
  <si>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</si>
  <si>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</si>
  <si>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</si>
  <si>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</si>
  <si>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</si>
  <si>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</si>
  <si>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</si>
  <si>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</si>
  <si>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</si>
  <si>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</si>
  <si>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</si>
  <si>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</si>
  <si>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</si>
  <si>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</si>
  <si>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</si>
  <si>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</si>
  <si>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</si>
  <si>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</si>
  <si>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</si>
  <si>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</si>
  <si>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</si>
  <si>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</si>
  <si>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</si>
  <si>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</si>
  <si>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</si>
  <si>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</si>
  <si>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</si>
  <si>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</si>
  <si>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</si>
  <si>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</si>
  <si>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</si>
  <si>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</si>
  <si>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</si>
  <si>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</si>
  <si>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</si>
  <si>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</si>
  <si>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</si>
  <si>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</si>
  <si>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</si>
  <si>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</si>
  <si>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</si>
  <si>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</si>
  <si>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</si>
  <si>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</si>
  <si>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</si>
  <si>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</si>
  <si>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</si>
  <si>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</si>
  <si>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</si>
  <si>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</si>
  <si>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</si>
  <si>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</si>
  <si>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</si>
  <si>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</si>
  <si>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</si>
  <si>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</si>
  <si>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</si>
  <si>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</si>
  <si>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</si>
  <si>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</si>
  <si>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</si>
  <si>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</si>
  <si>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</si>
  <si>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</si>
  <si>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</si>
  <si>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</si>
  <si>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</si>
  <si>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</si>
  <si>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</si>
  <si>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</si>
  <si>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</si>
  <si>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</si>
  <si>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</si>
  <si>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</si>
  <si>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</si>
  <si>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</si>
  <si>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</si>
  <si>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</si>
  <si>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</si>
  <si>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</si>
  <si>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</si>
  <si>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</si>
  <si>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</si>
  <si>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</si>
  <si>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</si>
  <si>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</si>
  <si>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</si>
  <si>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</si>
  <si>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</si>
  <si>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</si>
  <si>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</si>
  <si>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</si>
  <si>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</si>
  <si>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</si>
  <si>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</si>
  <si>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</si>
  <si>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</si>
  <si>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</si>
  <si>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</si>
  <si>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</si>
  <si>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</si>
  <si>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</si>
  <si>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</si>
  <si>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</si>
  <si>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</si>
  <si>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</si>
  <si>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</si>
  <si>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</si>
  <si>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</si>
  <si>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</si>
  <si>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</si>
  <si>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</si>
  <si>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</si>
  <si>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</si>
  <si>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</si>
  <si>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</si>
  <si>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</si>
  <si>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</si>
  <si>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</si>
  <si>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</si>
  <si>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</si>
  <si>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</si>
  <si>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</si>
  <si>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</si>
  <si>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</si>
  <si>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</si>
  <si>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</si>
  <si>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</si>
  <si>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</si>
  <si>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</si>
  <si>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</si>
  <si>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</si>
  <si>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</si>
  <si>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</si>
  <si>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</si>
  <si>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</si>
  <si>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</si>
  <si>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</si>
  <si>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</si>
  <si>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</si>
  <si>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</si>
  <si>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</si>
  <si>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</si>
  <si>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</si>
  <si>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</si>
  <si>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</si>
  <si>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</si>
  <si>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</si>
  <si>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</si>
  <si>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</si>
  <si>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</si>
  <si>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</si>
  <si>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</si>
  <si>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</si>
  <si>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</si>
  <si>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</si>
  <si>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</si>
  <si>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</si>
  <si>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</si>
  <si>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</si>
  <si>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</si>
  <si>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</si>
  <si>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</si>
  <si>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</si>
  <si>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</si>
  <si>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</si>
  <si>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</si>
  <si>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</si>
  <si>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</si>
  <si>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</si>
  <si>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</si>
  <si>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</si>
  <si>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</si>
  <si>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</si>
  <si>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</si>
  <si>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</si>
  <si>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</si>
  <si>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</si>
  <si>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</si>
  <si>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</si>
  <si>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</si>
  <si>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</si>
  <si>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</si>
  <si>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</si>
  <si>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</si>
  <si>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</si>
  <si>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</si>
  <si>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</si>
  <si>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</si>
  <si>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</si>
  <si>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</si>
  <si>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</si>
  <si>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</si>
  <si>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</si>
  <si>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</si>
  <si>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</si>
  <si>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</si>
  <si>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</si>
  <si>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</si>
  <si>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</si>
  <si>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</si>
  <si>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</si>
  <si>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</si>
  <si>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</si>
  <si>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</si>
  <si>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</si>
  <si>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</si>
  <si>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</si>
  <si>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</si>
  <si>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</si>
  <si>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</si>
  <si>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</si>
  <si>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</si>
  <si>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</si>
  <si>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</si>
  <si>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</si>
  <si>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</si>
  <si>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</si>
  <si>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</si>
  <si>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</si>
  <si>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</si>
  <si>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</si>
  <si>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</si>
  <si>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</si>
  <si>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</si>
  <si>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</si>
  <si>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</si>
  <si>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</si>
  <si>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</si>
  <si>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</si>
  <si>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</si>
  <si>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</si>
  <si>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</si>
  <si>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</si>
  <si>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</si>
  <si>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</si>
  <si>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</si>
  <si>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</si>
  <si>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</si>
  <si>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</si>
  <si>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</si>
  <si>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</si>
  <si>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</si>
  <si>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</si>
  <si>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</si>
  <si>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</si>
  <si>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</si>
  <si>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</si>
  <si>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</si>
  <si>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</si>
  <si>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</si>
  <si>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</si>
  <si>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</si>
  <si>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</si>
  <si>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</si>
  <si>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</si>
  <si>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</si>
  <si>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</si>
  <si>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</si>
  <si>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</si>
  <si>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</si>
  <si>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</si>
  <si>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</si>
  <si>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</si>
  <si>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</si>
  <si>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</si>
  <si>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</si>
  <si>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</si>
  <si>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</si>
  <si>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</si>
  <si>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</si>
  <si>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</si>
  <si>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</si>
  <si>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</si>
  <si>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</si>
  <si>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</si>
  <si>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</si>
  <si>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</si>
  <si>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</si>
  <si>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</si>
  <si>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</si>
  <si>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</si>
  <si>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</si>
  <si>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</si>
  <si>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</si>
  <si>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</si>
  <si>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</si>
  <si>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</si>
  <si>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</si>
  <si>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</si>
  <si>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</si>
  <si>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</si>
  <si>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</si>
  <si>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</si>
  <si>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</si>
  <si>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</si>
  <si>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</si>
  <si>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</si>
  <si>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</si>
  <si>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</si>
  <si>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</si>
  <si>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</si>
  <si>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</si>
  <si>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</si>
  <si>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</si>
  <si>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</si>
  <si>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</si>
  <si>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</si>
  <si>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</si>
  <si>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</si>
  <si>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</si>
  <si>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</si>
  <si>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</si>
  <si>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</si>
  <si>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</si>
  <si>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</si>
  <si>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</si>
  <si>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</si>
  <si>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</si>
  <si>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</si>
  <si>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</si>
  <si>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</si>
  <si>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</si>
  <si>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</si>
  <si>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</si>
  <si>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</si>
  <si>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</si>
  <si>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</si>
  <si>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</si>
  <si>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</si>
  <si>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</si>
  <si>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</si>
  <si>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</si>
  <si>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</si>
  <si>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</si>
  <si>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</si>
  <si>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</si>
  <si>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</si>
  <si>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</si>
  <si>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</si>
  <si>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</si>
  <si>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</si>
  <si>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</si>
  <si>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</si>
  <si>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</si>
  <si>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</si>
  <si>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</si>
  <si>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</si>
  <si>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</si>
  <si>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</si>
  <si>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</si>
  <si>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</si>
  <si>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</si>
  <si>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</si>
  <si>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</si>
  <si>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</si>
  <si>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</si>
  <si>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</si>
  <si>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</si>
  <si>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</si>
  <si>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</si>
  <si>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</si>
  <si>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</si>
  <si>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</si>
  <si>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</si>
  <si>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</si>
  <si>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</si>
  <si>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</si>
  <si>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</si>
  <si>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</si>
  <si>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</si>
  <si>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</si>
  <si>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</si>
  <si>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</si>
  <si>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</si>
  <si>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</si>
  <si>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</si>
  <si>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</si>
  <si>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</si>
  <si>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</si>
  <si>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</si>
  <si>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</si>
  <si>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</si>
  <si>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</si>
  <si>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</si>
  <si>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</si>
  <si>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</si>
  <si>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</si>
  <si>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</si>
  <si>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</si>
  <si>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</si>
  <si>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</si>
  <si>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</si>
  <si>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</si>
  <si>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</si>
  <si>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</si>
  <si>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</si>
  <si>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</si>
  <si>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</si>
  <si>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</si>
  <si>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</si>
  <si>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</si>
  <si>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</si>
  <si>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</si>
  <si>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</si>
  <si>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</si>
  <si>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</si>
  <si>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</si>
  <si>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</si>
  <si>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</si>
  <si>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</si>
  <si>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</si>
  <si>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</si>
  <si>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</si>
  <si>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</si>
  <si>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</si>
  <si>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</si>
  <si>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</si>
  <si>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</si>
  <si>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</si>
  <si>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</si>
  <si>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</si>
  <si>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</si>
  <si>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</si>
  <si>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</si>
  <si>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</si>
  <si>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</si>
  <si>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</si>
  <si>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</si>
  <si>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</si>
  <si>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</si>
  <si>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</si>
  <si>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</si>
  <si>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</si>
  <si>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</si>
  <si>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</si>
  <si>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</si>
  <si>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</si>
  <si>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</si>
  <si>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</si>
  <si>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</si>
  <si>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</si>
  <si>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</si>
  <si>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</si>
  <si>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</si>
  <si>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</si>
  <si>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</si>
  <si>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</si>
  <si>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</si>
  <si>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</si>
  <si>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</si>
  <si>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</si>
  <si>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</si>
  <si>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</si>
  <si>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</si>
  <si>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</si>
  <si>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</si>
  <si>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</si>
  <si>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</si>
  <si>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</si>
  <si>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</si>
  <si>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</si>
  <si>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</si>
  <si>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</si>
  <si>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</si>
  <si>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</si>
  <si>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</si>
  <si>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</si>
  <si>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</si>
  <si>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</si>
  <si>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</si>
  <si>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</si>
  <si>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</si>
  <si>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</si>
  <si>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</si>
  <si>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</si>
  <si>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</si>
  <si>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</si>
  <si>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</si>
  <si>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</si>
  <si>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</si>
  <si>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</si>
  <si>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</si>
  <si>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</si>
  <si>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</si>
  <si>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</si>
  <si>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</si>
  <si>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</si>
  <si>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</si>
  <si>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</si>
  <si>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</si>
  <si>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</si>
  <si>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</si>
  <si>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</si>
  <si>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</si>
  <si>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</si>
  <si>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</si>
  <si>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</si>
  <si>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</si>
  <si>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</si>
  <si>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</si>
  <si>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</si>
  <si>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</si>
  <si>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</si>
  <si>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</si>
  <si>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</si>
  <si>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</si>
  <si>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</si>
  <si>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</si>
  <si>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</si>
  <si>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</si>
  <si>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</si>
  <si>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</si>
  <si>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</si>
  <si>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</si>
  <si>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</si>
  <si>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</si>
  <si>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</si>
  <si>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</si>
  <si>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</si>
  <si>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</si>
  <si>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</si>
  <si>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</si>
  <si>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</si>
  <si>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</si>
  <si>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</si>
  <si>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</si>
  <si>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</si>
  <si>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</si>
  <si>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</si>
  <si>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</si>
  <si>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</si>
  <si>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</si>
  <si>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</si>
  <si>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</si>
  <si>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</si>
  <si>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</si>
  <si>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</si>
  <si>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</si>
  <si>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</si>
  <si>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</si>
  <si>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</si>
  <si>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</si>
  <si>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</si>
  <si>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</si>
  <si>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</si>
  <si>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</si>
  <si>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</si>
  <si>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</si>
  <si>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</si>
  <si>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</si>
  <si>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</si>
  <si>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</si>
  <si>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</si>
  <si>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</si>
  <si>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</si>
  <si>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</si>
  <si>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</si>
  <si>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</si>
  <si>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</si>
  <si>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</si>
  <si>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</si>
  <si>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</si>
  <si>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</si>
  <si>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</si>
  <si>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</si>
  <si>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</si>
  <si>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</si>
  <si>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</si>
  <si>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</si>
  <si>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</si>
  <si>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</si>
  <si>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</si>
  <si>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</si>
  <si>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</si>
  <si>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</si>
  <si>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</si>
  <si>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</si>
  <si>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</si>
  <si>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</si>
  <si>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</si>
  <si>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</si>
  <si>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</si>
  <si>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</si>
  <si>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</si>
  <si>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</si>
  <si>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</si>
  <si>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</si>
  <si>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</si>
  <si>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</si>
  <si>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</si>
  <si>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</si>
  <si>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</si>
  <si>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</si>
  <si>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</si>
  <si>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</si>
  <si>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</si>
  <si>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</si>
  <si>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</si>
  <si>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</si>
  <si>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</si>
  <si>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</si>
  <si>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</si>
  <si>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</si>
  <si>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</si>
  <si>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</si>
  <si>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</si>
  <si>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</si>
  <si>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</si>
  <si>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</si>
  <si>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</si>
  <si>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</si>
  <si>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</si>
  <si>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</si>
  <si>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</si>
  <si>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</si>
  <si>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</si>
  <si>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</si>
  <si>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</si>
  <si>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</si>
  <si>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</si>
  <si>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</si>
  <si>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</si>
  <si>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</si>
  <si>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</si>
  <si>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</si>
  <si>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</si>
  <si>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</si>
  <si>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</si>
  <si>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</si>
  <si>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</si>
  <si>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</si>
  <si>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</si>
  <si>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</si>
  <si>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</si>
  <si>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</si>
  <si>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</si>
  <si>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</si>
  <si>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</si>
  <si>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</si>
  <si>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</si>
  <si>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</si>
  <si>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</si>
  <si>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</si>
  <si>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</si>
  <si>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</si>
  <si>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</si>
  <si>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</si>
  <si>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</si>
  <si>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</si>
  <si>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</si>
  <si>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</si>
  <si>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</si>
  <si>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</si>
  <si>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</si>
  <si>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</si>
  <si>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</si>
  <si>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</si>
  <si>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</si>
  <si>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</si>
  <si>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</si>
  <si>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</si>
  <si>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</si>
  <si>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</si>
  <si>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</si>
  <si>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</si>
  <si>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</si>
  <si>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</si>
  <si>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</si>
  <si>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</si>
  <si>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</si>
  <si>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</si>
  <si>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</si>
  <si>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</si>
  <si>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</si>
  <si>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</si>
  <si>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</si>
  <si>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</si>
  <si>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</si>
  <si>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</si>
  <si>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</si>
  <si>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</si>
  <si>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</si>
  <si>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</si>
  <si>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</si>
  <si>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</si>
  <si>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</si>
  <si>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</si>
  <si>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</si>
  <si>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</si>
  <si>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</si>
  <si>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</si>
  <si>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</si>
  <si>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</si>
  <si>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</si>
  <si>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</si>
  <si>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</si>
  <si>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</si>
  <si>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</si>
  <si>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</si>
  <si>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</si>
  <si>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</si>
  <si>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</si>
  <si>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</si>
  <si>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</si>
  <si>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</si>
  <si>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</si>
  <si>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</si>
  <si>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</si>
  <si>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</si>
  <si>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</si>
  <si>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</si>
  <si>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</si>
  <si>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</si>
  <si>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</si>
  <si>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</si>
  <si>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</si>
  <si>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</si>
  <si>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</si>
  <si>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</si>
  <si>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</si>
  <si>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</si>
  <si>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</si>
  <si>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</si>
  <si>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</si>
  <si>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</si>
  <si>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</si>
  <si>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</si>
  <si>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</si>
  <si>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</si>
  <si>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</si>
  <si>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</si>
  <si>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</si>
  <si>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</si>
  <si>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</si>
  <si>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</si>
  <si>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</si>
  <si>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</si>
  <si>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</si>
  <si>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</si>
  <si>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</si>
  <si>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</si>
  <si>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</si>
  <si>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</si>
  <si>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</si>
  <si>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</si>
  <si>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</si>
  <si>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</si>
  <si>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</si>
  <si>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</si>
  <si>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</si>
  <si>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</si>
  <si>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</si>
  <si>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</si>
  <si>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</si>
  <si>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</si>
  <si>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</si>
  <si>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</si>
  <si>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</si>
  <si>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</si>
  <si>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</si>
  <si>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</si>
  <si>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</si>
  <si>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</si>
  <si>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</si>
  <si>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</si>
  <si>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</si>
  <si>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</si>
  <si>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</si>
  <si>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</si>
  <si>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</si>
  <si>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</si>
  <si>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</si>
  <si>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</si>
  <si>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</si>
  <si>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</si>
  <si>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</si>
  <si>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</si>
  <si>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</si>
  <si>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</si>
  <si>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</si>
  <si>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</si>
  <si>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</si>
  <si>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</si>
  <si>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</si>
  <si>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</si>
  <si>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</si>
  <si>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</si>
  <si>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</si>
  <si>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</si>
  <si>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</si>
  <si>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</si>
  <si>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</si>
  <si>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</si>
  <si>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</si>
  <si>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</si>
  <si>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</si>
  <si>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</si>
  <si>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</si>
  <si>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</si>
  <si>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</si>
  <si>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</si>
  <si>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</si>
  <si>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</si>
  <si>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</si>
  <si>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</si>
  <si>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</si>
  <si>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</si>
  <si>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</si>
  <si>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</si>
  <si>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</si>
  <si>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</si>
  <si>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</si>
  <si>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</si>
  <si>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</si>
  <si>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</si>
  <si>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</si>
  <si>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</si>
  <si>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</si>
  <si>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</si>
  <si>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</si>
  <si>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</si>
  <si>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</si>
  <si>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</si>
  <si>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</si>
  <si>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</si>
  <si>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</si>
  <si>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</si>
  <si>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</si>
  <si>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</si>
  <si>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</si>
  <si>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</si>
  <si>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</si>
  <si>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</si>
  <si>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</si>
  <si>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</si>
  <si>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</si>
  <si>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</si>
  <si>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</si>
  <si>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</si>
  <si>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</si>
  <si>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</si>
  <si>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</si>
  <si>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</si>
  <si>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</si>
  <si>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</si>
  <si>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</si>
  <si>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</si>
  <si>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</si>
  <si>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</si>
  <si>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</si>
  <si>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</si>
  <si>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</si>
  <si>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</si>
  <si>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</si>
  <si>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</si>
  <si>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</si>
  <si>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</si>
  <si>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</si>
  <si>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</si>
  <si>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</si>
  <si>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</si>
  <si>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</si>
  <si>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</si>
  <si>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</si>
  <si>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</si>
  <si>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</si>
  <si>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</si>
  <si>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</si>
  <si>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</si>
  <si>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</si>
  <si>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</si>
  <si>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</si>
  <si>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</si>
  <si>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</si>
  <si>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</si>
  <si>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</si>
  <si>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</si>
  <si>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</si>
  <si>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</si>
  <si>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</si>
  <si>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</si>
  <si>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</si>
  <si>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</si>
  <si>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</si>
  <si>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</si>
  <si>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</si>
  <si>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</si>
  <si>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</si>
  <si>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</si>
  <si>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</si>
  <si>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</si>
  <si>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</si>
  <si>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</si>
  <si>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</si>
  <si>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</si>
  <si>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</si>
  <si>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</si>
  <si>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</si>
  <si>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</si>
  <si>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</si>
  <si>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</si>
  <si>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</si>
  <si>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</si>
  <si>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</si>
  <si>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</si>
  <si>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</si>
  <si>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</si>
  <si>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</si>
  <si>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</si>
  <si>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</si>
  <si>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</si>
  <si>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</si>
  <si>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</si>
  <si>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</si>
  <si>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</si>
  <si>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</si>
  <si>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</si>
  <si>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</si>
  <si>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</si>
  <si>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</si>
  <si>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</si>
  <si>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</si>
  <si>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</si>
  <si>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</si>
  <si>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</si>
  <si>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</si>
  <si>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</si>
  <si>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</si>
  <si>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</si>
  <si>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</si>
  <si>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</si>
  <si>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</si>
  <si>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</si>
  <si>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</si>
  <si>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</si>
  <si>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</si>
  <si>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</si>
  <si>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</si>
  <si>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</si>
  <si>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</si>
  <si>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</si>
  <si>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</si>
  <si>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</si>
  <si>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</si>
  <si>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</si>
  <si>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</si>
  <si>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</si>
  <si>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</si>
  <si>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</si>
  <si>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</si>
  <si>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</si>
  <si>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</si>
  <si>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</si>
  <si>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</si>
  <si>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</si>
  <si>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</si>
  <si>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</si>
  <si>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</si>
  <si>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</si>
  <si>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</si>
  <si>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</si>
  <si>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</si>
  <si>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</si>
  <si>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</si>
  <si>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</si>
  <si>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</si>
  <si>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</si>
  <si>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</si>
  <si>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</si>
  <si>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</si>
  <si>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</si>
  <si>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</si>
  <si>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</si>
  <si>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</si>
  <si>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</si>
  <si>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</si>
  <si>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</si>
  <si>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</si>
  <si>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</si>
  <si>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</si>
  <si>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</si>
  <si>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</si>
  <si>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</si>
  <si>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</si>
  <si>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</si>
  <si>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</si>
  <si>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</si>
  <si>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</si>
  <si>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</si>
  <si>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</si>
  <si>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</si>
  <si>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</si>
  <si>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</si>
  <si>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</si>
  <si>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</si>
  <si>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</si>
  <si>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</si>
  <si>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</si>
  <si>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</si>
  <si>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</si>
  <si>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</si>
  <si>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</si>
  <si>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</si>
  <si>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</si>
  <si>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</si>
  <si>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</si>
  <si>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</si>
  <si>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</si>
  <si>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</si>
  <si>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</si>
  <si>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</si>
  <si>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</si>
  <si>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</si>
  <si>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</si>
  <si>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</si>
  <si>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</si>
  <si>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</si>
  <si>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</si>
  <si>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</si>
  <si>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</si>
  <si>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</si>
  <si>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</si>
  <si>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</si>
  <si>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</si>
  <si>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</si>
  <si>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</si>
  <si>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</si>
  <si>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</si>
  <si>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</si>
  <si>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</si>
  <si>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</si>
  <si>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</si>
  <si>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</si>
  <si>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</si>
  <si>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</si>
  <si>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</si>
  <si>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</si>
  <si>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</si>
  <si>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</si>
  <si>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</si>
  <si>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</si>
  <si>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</si>
  <si>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</si>
  <si>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</si>
  <si>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</si>
  <si>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</si>
  <si>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</si>
  <si>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</si>
  <si>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</si>
  <si>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</si>
  <si>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</si>
  <si>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</si>
  <si>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</si>
  <si>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</si>
  <si>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</si>
  <si>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</si>
  <si>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</si>
  <si>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</si>
  <si>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</si>
  <si>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</si>
  <si>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</si>
  <si>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</si>
  <si>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</si>
  <si>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</si>
  <si>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</si>
  <si>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</si>
  <si>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</si>
  <si>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</si>
  <si>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</si>
  <si>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</si>
  <si>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</si>
  <si>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</si>
  <si>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</si>
  <si>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</si>
  <si>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</si>
  <si>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</si>
  <si>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</si>
  <si>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</si>
  <si>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</si>
  <si>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</si>
  <si>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</si>
  <si>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</si>
  <si>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</si>
  <si>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</si>
  <si>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</si>
  <si>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</si>
  <si>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</si>
  <si>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</si>
  <si>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</si>
  <si>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</si>
  <si>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</si>
  <si>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</si>
  <si>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</si>
  <si>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</si>
  <si>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</si>
  <si>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</si>
  <si>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</si>
  <si>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</si>
  <si>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</si>
  <si>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</si>
  <si>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</si>
  <si>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</si>
  <si>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</si>
  <si>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</si>
  <si>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</si>
  <si>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</si>
  <si>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</si>
  <si>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</si>
  <si>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</si>
  <si>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</si>
  <si>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</si>
  <si>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</si>
  <si>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</si>
  <si>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</si>
  <si>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</si>
  <si>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</si>
  <si>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</si>
  <si>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</si>
  <si>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</si>
  <si>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</si>
  <si>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</si>
  <si>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</si>
  <si>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</si>
  <si>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</si>
  <si>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</si>
  <si>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</si>
  <si>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</si>
  <si>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</si>
  <si>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</si>
  <si>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</si>
  <si>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</si>
  <si>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</si>
  <si>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</si>
  <si>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</si>
  <si>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</si>
  <si>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</si>
  <si>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</si>
  <si>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</si>
  <si>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</si>
  <si>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</si>
  <si>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</si>
  <si>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</si>
  <si>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</si>
  <si>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</si>
  <si>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</si>
  <si>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</si>
  <si>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</si>
  <si>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</si>
  <si>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</si>
  <si>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</si>
  <si>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</si>
  <si>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</si>
  <si>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</si>
  <si>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</si>
  <si>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</si>
  <si>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</si>
  <si>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</si>
  <si>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</si>
  <si>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</si>
  <si>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</si>
  <si>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</si>
  <si>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</si>
  <si>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</si>
  <si>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</si>
  <si>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</si>
  <si>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</si>
  <si>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</si>
  <si>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</si>
  <si>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</si>
  <si>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</si>
  <si>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</si>
  <si>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</si>
  <si>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</si>
  <si>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</si>
  <si>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</si>
  <si>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</si>
  <si>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</si>
  <si>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</si>
  <si>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</si>
  <si>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</si>
  <si>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</si>
  <si>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</si>
  <si>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</si>
  <si>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</si>
  <si>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</si>
  <si>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</si>
  <si>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</si>
  <si>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</si>
  <si>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</si>
  <si>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</si>
  <si>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</si>
  <si>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</si>
  <si>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</si>
  <si>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</si>
  <si>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</si>
  <si>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</si>
  <si>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</si>
  <si>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</si>
  <si>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</si>
  <si>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</si>
  <si>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</si>
  <si>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</si>
  <si>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</si>
  <si>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</si>
  <si>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</si>
  <si>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</si>
  <si>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</si>
  <si>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</si>
  <si>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</si>
  <si>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</si>
  <si>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</si>
  <si>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</si>
  <si>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</si>
  <si>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</si>
  <si>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</si>
  <si>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</si>
  <si>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</si>
  <si>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</si>
  <si>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</si>
  <si>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</si>
  <si>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</si>
  <si>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</si>
  <si>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</si>
  <si>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</si>
  <si>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</si>
  <si>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</si>
  <si>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</si>
  <si>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</si>
  <si>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</si>
  <si>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</si>
  <si>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</si>
  <si>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</si>
  <si>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</si>
  <si>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</si>
  <si>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</si>
  <si>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</si>
  <si>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</si>
  <si>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</si>
  <si>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</si>
  <si>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</si>
  <si>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</si>
  <si>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</si>
  <si>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</si>
  <si>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</si>
  <si>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</si>
  <si>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</si>
  <si>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</si>
  <si>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</si>
  <si>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</si>
  <si>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</si>
  <si>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</si>
  <si>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</si>
  <si>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</si>
  <si>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</si>
  <si>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</si>
  <si>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</si>
  <si>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</si>
  <si>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</si>
  <si>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</si>
  <si>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</si>
  <si>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</si>
  <si>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</si>
  <si>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</si>
  <si>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</si>
  <si>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</si>
  <si>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</si>
  <si>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</si>
  <si>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</si>
  <si>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</si>
  <si>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</si>
  <si>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</si>
  <si>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</si>
  <si>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</si>
  <si>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</si>
  <si>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</si>
  <si>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</si>
  <si>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</si>
  <si>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</si>
  <si>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</si>
  <si>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</si>
  <si>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</si>
  <si>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</si>
  <si>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</si>
  <si>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</si>
  <si>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</si>
  <si>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</si>
  <si>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</si>
  <si>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</si>
  <si>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</si>
  <si>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</si>
  <si>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</si>
  <si>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</si>
  <si>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</si>
  <si>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</si>
  <si>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</si>
  <si>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</si>
  <si>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</si>
  <si>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</si>
  <si>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</si>
  <si>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</si>
  <si>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</si>
  <si>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</si>
  <si>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</si>
  <si>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</si>
  <si>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</si>
  <si>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</si>
  <si>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</si>
  <si>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</si>
  <si>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</si>
  <si>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</si>
  <si>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</si>
  <si>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</si>
  <si>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</si>
  <si>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</si>
  <si>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</si>
  <si>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</si>
  <si>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</si>
  <si>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</si>
  <si>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</si>
  <si>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</si>
  <si>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</si>
  <si>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</si>
  <si>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</si>
  <si>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</si>
  <si>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</si>
  <si>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</si>
  <si>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</si>
  <si>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</si>
  <si>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</si>
  <si>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</si>
  <si>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</si>
  <si>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</si>
  <si>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</si>
  <si>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</si>
  <si>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</si>
  <si>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</si>
  <si>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</si>
  <si>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</si>
  <si>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</si>
  <si>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</si>
  <si>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</si>
  <si>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</si>
  <si>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</si>
  <si>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</si>
  <si>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</si>
  <si>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</si>
  <si>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</si>
  <si>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</si>
  <si>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</si>
  <si>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</si>
  <si>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</si>
  <si>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</si>
  <si>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</si>
  <si>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</si>
  <si>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</si>
  <si>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</si>
  <si>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</si>
  <si>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</si>
  <si>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</si>
  <si>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</si>
  <si>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</si>
  <si>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</si>
  <si>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</si>
  <si>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</si>
  <si>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</si>
  <si>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</si>
  <si>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</si>
  <si>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</si>
  <si>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</si>
  <si>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</si>
  <si>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</si>
  <si>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</si>
  <si>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</si>
  <si>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</si>
  <si>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</si>
  <si>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</si>
  <si>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</si>
  <si>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</si>
  <si>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</si>
  <si>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</si>
  <si>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</si>
  <si>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</si>
  <si>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</si>
  <si>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</si>
  <si>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</si>
  <si>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</si>
  <si>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</si>
  <si>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</si>
  <si>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</si>
  <si>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</si>
  <si>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</si>
  <si>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</si>
  <si>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</si>
  <si>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</si>
  <si>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</si>
  <si>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</si>
  <si>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</si>
  <si>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</si>
  <si>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</si>
  <si>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</si>
  <si>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</si>
  <si>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</si>
  <si>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</si>
  <si>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</si>
  <si>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</si>
  <si>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</si>
  <si>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</si>
  <si>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</si>
  <si>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</si>
  <si>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</si>
  <si>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</si>
  <si>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</si>
  <si>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</si>
  <si>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</si>
  <si>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</si>
  <si>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</si>
  <si>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</si>
  <si>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</si>
  <si>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</si>
  <si>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</si>
  <si>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</si>
  <si>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</si>
  <si>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</si>
  <si>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</si>
  <si>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</si>
  <si>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</si>
  <si>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</si>
  <si>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</si>
  <si>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</si>
  <si>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</si>
  <si>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</si>
  <si>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</si>
  <si>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</si>
  <si>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</si>
  <si>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</si>
  <si>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</si>
  <si>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</si>
  <si>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</si>
  <si>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</si>
  <si>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</si>
  <si>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</si>
  <si>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</si>
  <si>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</si>
  <si>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</si>
  <si>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</si>
  <si>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</si>
  <si>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</si>
  <si>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</si>
  <si>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</si>
  <si>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</si>
  <si>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</si>
  <si>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</si>
  <si>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</si>
  <si>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</si>
  <si>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</si>
  <si>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</si>
  <si>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</si>
  <si>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</si>
  <si>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</si>
  <si>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</si>
  <si>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</si>
  <si>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</si>
  <si>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</si>
  <si>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</si>
  <si>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</si>
  <si>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</si>
  <si>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</si>
  <si>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</si>
  <si>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</si>
  <si>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</si>
  <si>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</si>
  <si>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</si>
  <si>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</si>
  <si>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</si>
  <si>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</si>
  <si>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</si>
  <si>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</si>
  <si>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</si>
  <si>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</si>
  <si>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</si>
  <si>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</si>
  <si>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</si>
  <si>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</si>
  <si>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</si>
  <si>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</si>
  <si>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</si>
  <si>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</si>
  <si>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</si>
  <si>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</si>
  <si>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</si>
  <si>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</si>
  <si>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</si>
  <si>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</si>
  <si>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</si>
  <si>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</si>
  <si>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</si>
  <si>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</si>
  <si>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</si>
  <si>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</si>
  <si>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</si>
  <si>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</si>
  <si>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</si>
  <si>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</si>
  <si>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</si>
  <si>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</si>
  <si>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</si>
  <si>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</si>
  <si>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</si>
  <si>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</si>
  <si>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</si>
  <si>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</si>
  <si>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</si>
  <si>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</si>
  <si>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</si>
  <si>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</si>
  <si>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</si>
  <si>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</si>
  <si>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</si>
  <si>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</si>
  <si>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</si>
  <si>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</si>
  <si>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</si>
  <si>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</si>
  <si>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</si>
  <si>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</si>
  <si>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</si>
  <si>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</si>
  <si>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</si>
  <si>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</si>
  <si>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</si>
  <si>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</si>
  <si>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</si>
  <si>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</si>
  <si>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</si>
  <si>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</si>
  <si>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</si>
  <si>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</si>
  <si>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</si>
  <si>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</si>
  <si>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</si>
  <si>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</si>
  <si>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</si>
  <si>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</si>
  <si>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</si>
  <si>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</si>
  <si>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</si>
  <si>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</si>
  <si>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</si>
  <si>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</si>
  <si>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</si>
  <si>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</si>
  <si>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</si>
  <si>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</si>
  <si>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</si>
  <si>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</si>
  <si>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</si>
  <si>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</si>
  <si>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</si>
  <si>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</si>
  <si>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</si>
  <si>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</si>
  <si>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</si>
  <si>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</si>
  <si>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</si>
  <si>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</si>
  <si>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</si>
  <si>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</si>
  <si>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</si>
  <si>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</si>
  <si>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</si>
  <si>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</si>
  <si>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</si>
  <si>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</si>
  <si>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</si>
  <si>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</si>
  <si>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</si>
  <si>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</si>
  <si>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</si>
  <si>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</si>
  <si>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</si>
  <si>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</si>
  <si>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</si>
  <si>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</si>
  <si>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</si>
  <si>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</si>
  <si>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</si>
  <si>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</si>
  <si>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</si>
  <si>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</si>
  <si>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</si>
  <si>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</si>
  <si>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</si>
  <si>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</si>
  <si>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</si>
  <si>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</si>
  <si>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</si>
  <si>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</si>
  <si>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</si>
  <si>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</si>
  <si>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</si>
  <si>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</si>
  <si>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</si>
  <si>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</si>
  <si>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</si>
  <si>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</si>
  <si>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</si>
  <si>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</si>
  <si>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</si>
  <si>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</si>
  <si>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</si>
  <si>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</si>
  <si>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</si>
  <si>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</si>
  <si>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</si>
  <si>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</si>
  <si>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</si>
  <si>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</si>
  <si>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</si>
  <si>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</si>
  <si>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</si>
  <si>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</si>
  <si>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</si>
  <si>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</si>
  <si>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</si>
  <si>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</si>
  <si>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</si>
  <si>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</si>
  <si>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</si>
  <si>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</si>
  <si>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</si>
  <si>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</si>
  <si>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</si>
  <si>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</si>
  <si>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</si>
  <si>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</si>
  <si>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</si>
  <si>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</si>
  <si>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</si>
  <si>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</si>
  <si>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</si>
  <si>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</si>
  <si>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</si>
  <si>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</si>
  <si>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</si>
  <si>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</si>
  <si>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</si>
  <si>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</si>
  <si>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</si>
  <si>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</si>
  <si>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</si>
  <si>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</si>
  <si>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</si>
  <si>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</si>
  <si>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</si>
  <si>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</si>
  <si>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</si>
  <si>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</si>
  <si>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</si>
  <si>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</si>
  <si>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</si>
  <si>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</si>
  <si>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</si>
  <si>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</si>
  <si>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</si>
  <si>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</si>
  <si>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</si>
  <si>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</si>
  <si>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</si>
  <si>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</si>
  <si>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</si>
  <si>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</si>
  <si>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</si>
  <si>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</si>
  <si>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</si>
  <si>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</si>
  <si>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</si>
  <si>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</si>
  <si>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</si>
  <si>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</si>
  <si>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</si>
  <si>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</si>
  <si>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</si>
  <si>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</si>
  <si>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</si>
  <si>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</si>
  <si>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</si>
  <si>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</si>
  <si>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</si>
  <si>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</si>
  <si>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</si>
  <si>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</si>
  <si>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</si>
  <si>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</si>
  <si>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</si>
  <si>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</si>
  <si>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</si>
  <si>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</si>
  <si>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</si>
  <si>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</si>
  <si>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</si>
  <si>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</si>
  <si>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</si>
  <si>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</si>
  <si>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</si>
  <si>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</si>
  <si>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</si>
  <si>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</si>
  <si>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</si>
  <si>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</si>
  <si>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</si>
  <si>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</si>
  <si>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</si>
  <si>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</si>
  <si>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</si>
  <si>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</si>
  <si>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</si>
  <si>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</si>
  <si>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</si>
  <si>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</si>
  <si>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</si>
  <si>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</si>
  <si>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</si>
  <si>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</si>
  <si>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</si>
  <si>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</si>
  <si>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</si>
  <si>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</si>
  <si>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</si>
  <si>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</si>
  <si>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</si>
  <si>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</si>
  <si>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</si>
  <si>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</si>
  <si>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</si>
  <si>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</si>
  <si>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</si>
  <si>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</si>
  <si>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</si>
  <si>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</si>
  <si>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</si>
  <si>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</si>
  <si>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</si>
  <si>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</si>
  <si>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</si>
  <si>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</si>
  <si>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</si>
  <si>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</si>
  <si>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</si>
  <si>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</si>
  <si>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</si>
  <si>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</si>
  <si>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</si>
  <si>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</si>
  <si>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</si>
  <si>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</si>
  <si>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</si>
  <si>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</si>
  <si>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</si>
  <si>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</si>
  <si>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</si>
  <si>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</si>
  <si>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</si>
  <si>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</si>
  <si>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</si>
  <si>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</si>
  <si>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</si>
  <si>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</si>
  <si>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</si>
  <si>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</si>
  <si>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</si>
  <si>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</si>
  <si>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</si>
  <si>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</si>
  <si>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</si>
  <si>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</si>
  <si>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</si>
  <si>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</si>
  <si>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</si>
  <si>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</si>
  <si>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</si>
  <si>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</si>
  <si>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</si>
  <si>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</si>
  <si>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</si>
  <si>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</si>
  <si>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</si>
  <si>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</si>
  <si>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</si>
  <si>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</si>
  <si>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</si>
  <si>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</si>
  <si>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</si>
  <si>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</si>
  <si>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</si>
  <si>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</si>
  <si>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</si>
  <si>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</si>
  <si>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</si>
  <si>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</si>
  <si>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</si>
  <si>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</si>
  <si>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</si>
  <si>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</si>
  <si>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</si>
  <si>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</si>
  <si>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</si>
  <si>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</si>
  <si>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</si>
  <si>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</si>
  <si>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</si>
  <si>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</si>
  <si>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</si>
  <si>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</si>
  <si>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</si>
  <si>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</si>
  <si>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</si>
  <si>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</si>
  <si>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</si>
  <si>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</si>
  <si>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</si>
  <si>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</si>
  <si>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</si>
  <si>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</si>
  <si>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</si>
  <si>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</si>
  <si>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</si>
  <si>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</si>
  <si>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</si>
  <si>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</si>
  <si>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</si>
  <si>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</si>
  <si>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</si>
  <si>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</si>
  <si>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</si>
  <si>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</si>
  <si>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</si>
  <si>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</si>
  <si>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</si>
  <si>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</si>
  <si>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</si>
  <si>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</si>
  <si>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</si>
  <si>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</si>
  <si>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</si>
  <si>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</si>
  <si>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</si>
  <si>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</si>
  <si>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</si>
  <si>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</si>
  <si>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</si>
  <si>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</si>
  <si>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</si>
  <si>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</si>
  <si>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</si>
  <si>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</si>
  <si>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</si>
  <si>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</si>
  <si>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</si>
  <si>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</si>
  <si>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</si>
  <si>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</si>
  <si>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</si>
  <si>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</si>
  <si>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</si>
  <si>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</si>
  <si>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</si>
  <si>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</si>
  <si>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</si>
  <si>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</si>
  <si>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</si>
  <si>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</si>
  <si>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</si>
  <si>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</si>
  <si>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</si>
  <si>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</si>
  <si>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</si>
  <si>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</si>
  <si>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</si>
  <si>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</si>
  <si>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</si>
  <si>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</si>
  <si>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</si>
  <si>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</si>
  <si>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</si>
  <si>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</si>
  <si>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</si>
  <si>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</si>
  <si>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</si>
  <si>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</si>
  <si>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</si>
  <si>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</si>
  <si>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</si>
  <si>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</si>
  <si>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</si>
  <si>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</si>
  <si>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</si>
  <si>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</si>
  <si>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</si>
  <si>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</si>
  <si>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</si>
  <si>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</si>
  <si>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</si>
  <si>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</si>
  <si>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</si>
  <si>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</si>
  <si>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</si>
  <si>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</si>
  <si>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</si>
  <si>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</si>
  <si>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</si>
  <si>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</si>
  <si>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</si>
  <si>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</si>
  <si>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</si>
  <si>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</si>
  <si>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</si>
  <si>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</si>
  <si>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</si>
  <si>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</si>
  <si>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</si>
  <si>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</si>
  <si>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</si>
  <si>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</si>
  <si>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</si>
  <si>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</si>
  <si>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</si>
  <si>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</si>
  <si>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</si>
  <si>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</si>
  <si>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</si>
  <si>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</si>
  <si>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</si>
  <si>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</si>
  <si>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</si>
  <si>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</si>
  <si>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</si>
  <si>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</si>
  <si>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</si>
  <si>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</si>
  <si>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</si>
  <si>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</si>
  <si>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</si>
  <si>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</si>
  <si>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</si>
  <si>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</si>
  <si>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</si>
  <si>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</si>
  <si>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</si>
  <si>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</si>
  <si>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</si>
  <si>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</si>
  <si>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</si>
  <si>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</si>
  <si>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</si>
  <si>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</si>
  <si>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</si>
  <si>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</si>
  <si>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</si>
  <si>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</si>
  <si>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</si>
  <si>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</si>
  <si>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</si>
  <si>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</si>
  <si>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</si>
  <si>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</si>
  <si>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</si>
  <si>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</si>
  <si>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</si>
  <si>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</si>
  <si>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</si>
  <si>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</si>
  <si>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</si>
  <si>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</si>
  <si>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</si>
  <si>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</si>
  <si>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</si>
  <si>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</si>
  <si>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</si>
  <si>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</si>
  <si>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</si>
  <si>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</si>
  <si>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</si>
  <si>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</si>
  <si>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</si>
  <si>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</si>
  <si>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</si>
  <si>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</si>
  <si>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</si>
  <si>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</si>
  <si>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</si>
  <si>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</si>
  <si>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</si>
  <si>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</si>
  <si>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</si>
  <si>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</si>
  <si>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</si>
  <si>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</si>
  <si>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</si>
  <si>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</si>
  <si>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</si>
  <si>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</si>
  <si>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</si>
  <si>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</si>
  <si>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</si>
  <si>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</si>
  <si>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</si>
  <si>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</si>
  <si>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</si>
  <si>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</si>
  <si>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</si>
  <si>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</si>
  <si>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</si>
  <si>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</si>
  <si>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</si>
  <si>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</si>
  <si>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</si>
  <si>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</si>
  <si>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</si>
  <si>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</si>
  <si>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</si>
  <si>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</si>
  <si>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</si>
  <si>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</si>
  <si>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</si>
  <si>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</si>
  <si>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</si>
  <si>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</si>
  <si>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</si>
  <si>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</si>
  <si>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</si>
  <si>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</si>
  <si>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</si>
  <si>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</si>
  <si>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</si>
  <si>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</si>
  <si>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</si>
  <si>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</si>
  <si>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</si>
  <si>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</si>
  <si>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</si>
  <si>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</si>
  <si>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</si>
  <si>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</si>
  <si>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</si>
  <si>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</si>
  <si>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</si>
  <si>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</si>
  <si>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</si>
  <si>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</si>
  <si>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</si>
  <si>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</si>
  <si>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</si>
  <si>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</si>
  <si>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</si>
  <si>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</si>
  <si>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</si>
  <si>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</si>
  <si>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</si>
  <si>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</si>
  <si>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</si>
  <si>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</si>
  <si>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</si>
  <si>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</si>
  <si>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</si>
  <si>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</si>
  <si>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</si>
  <si>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</si>
  <si>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</si>
  <si>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</si>
  <si>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</si>
  <si>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</si>
  <si>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</si>
  <si>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</si>
  <si>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</si>
  <si>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</si>
  <si>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</si>
  <si>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</si>
  <si>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</si>
  <si>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</si>
  <si>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</si>
  <si>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</si>
  <si>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</si>
  <si>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</si>
  <si>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</si>
  <si>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</si>
  <si>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</si>
  <si>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</si>
  <si>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</si>
  <si>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</si>
  <si>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</si>
  <si>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</si>
  <si>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</si>
  <si>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</si>
  <si>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</si>
  <si>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</si>
  <si>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</si>
  <si>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</si>
  <si>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</si>
  <si>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</si>
  <si>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</si>
  <si>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</si>
  <si>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</si>
  <si>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</si>
  <si>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</si>
  <si>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</si>
  <si>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</si>
  <si>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</si>
  <si>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</si>
  <si>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</si>
  <si>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</si>
  <si>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</si>
  <si>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</si>
  <si>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</si>
  <si>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</si>
  <si>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</si>
  <si>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</si>
  <si>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</si>
  <si>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</si>
  <si>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</si>
  <si>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</si>
  <si>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</si>
  <si>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</si>
  <si>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</si>
  <si>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</si>
  <si>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</si>
  <si>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</si>
  <si>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</si>
  <si>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</si>
  <si>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</si>
  <si>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</si>
  <si>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</si>
  <si>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</si>
  <si>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</si>
  <si>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</si>
  <si>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</si>
  <si>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</si>
  <si>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</si>
  <si>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</si>
  <si>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</si>
  <si>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</si>
  <si>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</si>
  <si>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</si>
  <si>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</si>
  <si>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</si>
  <si>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</si>
  <si>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</si>
  <si>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</si>
  <si>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</si>
  <si>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</si>
  <si>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</si>
  <si>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</si>
  <si>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</si>
  <si>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</si>
  <si>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</si>
  <si>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</si>
  <si>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</si>
  <si>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</si>
  <si>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</si>
  <si>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</si>
  <si>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</si>
  <si>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</si>
  <si>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</si>
  <si>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</si>
  <si>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</si>
  <si>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</si>
  <si>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</si>
  <si>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</si>
  <si>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</si>
  <si>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</si>
  <si>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</si>
  <si>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</si>
  <si>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</si>
  <si>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</si>
  <si>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</si>
  <si>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</si>
  <si>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</si>
  <si>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</si>
  <si>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</si>
  <si>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</si>
  <si>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</si>
  <si>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</si>
  <si>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</si>
  <si>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</si>
  <si>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</si>
  <si>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</si>
  <si>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</si>
  <si>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</si>
  <si>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</si>
  <si>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</si>
  <si>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</si>
  <si>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</si>
  <si>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</si>
  <si>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</si>
  <si>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</si>
  <si>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</si>
  <si>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</si>
  <si>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</si>
  <si>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</si>
  <si>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</si>
  <si>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</si>
  <si>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</si>
  <si>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</si>
  <si>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</si>
  <si>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</si>
  <si>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</si>
  <si>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</si>
  <si>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</si>
  <si>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</si>
  <si>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</si>
  <si>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</si>
  <si>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</si>
  <si>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</si>
  <si>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</si>
  <si>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</si>
  <si>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</si>
  <si>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</si>
  <si>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</si>
  <si>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</si>
  <si>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</si>
  <si>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</si>
  <si>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</si>
  <si>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</si>
  <si>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</si>
  <si>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</si>
  <si>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</si>
  <si>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</si>
  <si>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</si>
  <si>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</si>
  <si>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</si>
  <si>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</si>
  <si>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</si>
  <si>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</si>
  <si>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</si>
  <si>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</si>
  <si>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</si>
  <si>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</si>
  <si>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</si>
  <si>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</si>
  <si>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</si>
  <si>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</si>
  <si>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</si>
  <si>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</si>
  <si>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</si>
  <si>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</si>
  <si>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</si>
  <si>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</si>
  <si>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</si>
  <si>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</si>
  <si>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</si>
  <si>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</si>
  <si>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</si>
  <si>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</si>
  <si>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</si>
  <si>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</si>
  <si>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</si>
  <si>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</si>
  <si>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</si>
  <si>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</si>
  <si>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</si>
  <si>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</si>
  <si>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</si>
  <si>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</si>
  <si>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</si>
  <si>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</si>
  <si>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</si>
  <si>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</si>
  <si>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</si>
  <si>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</si>
  <si>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</si>
  <si>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</si>
  <si>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</si>
  <si>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</si>
  <si>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</si>
  <si>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</si>
  <si>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</si>
  <si>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</si>
  <si>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</si>
  <si>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</si>
  <si>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</si>
  <si>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</si>
  <si>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</si>
  <si>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</si>
  <si>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</si>
  <si>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</si>
  <si>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</si>
  <si>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</si>
  <si>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</si>
  <si>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</si>
  <si>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</si>
  <si>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</si>
  <si>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</si>
  <si>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</si>
  <si>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</si>
  <si>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</si>
  <si>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</si>
  <si>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</si>
  <si>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</si>
  <si>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</si>
  <si>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</si>
  <si>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</si>
  <si>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</si>
  <si>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</si>
  <si>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</si>
  <si>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</si>
  <si>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</si>
  <si>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</si>
  <si>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</si>
  <si>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</si>
  <si>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</si>
  <si>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</si>
  <si>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</si>
  <si>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</si>
  <si>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</si>
  <si>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</si>
  <si>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</si>
  <si>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</si>
  <si>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</si>
  <si>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</si>
  <si>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</si>
  <si>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</si>
  <si>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</si>
  <si>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</si>
  <si>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</si>
  <si>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</si>
  <si>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</si>
  <si>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</si>
  <si>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</si>
  <si>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</si>
  <si>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</si>
  <si>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</si>
  <si>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</si>
  <si>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</si>
  <si>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</si>
  <si>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</si>
  <si>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</si>
  <si>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</si>
  <si>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</si>
  <si>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</si>
  <si>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</si>
  <si>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</si>
  <si>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</si>
  <si>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</si>
  <si>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</si>
  <si>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</si>
  <si>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</si>
  <si>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</si>
  <si>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</si>
  <si>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</si>
  <si>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</si>
  <si>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</si>
  <si>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</si>
  <si>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</si>
  <si>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</si>
  <si>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</si>
  <si>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</si>
  <si>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</si>
  <si>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</si>
  <si>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</si>
  <si>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</si>
  <si>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</si>
  <si>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</si>
  <si>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</si>
  <si>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</si>
  <si>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</si>
  <si>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</si>
  <si>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</si>
  <si>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</si>
  <si>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</si>
  <si>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</si>
  <si>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</si>
  <si>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</si>
  <si>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</si>
  <si>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</si>
  <si>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</si>
  <si>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</si>
  <si>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</si>
  <si>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</si>
  <si>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</si>
  <si>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</si>
  <si>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</si>
  <si>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</si>
  <si>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</si>
  <si>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</si>
  <si>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</si>
  <si>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</si>
  <si>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</si>
  <si>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</si>
  <si>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</si>
  <si>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</si>
  <si>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</si>
  <si>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</si>
  <si>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</si>
  <si>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</si>
  <si>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</si>
  <si>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</si>
  <si>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</si>
  <si>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</si>
  <si>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</si>
  <si>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</si>
  <si>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</si>
  <si>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</si>
  <si>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</si>
  <si>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</si>
  <si>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</si>
  <si>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</si>
  <si>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</si>
  <si>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</si>
  <si>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</si>
  <si>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</si>
  <si>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</si>
  <si>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</si>
  <si>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</si>
  <si>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</si>
  <si>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</si>
  <si>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</si>
  <si>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</si>
  <si>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</si>
  <si>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</si>
  <si>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</si>
  <si>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</si>
  <si>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</si>
  <si>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</si>
  <si>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</si>
  <si>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</si>
  <si>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</si>
  <si>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</si>
  <si>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</si>
  <si>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</si>
  <si>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</si>
  <si>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</si>
  <si>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</si>
  <si>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</si>
  <si>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</si>
  <si>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</si>
  <si>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</si>
  <si>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</si>
  <si>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</si>
  <si>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</si>
  <si>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</si>
  <si>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</si>
  <si>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</si>
  <si>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</si>
  <si>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</si>
  <si>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</si>
  <si>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</si>
  <si>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</si>
  <si>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</si>
  <si>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</si>
  <si>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</si>
  <si>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</si>
  <si>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</si>
  <si>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</si>
  <si>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</si>
  <si>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</si>
  <si>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</si>
  <si>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</si>
  <si>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</si>
  <si>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</si>
  <si>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</si>
  <si>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</si>
  <si>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</si>
  <si>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</si>
  <si>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</si>
  <si>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</si>
  <si>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</si>
  <si>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</si>
  <si>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</si>
  <si>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</si>
  <si>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</si>
  <si>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</si>
  <si>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</si>
  <si>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</si>
  <si>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</si>
  <si>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</si>
  <si>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</si>
  <si>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</si>
  <si>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</si>
  <si>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</si>
  <si>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</si>
  <si>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</si>
  <si>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</si>
  <si>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</si>
  <si>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</si>
  <si>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</si>
  <si>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</si>
  <si>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</si>
  <si>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</si>
  <si>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</si>
  <si>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</si>
  <si>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</si>
  <si>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</si>
  <si>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</si>
  <si>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</si>
  <si>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</si>
  <si>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</si>
  <si>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</si>
  <si>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</si>
  <si>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</si>
  <si>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</si>
  <si>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</si>
  <si>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</si>
  <si>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</si>
  <si>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</si>
  <si>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</si>
  <si>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</si>
  <si>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</si>
  <si>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</si>
  <si>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</si>
  <si>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</si>
  <si>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</si>
  <si>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</si>
  <si>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</si>
  <si>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</si>
  <si>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</si>
  <si>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</si>
  <si>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</si>
  <si>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</si>
  <si>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</si>
  <si>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</si>
  <si>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</si>
  <si>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</si>
  <si>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</si>
  <si>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</si>
  <si>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</si>
  <si>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</si>
  <si>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</si>
  <si>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</si>
  <si>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</si>
  <si>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</si>
  <si>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</si>
  <si>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</si>
  <si>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</si>
  <si>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</si>
  <si>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</si>
  <si>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</si>
  <si>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</si>
  <si>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</si>
  <si>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</si>
  <si>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</si>
  <si>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</si>
  <si>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</si>
  <si>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</si>
  <si>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</si>
  <si>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</si>
  <si>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</si>
  <si>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</si>
  <si>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</si>
  <si>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</si>
  <si>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</si>
  <si>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</si>
  <si>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</si>
  <si>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</si>
  <si>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</si>
  <si>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</si>
  <si>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</si>
  <si>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</si>
  <si>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</si>
  <si>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</si>
  <si>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</si>
  <si>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</si>
  <si>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</si>
  <si>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</si>
  <si>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</si>
  <si>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</si>
  <si>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</si>
  <si>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</si>
  <si>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</si>
  <si>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</si>
  <si>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</si>
  <si>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</si>
  <si>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</si>
  <si>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</si>
  <si>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</si>
  <si>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</si>
  <si>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</si>
  <si>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</si>
  <si>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</si>
  <si>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</si>
  <si>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</si>
  <si>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</si>
  <si>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</si>
  <si>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</si>
  <si>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</si>
  <si>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</si>
  <si>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</si>
  <si>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</si>
  <si>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</si>
  <si>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</si>
  <si>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</si>
  <si>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</si>
  <si>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</si>
  <si>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</si>
  <si>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</si>
  <si>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</si>
  <si>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</si>
  <si>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</si>
  <si>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</si>
  <si>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</si>
  <si>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</si>
  <si>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</si>
  <si>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</si>
  <si>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</si>
  <si>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</si>
  <si>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</si>
  <si>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</si>
  <si>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</si>
  <si>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</si>
  <si>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</si>
  <si>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</si>
  <si>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</si>
  <si>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</si>
  <si>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</si>
  <si>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</si>
  <si>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</si>
  <si>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</si>
  <si>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</si>
  <si>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</si>
  <si>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</si>
  <si>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</si>
  <si>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</si>
  <si>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</si>
  <si>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</si>
  <si>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</si>
  <si>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</si>
  <si>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</si>
  <si>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</si>
  <si>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</si>
  <si>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</si>
  <si>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</si>
  <si>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</si>
  <si>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</si>
  <si>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</si>
  <si>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</si>
  <si>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</si>
  <si>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</si>
  <si>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</si>
  <si>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</si>
  <si>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</si>
  <si>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</si>
  <si>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</si>
  <si>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</si>
  <si>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</si>
  <si>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</si>
  <si>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</si>
  <si>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</si>
  <si>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</si>
  <si>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</si>
  <si>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</si>
  <si>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</si>
  <si>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</si>
  <si>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</si>
  <si>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</si>
  <si>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</si>
  <si>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</si>
  <si>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</si>
  <si>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</si>
  <si>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</si>
  <si>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</si>
  <si>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</si>
  <si>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</si>
  <si>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</si>
  <si>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</si>
  <si>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</si>
  <si>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</si>
  <si>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</si>
  <si>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</si>
  <si>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</si>
  <si>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</si>
  <si>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</si>
  <si>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</si>
  <si>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</si>
  <si>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</si>
  <si>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</si>
  <si>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</si>
  <si>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</si>
  <si>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</si>
  <si>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</si>
  <si>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</si>
  <si>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</si>
  <si>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</si>
  <si>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</si>
  <si>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</si>
  <si>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</si>
  <si>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</si>
  <si>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</si>
  <si>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</si>
  <si>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</si>
  <si>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</si>
  <si>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</si>
  <si>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</si>
  <si>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</si>
  <si>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</si>
  <si>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</si>
  <si>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</si>
  <si>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</si>
  <si>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</si>
  <si>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</si>
  <si>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</si>
  <si>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</si>
  <si>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</si>
  <si>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</si>
  <si>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</si>
  <si>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</si>
  <si>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</si>
  <si>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</si>
  <si>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</si>
  <si>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</si>
  <si>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</si>
  <si>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</si>
  <si>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</si>
  <si>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</si>
  <si>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</si>
  <si>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</si>
  <si>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</si>
  <si>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</si>
  <si>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</si>
  <si>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</si>
  <si>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</si>
  <si>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</si>
  <si>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</si>
  <si>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</si>
  <si>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</si>
  <si>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</si>
  <si>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</si>
  <si>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</si>
  <si>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</si>
  <si>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</si>
  <si>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</si>
  <si>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</si>
  <si>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</si>
  <si>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</si>
  <si>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</si>
  <si>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</si>
  <si>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</si>
  <si>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</si>
  <si>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</si>
  <si>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</si>
  <si>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</si>
  <si>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</si>
  <si>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</si>
  <si>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</si>
  <si>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</si>
  <si>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</si>
  <si>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</si>
  <si>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</si>
  <si>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</si>
  <si>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</si>
  <si>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</si>
  <si>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</si>
  <si>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</si>
  <si>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</si>
  <si>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</si>
  <si>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</si>
  <si>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</si>
  <si>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</si>
  <si>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</si>
  <si>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</si>
  <si>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</si>
  <si>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</si>
  <si>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</si>
  <si>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</si>
  <si>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</si>
  <si>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</si>
  <si>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</si>
  <si>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</si>
  <si>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</si>
  <si>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</si>
  <si>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</si>
  <si>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</si>
  <si>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</si>
  <si>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</si>
  <si>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</si>
  <si>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</si>
  <si>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</si>
  <si>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</si>
  <si>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</si>
  <si>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</si>
  <si>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</si>
  <si>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</si>
  <si>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</si>
  <si>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</si>
  <si>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</si>
  <si>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</si>
  <si>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</si>
  <si>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</si>
  <si>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</si>
  <si>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</si>
  <si>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</si>
  <si>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</si>
  <si>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</si>
  <si>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</si>
  <si>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</si>
  <si>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</si>
  <si>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</si>
  <si>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</si>
  <si>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</si>
  <si>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</si>
  <si>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</si>
  <si>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</si>
  <si>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</si>
  <si>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</si>
  <si>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</si>
  <si>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</si>
  <si>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</si>
  <si>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</si>
  <si>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</si>
  <si>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</si>
  <si>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</si>
  <si>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</si>
  <si>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</si>
  <si>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</si>
  <si>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</si>
  <si>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</si>
  <si>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</si>
  <si>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</si>
  <si>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</si>
  <si>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</si>
  <si>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</si>
  <si>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</si>
  <si>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</si>
  <si>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</si>
  <si>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</si>
  <si>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</si>
  <si>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</si>
  <si>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</si>
  <si>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</si>
  <si>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</si>
  <si>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</si>
  <si>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</si>
  <si>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</si>
  <si>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</si>
  <si>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</si>
  <si>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</si>
  <si>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</si>
  <si>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</si>
  <si>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</si>
  <si>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</si>
  <si>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</si>
  <si>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</si>
  <si>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</si>
  <si>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</si>
  <si>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</si>
  <si>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</si>
  <si>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</si>
  <si>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</si>
  <si>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</si>
  <si>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</si>
  <si>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</si>
  <si>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</si>
  <si>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</si>
  <si>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</si>
  <si>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</si>
  <si>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</si>
  <si>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</si>
  <si>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</si>
  <si>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</si>
  <si>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</si>
  <si>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</si>
  <si>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</si>
  <si>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</si>
  <si>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</si>
  <si>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</si>
  <si>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</si>
  <si>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</si>
  <si>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</si>
  <si>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</si>
  <si>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</si>
  <si>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</si>
  <si>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</si>
  <si>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</si>
  <si>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</si>
  <si>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</si>
  <si>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</si>
  <si>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</si>
  <si>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</si>
  <si>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</si>
  <si>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</si>
  <si>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</si>
  <si>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</si>
  <si>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</si>
  <si>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</si>
  <si>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</si>
  <si>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</si>
  <si>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</si>
  <si>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</si>
  <si>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</si>
  <si>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</si>
  <si>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</si>
  <si>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</si>
  <si>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</si>
  <si>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</si>
  <si>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</si>
  <si>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</si>
  <si>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</si>
  <si>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</si>
  <si>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</si>
  <si>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</si>
  <si>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</si>
  <si>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</si>
  <si>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</si>
  <si>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</si>
  <si>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</si>
  <si>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</si>
  <si>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</si>
  <si>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</si>
  <si>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</si>
  <si>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</si>
  <si>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</si>
  <si>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</si>
  <si>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</si>
  <si>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</si>
  <si>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</si>
  <si>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</si>
  <si>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</si>
  <si>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</si>
  <si>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</si>
  <si>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</si>
  <si>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</si>
  <si>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</si>
  <si>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</si>
  <si>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</si>
  <si>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</si>
  <si>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</si>
  <si>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</si>
  <si>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</si>
  <si>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</si>
  <si>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</si>
  <si>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</si>
  <si>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</si>
  <si>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</si>
  <si>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</si>
  <si>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</si>
  <si>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</si>
  <si>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</si>
  <si>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</si>
  <si>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</si>
  <si>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</si>
  <si>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</si>
  <si>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</si>
  <si>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</si>
  <si>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</si>
  <si>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</si>
  <si>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</si>
  <si>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</si>
  <si>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</si>
  <si>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</si>
  <si>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</si>
  <si>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</si>
  <si>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</si>
  <si>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</si>
  <si>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</si>
  <si>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</si>
  <si>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</si>
  <si>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</si>
  <si>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</si>
  <si>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</si>
  <si>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</si>
  <si>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</si>
  <si>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</si>
  <si>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</si>
  <si>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</si>
  <si>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</si>
  <si>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</si>
  <si>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</si>
  <si>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</si>
  <si>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</si>
  <si>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</si>
  <si>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</si>
  <si>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</si>
  <si>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</si>
  <si>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</si>
  <si>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</si>
  <si>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</si>
  <si>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</si>
  <si>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</si>
  <si>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</si>
  <si>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</si>
  <si>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</si>
  <si>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</si>
  <si>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</si>
  <si>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</si>
  <si>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</si>
  <si>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</si>
  <si>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</si>
  <si>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</si>
  <si>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</si>
  <si>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</si>
  <si>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</si>
  <si>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</si>
  <si>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</si>
  <si>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</si>
  <si>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</si>
  <si>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</si>
  <si>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</si>
  <si>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</si>
  <si>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</si>
  <si>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</si>
  <si>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</si>
  <si>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</si>
  <si>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</si>
  <si>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</si>
  <si>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</si>
  <si>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</si>
  <si>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</si>
  <si>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</si>
  <si>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</si>
  <si>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</si>
  <si>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</si>
  <si>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</si>
  <si>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</si>
  <si>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</si>
  <si>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</si>
  <si>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</si>
  <si>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</si>
  <si>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</si>
  <si>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</si>
  <si>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</si>
  <si>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</si>
  <si>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</si>
  <si>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</si>
  <si>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</si>
  <si>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</si>
  <si>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</si>
  <si>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</si>
  <si>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</si>
  <si>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</si>
  <si>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</si>
  <si>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</si>
  <si>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</si>
  <si>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</si>
  <si>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</si>
  <si>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</si>
  <si>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</si>
  <si>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</si>
  <si>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</si>
  <si>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</si>
  <si>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</si>
  <si>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</si>
  <si>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</si>
  <si>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</si>
  <si>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</si>
  <si>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</si>
  <si>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</si>
  <si>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</si>
  <si>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</si>
  <si>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</si>
  <si>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</si>
  <si>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</si>
  <si>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</si>
  <si>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</si>
  <si>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</si>
  <si>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</si>
  <si>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</si>
  <si>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</si>
  <si>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</si>
  <si>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 xml:space="preserve">            </t>
  </si>
  <si>
    <t>ShihLin</t>
  </si>
  <si>
    <t>012082020/BBTN-SWC</t>
  </si>
  <si>
    <t>Phiếu thử nghiệm đơn vị độc lập</t>
  </si>
  <si>
    <t>Cao Lai Việt</t>
  </si>
  <si>
    <t>Xuân Hòa</t>
  </si>
  <si>
    <t>Xây Dựng mới TBA 3P-1000kVA Công ty TNHH MTV Kỹ thuật điện Việt Anh</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</si>
</sst>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6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144" fillId="15" borderId="3" xfId="19" applyFont="1" applyFill="1" applyBorder="1" applyAlignment="1">
      <alignment horizontal="center" vertical="center" wrapText="1"/>
    </xf>
    <xf numFmtId="1" fontId="144" fillId="15" borderId="3" xfId="19" applyNumberFormat="1" applyFont="1" applyFill="1" applyBorder="1" applyAlignment="1">
      <alignment horizontal="center" vertical="center" wrapText="1" shrinkToFit="1"/>
    </xf>
    <xf numFmtId="14" fontId="144" fillId="15" borderId="3" xfId="19" applyNumberFormat="1" applyFont="1" applyFill="1" applyBorder="1" applyAlignment="1">
      <alignment horizontal="center" vertical="center" wrapTex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419022"/>
          <a:ext cx="10321787" cy="1495396"/>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0" y="19820977"/>
          <a:ext cx="18862964" cy="1488384"/>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Cao Lai Việt</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669117" y="45542199"/>
          <a:ext cx="10559059" cy="3496659"/>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Cao Lai Việt</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358589</xdr:colOff>
      <xdr:row>127</xdr:row>
      <xdr:rowOff>165853</xdr:rowOff>
    </xdr:from>
    <xdr:to>
      <xdr:col>13</xdr:col>
      <xdr:colOff>690284</xdr:colOff>
      <xdr:row>132</xdr:row>
      <xdr:rowOff>231310</xdr:rowOff>
    </xdr:to>
    <xdr:grpSp>
      <xdr:nvGrpSpPr>
        <xdr:cNvPr id="9" name="Group 8">
          <a:extLst>
            <a:ext uri="{FF2B5EF4-FFF2-40B4-BE49-F238E27FC236}">
              <a16:creationId xmlns:a16="http://schemas.microsoft.com/office/drawing/2014/main" xmlns="" id="{57C7684E-EFCC-49A8-AF2E-4E772CB1F3E6}"/>
            </a:ext>
          </a:extLst>
        </xdr:cNvPr>
        <xdr:cNvGrpSpPr/>
      </xdr:nvGrpSpPr>
      <xdr:grpSpPr>
        <a:xfrm>
          <a:off x="1467971" y="29525265"/>
          <a:ext cx="11604813" cy="1757545"/>
          <a:chOff x="1443318" y="29641806"/>
          <a:chExt cx="11367248" cy="1759786"/>
        </a:xfrm>
      </xdr:grpSpPr>
      <xdr:grpSp>
        <xdr:nvGrpSpPr>
          <xdr:cNvPr id="2" name="Group 1">
            <a:extLst>
              <a:ext uri="{FF2B5EF4-FFF2-40B4-BE49-F238E27FC236}">
                <a16:creationId xmlns:a16="http://schemas.microsoft.com/office/drawing/2014/main" xmlns="" id="{00000000-0008-0000-1800-000002000000}"/>
              </a:ext>
            </a:extLst>
          </xdr:cNvPr>
          <xdr:cNvGrpSpPr/>
        </xdr:nvGrpSpPr>
        <xdr:grpSpPr>
          <a:xfrm>
            <a:off x="5257801" y="29641806"/>
            <a:ext cx="7552765" cy="1628462"/>
            <a:chOff x="2474895" y="16135350"/>
            <a:chExt cx="5174487" cy="1639866"/>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sp macro="" textlink="">
        <xdr:nvSpPr>
          <xdr:cNvPr id="7" name="TextBox 6">
            <a:extLst>
              <a:ext uri="{FF2B5EF4-FFF2-40B4-BE49-F238E27FC236}">
                <a16:creationId xmlns:a16="http://schemas.microsoft.com/office/drawing/2014/main" xmlns="" id="{1F426A68-6B7A-4021-87EF-2CD4907A345D}"/>
              </a:ext>
            </a:extLst>
          </xdr:cNvPr>
          <xdr:cNvSpPr txBox="1"/>
        </xdr:nvSpPr>
        <xdr:spPr>
          <a:xfrm>
            <a:off x="1443318" y="2966421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8" name="TextBox 7">
            <a:extLst>
              <a:ext uri="{FF2B5EF4-FFF2-40B4-BE49-F238E27FC236}">
                <a16:creationId xmlns:a16="http://schemas.microsoft.com/office/drawing/2014/main" xmlns="" id="{69851687-F4DD-4D81-B4E4-76D2F52AC86E}"/>
              </a:ext>
            </a:extLst>
          </xdr:cNvPr>
          <xdr:cNvSpPr txBox="1"/>
        </xdr:nvSpPr>
        <xdr:spPr>
          <a:xfrm>
            <a:off x="1453775" y="30825774"/>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Cao Lai Việt</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70536" y="21175984"/>
          <a:ext cx="651129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Cao Lai Việt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88671875" defaultRowHeight="12.75"/>
  <cols>
    <col min="1" max="1" width="15.33203125" style="1659" customWidth="1"/>
    <col min="2" max="2" width="9.77734375" style="1653" customWidth="1"/>
    <col min="3" max="3" width="58.44140625" style="1659" customWidth="1"/>
    <col min="4" max="4" width="8.88671875" style="54" customWidth="1"/>
    <col min="5" max="5" width="5.109375" style="2013" customWidth="1"/>
    <col min="6" max="7" width="8.88671875" style="54"/>
    <col min="8" max="8" width="10.21875" style="54" customWidth="1"/>
    <col min="9" max="16384" width="8.88671875" style="54"/>
  </cols>
  <sheetData>
    <row r="1" spans="1:10" s="1640" customFormat="1" ht="27.75" customHeight="1">
      <c r="A1" s="1013" t="s">
        <v>5481</v>
      </c>
      <c r="B1" s="1639" t="s">
        <v>2604</v>
      </c>
      <c r="C1" s="1638" t="s">
        <v>2605</v>
      </c>
      <c r="D1" s="1352" t="s">
        <v>2606</v>
      </c>
      <c r="E1" s="1759"/>
      <c r="F1" s="1640" t="s">
        <v>1708</v>
      </c>
      <c r="G1" s="1640" t="s">
        <v>4520</v>
      </c>
      <c r="H1" s="1640" t="s">
        <v>4826</v>
      </c>
      <c r="I1" s="1640" t="s">
        <v>4827</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4513</v>
      </c>
      <c r="B33" s="1642"/>
      <c r="C33" s="71" t="s">
        <v>4514</v>
      </c>
      <c r="D33" s="72" t="s">
        <v>2439</v>
      </c>
      <c r="E33" s="2013" t="str">
        <f>LEFT(A33,2)</f>
        <v>B1</v>
      </c>
      <c r="F33" s="54">
        <v>50</v>
      </c>
      <c r="G33" s="54" t="s">
        <v>512</v>
      </c>
      <c r="J33" s="54" t="str">
        <f t="shared" si="1"/>
        <v>B14100</v>
      </c>
    </row>
    <row r="34" spans="1:10" hidden="1">
      <c r="A34" s="71" t="s">
        <v>4332</v>
      </c>
      <c r="B34" s="1642"/>
      <c r="C34" s="71" t="s">
        <v>4333</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6585</v>
      </c>
      <c r="B38" s="75"/>
      <c r="C38" s="71" t="s">
        <v>6586</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4822</v>
      </c>
      <c r="B63" s="1642"/>
      <c r="C63" s="71" t="s">
        <v>4823</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4965</v>
      </c>
      <c r="B65" s="1642"/>
      <c r="C65" s="71" t="s">
        <v>4995</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4909</v>
      </c>
      <c r="B86" s="1642"/>
      <c r="C86" s="71" t="s">
        <v>4910</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6105</v>
      </c>
      <c r="B94" s="1642"/>
      <c r="C94" s="71" t="s">
        <v>2692</v>
      </c>
      <c r="D94" s="70" t="s">
        <v>2385</v>
      </c>
      <c r="E94" s="2013" t="str">
        <f t="shared" si="5"/>
        <v>BA</v>
      </c>
      <c r="F94" s="54">
        <v>50</v>
      </c>
      <c r="G94" s="54" t="s">
        <v>512</v>
      </c>
      <c r="J94" s="54" t="str">
        <f t="shared" si="4"/>
        <v>BATLA</v>
      </c>
    </row>
    <row r="95" spans="1:10" hidden="1">
      <c r="A95" s="71" t="s">
        <v>2271</v>
      </c>
      <c r="B95" s="75"/>
      <c r="C95" s="71" t="s">
        <v>4881</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4901</v>
      </c>
      <c r="B141" s="75"/>
      <c r="C141" s="71" t="s">
        <v>4902</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4866</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4324</v>
      </c>
      <c r="D185" s="72" t="s">
        <v>2532</v>
      </c>
      <c r="E185" s="2013" t="str">
        <f t="shared" si="7"/>
        <v>AB</v>
      </c>
      <c r="F185" s="54">
        <v>11</v>
      </c>
      <c r="G185" s="54" t="s">
        <v>512</v>
      </c>
      <c r="J185" s="54" t="str">
        <f t="shared" si="6"/>
        <v>ABC3x95</v>
      </c>
    </row>
    <row r="186" spans="1:10" hidden="1">
      <c r="A186" s="1644" t="s">
        <v>1151</v>
      </c>
      <c r="B186" s="75"/>
      <c r="C186" s="71" t="s">
        <v>4481</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4905</v>
      </c>
      <c r="B198" s="1645"/>
      <c r="C198" s="71" t="s">
        <v>4906</v>
      </c>
      <c r="D198" s="72" t="s">
        <v>2532</v>
      </c>
      <c r="E198" s="2013" t="str">
        <f t="shared" ref="E198" si="8">LEFT(A198,2)</f>
        <v>cx</v>
      </c>
      <c r="F198" s="54">
        <v>8</v>
      </c>
      <c r="G198" s="54" t="s">
        <v>512</v>
      </c>
      <c r="J198" s="54" t="str">
        <f t="shared" ref="J198" si="9">A198</f>
        <v>cxv25</v>
      </c>
    </row>
    <row r="199" spans="1:10" hidden="1">
      <c r="A199" s="71" t="s">
        <v>6525</v>
      </c>
      <c r="B199" s="1645"/>
      <c r="C199" s="71" t="s">
        <v>6526</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4924</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4463</v>
      </c>
      <c r="B235" s="1642"/>
      <c r="C235" s="71" t="s">
        <v>4464</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4355</v>
      </c>
      <c r="D245" s="72" t="s">
        <v>2278</v>
      </c>
      <c r="E245" s="2013" t="str">
        <f t="shared" si="11"/>
        <v>CT</v>
      </c>
      <c r="F245" s="54">
        <v>50</v>
      </c>
      <c r="G245" s="54" t="s">
        <v>512</v>
      </c>
      <c r="J245" s="54" t="str">
        <f t="shared" si="10"/>
        <v>CTD</v>
      </c>
    </row>
    <row r="246" spans="1:10" hidden="1">
      <c r="A246" s="1643" t="s">
        <v>1508</v>
      </c>
      <c r="B246" s="75"/>
      <c r="C246" s="71" t="s">
        <v>4857</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6421</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6422</v>
      </c>
      <c r="D255" s="72" t="s">
        <v>2555</v>
      </c>
      <c r="E255" s="2013" t="str">
        <f t="shared" si="11"/>
        <v>K1</v>
      </c>
      <c r="F255" s="54">
        <v>50</v>
      </c>
      <c r="G255" s="54" t="s">
        <v>512</v>
      </c>
      <c r="J255" s="54" t="str">
        <f t="shared" si="10"/>
        <v>K185</v>
      </c>
    </row>
    <row r="256" spans="1:10" hidden="1">
      <c r="A256" s="1643" t="s">
        <v>2071</v>
      </c>
      <c r="B256" s="75"/>
      <c r="C256" s="71" t="s">
        <v>6423</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4874</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4494</v>
      </c>
      <c r="B269" s="75"/>
      <c r="C269" s="71" t="s">
        <v>4730</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4760</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4873</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4290</v>
      </c>
      <c r="B298" s="75"/>
      <c r="C298" s="71" t="s">
        <v>2562</v>
      </c>
      <c r="D298" s="72" t="s">
        <v>2555</v>
      </c>
      <c r="E298" s="2013" t="str">
        <f t="shared" si="13"/>
        <v>BI</v>
      </c>
      <c r="F298" s="54">
        <v>50</v>
      </c>
      <c r="G298" s="54" t="s">
        <v>512</v>
      </c>
      <c r="J298" s="54" t="str">
        <f t="shared" si="12"/>
        <v>BIT35</v>
      </c>
    </row>
    <row r="299" spans="1:10" hidden="1">
      <c r="A299" s="71" t="s">
        <v>4322</v>
      </c>
      <c r="B299" s="75"/>
      <c r="C299" s="71" t="s">
        <v>4321</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6524</v>
      </c>
      <c r="B312" s="75" t="s">
        <v>1757</v>
      </c>
      <c r="C312" s="71" t="s">
        <v>4344</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6523</v>
      </c>
      <c r="B314" s="75" t="s">
        <v>1757</v>
      </c>
      <c r="C314" s="71" t="s">
        <v>4493</v>
      </c>
      <c r="D314" s="72" t="s">
        <v>2555</v>
      </c>
      <c r="E314" s="2013" t="str">
        <f>LEFT(A314,2)</f>
        <v>KQ</v>
      </c>
      <c r="F314" s="54">
        <v>50</v>
      </c>
      <c r="G314" s="54" t="s">
        <v>512</v>
      </c>
      <c r="J314" s="54" t="str">
        <f t="shared" si="12"/>
        <v>KQ4/0-C</v>
      </c>
    </row>
    <row r="315" spans="1:10" hidden="1">
      <c r="A315" s="71" t="s">
        <v>1477</v>
      </c>
      <c r="B315" s="75" t="s">
        <v>1757</v>
      </c>
      <c r="C315" s="71" t="s">
        <v>4334</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4871</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4903</v>
      </c>
      <c r="B380" s="1642"/>
      <c r="C380" s="71" t="s">
        <v>4868</v>
      </c>
      <c r="D380" s="72" t="s">
        <v>2555</v>
      </c>
      <c r="E380" s="2013" t="str">
        <f>LEFT(A380,2)</f>
        <v>SD</v>
      </c>
      <c r="F380" s="54">
        <v>6</v>
      </c>
      <c r="G380" s="54" t="s">
        <v>512</v>
      </c>
      <c r="J380" s="54" t="str">
        <f>A380</f>
        <v>SDC</v>
      </c>
    </row>
    <row r="381" spans="1:10" hidden="1">
      <c r="A381" s="71" t="s">
        <v>4904</v>
      </c>
      <c r="B381" s="1642"/>
      <c r="C381" s="71" t="s">
        <v>4869</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4863</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4860</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4714</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4713</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4859</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4862</v>
      </c>
      <c r="D412" s="72" t="s">
        <v>2555</v>
      </c>
      <c r="E412" s="2013" t="str">
        <f>LEFT(A412,2)</f>
        <v>SL</v>
      </c>
      <c r="F412" s="54">
        <v>50</v>
      </c>
      <c r="G412" s="54" t="s">
        <v>512</v>
      </c>
      <c r="H412" s="54">
        <v>1990</v>
      </c>
      <c r="J412" s="54" t="str">
        <f>A412</f>
        <v>SL75-1990</v>
      </c>
    </row>
    <row r="413" spans="1:10" hidden="1">
      <c r="A413" s="2011" t="str">
        <f t="shared" si="22"/>
        <v>SL75-2100</v>
      </c>
      <c r="B413" s="1642"/>
      <c r="C413" s="71" t="s">
        <v>4861</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4801</v>
      </c>
      <c r="D417" s="72" t="s">
        <v>2248</v>
      </c>
      <c r="E417" s="2013" t="str">
        <f t="shared" si="15"/>
        <v>SO</v>
      </c>
      <c r="F417" s="54">
        <v>50</v>
      </c>
      <c r="G417" s="54" t="s">
        <v>512</v>
      </c>
      <c r="J417" s="54" t="str">
        <f t="shared" si="20"/>
        <v>SO6</v>
      </c>
    </row>
    <row r="418" spans="1:10" hidden="1">
      <c r="A418" s="71" t="s">
        <v>1424</v>
      </c>
      <c r="B418" s="1642"/>
      <c r="C418" s="71" t="s">
        <v>4802</v>
      </c>
      <c r="D418" s="72" t="s">
        <v>2248</v>
      </c>
      <c r="E418" s="2013" t="str">
        <f t="shared" si="15"/>
        <v>SO</v>
      </c>
      <c r="F418" s="54">
        <v>50</v>
      </c>
      <c r="G418" s="54" t="s">
        <v>512</v>
      </c>
      <c r="J418" s="54" t="str">
        <f t="shared" si="20"/>
        <v>SO8</v>
      </c>
    </row>
    <row r="419" spans="1:10" hidden="1">
      <c r="A419" s="71" t="s">
        <v>2008</v>
      </c>
      <c r="B419" s="1642"/>
      <c r="C419" s="71" t="s">
        <v>4803</v>
      </c>
      <c r="D419" s="72" t="s">
        <v>2248</v>
      </c>
      <c r="E419" s="2013" t="str">
        <f t="shared" si="15"/>
        <v>SO</v>
      </c>
      <c r="F419" s="54">
        <v>50</v>
      </c>
      <c r="G419" s="54" t="s">
        <v>512</v>
      </c>
      <c r="J419" s="54" t="str">
        <f t="shared" si="20"/>
        <v>SO10</v>
      </c>
    </row>
    <row r="420" spans="1:10" hidden="1">
      <c r="A420" s="71" t="s">
        <v>1516</v>
      </c>
      <c r="B420" s="1642"/>
      <c r="C420" s="71" t="s">
        <v>4804</v>
      </c>
      <c r="D420" s="72" t="s">
        <v>2248</v>
      </c>
      <c r="E420" s="2013" t="str">
        <f t="shared" si="15"/>
        <v>SO</v>
      </c>
      <c r="F420" s="54">
        <v>50</v>
      </c>
      <c r="G420" s="54" t="s">
        <v>512</v>
      </c>
      <c r="J420" s="54" t="str">
        <f t="shared" si="20"/>
        <v>SO12</v>
      </c>
    </row>
    <row r="421" spans="1:10" hidden="1">
      <c r="A421" s="71" t="s">
        <v>1435</v>
      </c>
      <c r="B421" s="1642"/>
      <c r="C421" s="71" t="s">
        <v>4805</v>
      </c>
      <c r="D421" s="72" t="s">
        <v>2248</v>
      </c>
      <c r="E421" s="2013" t="str">
        <f t="shared" si="15"/>
        <v>SO</v>
      </c>
      <c r="F421" s="54">
        <v>50</v>
      </c>
      <c r="G421" s="54" t="s">
        <v>512</v>
      </c>
      <c r="J421" s="54" t="str">
        <f t="shared" si="20"/>
        <v>SO16</v>
      </c>
    </row>
    <row r="422" spans="1:10" hidden="1">
      <c r="A422" s="71" t="s">
        <v>1974</v>
      </c>
      <c r="B422" s="1642"/>
      <c r="C422" s="71" t="s">
        <v>4806</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4356</v>
      </c>
      <c r="D428" s="72" t="s">
        <v>2439</v>
      </c>
      <c r="E428" s="2013" t="str">
        <f t="shared" si="25"/>
        <v>CL</v>
      </c>
      <c r="F428" s="54">
        <v>50</v>
      </c>
      <c r="G428" s="54" t="s">
        <v>512</v>
      </c>
      <c r="J428" s="54" t="str">
        <f t="shared" si="20"/>
        <v>CL</v>
      </c>
    </row>
    <row r="429" spans="1:10" hidden="1">
      <c r="A429" s="71" t="s">
        <v>188</v>
      </c>
      <c r="B429" s="1642"/>
      <c r="C429" s="71" t="s">
        <v>4357</v>
      </c>
      <c r="D429" s="72" t="s">
        <v>2439</v>
      </c>
      <c r="E429" s="2013" t="str">
        <f t="shared" si="25"/>
        <v>CL</v>
      </c>
      <c r="F429" s="54">
        <v>50</v>
      </c>
      <c r="G429" s="54" t="s">
        <v>512</v>
      </c>
      <c r="J429" s="54" t="str">
        <f t="shared" si="20"/>
        <v>CLHT</v>
      </c>
    </row>
    <row r="430" spans="1:10" hidden="1">
      <c r="A430" s="1643" t="s">
        <v>2047</v>
      </c>
      <c r="B430" s="75"/>
      <c r="C430" s="1643" t="s">
        <v>4358</v>
      </c>
      <c r="D430" s="72" t="s">
        <v>2555</v>
      </c>
      <c r="E430" s="2013" t="str">
        <f t="shared" si="25"/>
        <v>TN</v>
      </c>
      <c r="F430" s="54">
        <v>50</v>
      </c>
      <c r="G430" s="54" t="s">
        <v>512</v>
      </c>
      <c r="J430" s="54" t="str">
        <f t="shared" si="20"/>
        <v>TN1618</v>
      </c>
    </row>
    <row r="431" spans="1:10" hidden="1">
      <c r="A431" s="1643" t="s">
        <v>746</v>
      </c>
      <c r="B431" s="75"/>
      <c r="C431" s="1643" t="s">
        <v>4359</v>
      </c>
      <c r="D431" s="72" t="s">
        <v>2555</v>
      </c>
      <c r="E431" s="2013" t="str">
        <f t="shared" si="25"/>
        <v>TN</v>
      </c>
      <c r="F431" s="54">
        <v>50</v>
      </c>
      <c r="G431" s="54" t="s">
        <v>512</v>
      </c>
      <c r="J431" s="54" t="str">
        <f t="shared" si="20"/>
        <v>TN1624</v>
      </c>
    </row>
    <row r="432" spans="1:10" hidden="1">
      <c r="A432" s="1643" t="s">
        <v>2163</v>
      </c>
      <c r="B432" s="75"/>
      <c r="C432" s="1643" t="s">
        <v>4360</v>
      </c>
      <c r="D432" s="72" t="s">
        <v>2555</v>
      </c>
      <c r="E432" s="2013" t="str">
        <f t="shared" si="25"/>
        <v>TN</v>
      </c>
      <c r="F432" s="54">
        <v>50</v>
      </c>
      <c r="G432" s="54" t="s">
        <v>512</v>
      </c>
      <c r="J432" s="54" t="str">
        <f t="shared" si="20"/>
        <v>TN1824</v>
      </c>
    </row>
    <row r="433" spans="1:10" hidden="1">
      <c r="A433" s="1643" t="s">
        <v>536</v>
      </c>
      <c r="B433" s="75"/>
      <c r="C433" s="1643" t="s">
        <v>4361</v>
      </c>
      <c r="D433" s="72" t="s">
        <v>2555</v>
      </c>
      <c r="E433" s="2013" t="str">
        <f t="shared" si="25"/>
        <v>TN</v>
      </c>
      <c r="F433" s="54">
        <v>50</v>
      </c>
      <c r="G433" s="54" t="s">
        <v>512</v>
      </c>
      <c r="J433" s="54" t="str">
        <f t="shared" si="20"/>
        <v>TN2224</v>
      </c>
    </row>
    <row r="434" spans="1:10" hidden="1">
      <c r="A434" s="1643" t="s">
        <v>1999</v>
      </c>
      <c r="B434" s="75"/>
      <c r="C434" s="1643" t="s">
        <v>4362</v>
      </c>
      <c r="D434" s="72" t="s">
        <v>2555</v>
      </c>
      <c r="E434" s="2013" t="str">
        <f t="shared" si="25"/>
        <v>TN</v>
      </c>
      <c r="F434" s="54">
        <v>50</v>
      </c>
      <c r="G434" s="54" t="s">
        <v>512</v>
      </c>
      <c r="J434" s="54" t="str">
        <f t="shared" si="20"/>
        <v>TN30</v>
      </c>
    </row>
    <row r="435" spans="1:10" hidden="1">
      <c r="A435" s="1643" t="s">
        <v>113</v>
      </c>
      <c r="B435" s="75"/>
      <c r="C435" s="1643" t="s">
        <v>4363</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5469</v>
      </c>
      <c r="D442" s="72" t="s">
        <v>2439</v>
      </c>
      <c r="E442" s="2013" t="str">
        <f t="shared" si="25"/>
        <v>LC</v>
      </c>
      <c r="F442" s="54">
        <v>2000</v>
      </c>
      <c r="G442" s="54" t="s">
        <v>512</v>
      </c>
      <c r="J442" s="54" t="str">
        <f t="shared" si="20"/>
        <v>LCD</v>
      </c>
    </row>
    <row r="443" spans="1:10" hidden="1">
      <c r="A443" s="71" t="s">
        <v>1592</v>
      </c>
      <c r="B443" s="1642" t="s">
        <v>1754</v>
      </c>
      <c r="C443" s="71" t="s">
        <v>4354</v>
      </c>
      <c r="D443" s="72" t="s">
        <v>2439</v>
      </c>
      <c r="E443" s="2013" t="str">
        <f t="shared" si="25"/>
        <v>CD</v>
      </c>
      <c r="F443" s="54">
        <v>50</v>
      </c>
      <c r="G443" s="54" t="s">
        <v>512</v>
      </c>
      <c r="J443" s="54" t="str">
        <f t="shared" si="20"/>
        <v>CD21</v>
      </c>
    </row>
    <row r="444" spans="1:10" hidden="1">
      <c r="A444" s="71" t="s">
        <v>374</v>
      </c>
      <c r="B444" s="1642" t="s">
        <v>1754</v>
      </c>
      <c r="C444" s="71" t="s">
        <v>4364</v>
      </c>
      <c r="D444" s="72" t="s">
        <v>2439</v>
      </c>
      <c r="E444" s="2013" t="str">
        <f t="shared" si="25"/>
        <v>CD</v>
      </c>
      <c r="F444" s="54">
        <v>50</v>
      </c>
      <c r="G444" s="54" t="s">
        <v>512</v>
      </c>
      <c r="J444" s="54" t="str">
        <f t="shared" si="20"/>
        <v>CD21S10</v>
      </c>
    </row>
    <row r="445" spans="1:10" hidden="1">
      <c r="A445" s="71" t="s">
        <v>1991</v>
      </c>
      <c r="B445" s="1642" t="s">
        <v>1754</v>
      </c>
      <c r="C445" s="71" t="s">
        <v>4365</v>
      </c>
      <c r="D445" s="72" t="s">
        <v>2439</v>
      </c>
      <c r="E445" s="2013" t="str">
        <f t="shared" si="25"/>
        <v>CD</v>
      </c>
      <c r="F445" s="54">
        <v>50</v>
      </c>
      <c r="G445" s="54" t="s">
        <v>512</v>
      </c>
      <c r="J445" s="54" t="str">
        <f t="shared" si="20"/>
        <v>CD60</v>
      </c>
    </row>
    <row r="446" spans="1:10" hidden="1">
      <c r="A446" s="71" t="s">
        <v>1990</v>
      </c>
      <c r="B446" s="1642" t="s">
        <v>1754</v>
      </c>
      <c r="C446" s="71" t="s">
        <v>4366</v>
      </c>
      <c r="D446" s="72" t="s">
        <v>2439</v>
      </c>
      <c r="E446" s="2013" t="str">
        <f t="shared" si="25"/>
        <v>CD</v>
      </c>
      <c r="F446" s="54">
        <v>50</v>
      </c>
      <c r="G446" s="54" t="s">
        <v>512</v>
      </c>
      <c r="J446" s="54" t="str">
        <f t="shared" si="20"/>
        <v>CD90</v>
      </c>
    </row>
    <row r="447" spans="1:10" hidden="1">
      <c r="A447" s="71" t="s">
        <v>731</v>
      </c>
      <c r="B447" s="1642" t="s">
        <v>1754</v>
      </c>
      <c r="C447" s="71" t="s">
        <v>4367</v>
      </c>
      <c r="D447" s="72" t="s">
        <v>2439</v>
      </c>
      <c r="E447" s="2013" t="str">
        <f t="shared" si="25"/>
        <v>CD</v>
      </c>
      <c r="F447" s="54">
        <v>50</v>
      </c>
      <c r="G447" s="54" t="s">
        <v>512</v>
      </c>
      <c r="J447" s="54" t="str">
        <f t="shared" si="20"/>
        <v>CD114</v>
      </c>
    </row>
    <row r="448" spans="1:10" hidden="1">
      <c r="A448" s="71" t="s">
        <v>1536</v>
      </c>
      <c r="B448" s="1642" t="s">
        <v>1754</v>
      </c>
      <c r="C448" s="71" t="s">
        <v>4368</v>
      </c>
      <c r="D448" s="72" t="s">
        <v>2439</v>
      </c>
      <c r="E448" s="2013" t="str">
        <f t="shared" si="25"/>
        <v>CD</v>
      </c>
      <c r="F448" s="54">
        <v>50</v>
      </c>
      <c r="G448" s="54" t="s">
        <v>512</v>
      </c>
      <c r="J448" s="54" t="str">
        <f t="shared" si="20"/>
        <v>CD140</v>
      </c>
    </row>
    <row r="449" spans="1:10" hidden="1">
      <c r="A449" s="71" t="s">
        <v>945</v>
      </c>
      <c r="B449" s="1642" t="s">
        <v>1754</v>
      </c>
      <c r="C449" s="71" t="s">
        <v>4369</v>
      </c>
      <c r="D449" s="72" t="s">
        <v>2439</v>
      </c>
      <c r="E449" s="2013" t="str">
        <f t="shared" si="25"/>
        <v>CD</v>
      </c>
      <c r="F449" s="54">
        <v>50</v>
      </c>
      <c r="G449" s="54" t="s">
        <v>512</v>
      </c>
      <c r="J449" s="54" t="str">
        <f t="shared" si="20"/>
        <v>CD140TK</v>
      </c>
    </row>
    <row r="450" spans="1:10" hidden="1">
      <c r="A450" s="71" t="s">
        <v>225</v>
      </c>
      <c r="B450" s="1642" t="s">
        <v>1754</v>
      </c>
      <c r="C450" s="71" t="s">
        <v>4370</v>
      </c>
      <c r="D450" s="72" t="s">
        <v>2439</v>
      </c>
      <c r="E450" s="2013" t="str">
        <f t="shared" si="25"/>
        <v>CD</v>
      </c>
      <c r="F450" s="54">
        <v>50</v>
      </c>
      <c r="G450" s="54" t="s">
        <v>512</v>
      </c>
      <c r="J450" s="54" t="str">
        <f t="shared" si="20"/>
        <v>CD195</v>
      </c>
    </row>
    <row r="451" spans="1:10" hidden="1">
      <c r="A451" s="71" t="s">
        <v>845</v>
      </c>
      <c r="B451" s="1642" t="s">
        <v>1754</v>
      </c>
      <c r="C451" s="71" t="s">
        <v>4371</v>
      </c>
      <c r="D451" s="72" t="s">
        <v>2439</v>
      </c>
      <c r="E451" s="2013" t="str">
        <f t="shared" si="25"/>
        <v>CD</v>
      </c>
      <c r="F451" s="54">
        <v>50</v>
      </c>
      <c r="G451" s="54" t="s">
        <v>512</v>
      </c>
      <c r="J451" s="54" t="str">
        <f t="shared" si="20"/>
        <v>CD207</v>
      </c>
    </row>
    <row r="452" spans="1:10" hidden="1">
      <c r="A452" s="71" t="s">
        <v>1989</v>
      </c>
      <c r="B452" s="1642" t="s">
        <v>1754</v>
      </c>
      <c r="C452" s="71" t="s">
        <v>4372</v>
      </c>
      <c r="D452" s="72" t="s">
        <v>2439</v>
      </c>
      <c r="E452" s="2013" t="str">
        <f t="shared" si="25"/>
        <v>CD</v>
      </c>
      <c r="F452" s="54">
        <v>50</v>
      </c>
      <c r="G452" s="54" t="s">
        <v>512</v>
      </c>
      <c r="J452" s="54" t="str">
        <f t="shared" si="20"/>
        <v>CD220</v>
      </c>
    </row>
    <row r="453" spans="1:10" hidden="1">
      <c r="A453" s="71" t="s">
        <v>803</v>
      </c>
      <c r="B453" s="1642" t="s">
        <v>1754</v>
      </c>
      <c r="C453" s="71" t="s">
        <v>4373</v>
      </c>
      <c r="D453" s="72" t="s">
        <v>2439</v>
      </c>
      <c r="E453" s="2013" t="str">
        <f t="shared" si="25"/>
        <v>CD</v>
      </c>
      <c r="F453" s="54">
        <v>50</v>
      </c>
      <c r="G453" s="54" t="s">
        <v>512</v>
      </c>
      <c r="J453" s="54" t="str">
        <f t="shared" si="20"/>
        <v>CD240</v>
      </c>
    </row>
    <row r="454" spans="1:10" hidden="1">
      <c r="A454" s="71" t="s">
        <v>2070</v>
      </c>
      <c r="B454" s="1642" t="s">
        <v>1754</v>
      </c>
      <c r="C454" s="71" t="s">
        <v>4374</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4375</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4842</v>
      </c>
      <c r="B470" s="1642" t="s">
        <v>1754</v>
      </c>
      <c r="C470" s="1651" t="s">
        <v>4841</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4327</v>
      </c>
      <c r="B472" s="1642"/>
      <c r="C472" s="1651" t="s">
        <v>4328</v>
      </c>
      <c r="D472" s="72" t="s">
        <v>2555</v>
      </c>
      <c r="E472" s="2013" t="str">
        <f t="shared" si="25"/>
        <v>CO</v>
      </c>
      <c r="F472" s="54">
        <v>50</v>
      </c>
      <c r="G472" s="54" t="s">
        <v>512</v>
      </c>
      <c r="J472" s="54" t="str">
        <f t="shared" si="26"/>
        <v>COM110x800x5-2,4</v>
      </c>
    </row>
    <row r="473" spans="1:10" hidden="1">
      <c r="A473" s="71" t="s">
        <v>4452</v>
      </c>
      <c r="B473" s="1642"/>
      <c r="C473" s="1651" t="s">
        <v>4453</v>
      </c>
      <c r="D473" s="72" t="s">
        <v>2555</v>
      </c>
      <c r="E473" s="2013" t="str">
        <f>LEFT(A473,2)</f>
        <v>CO</v>
      </c>
      <c r="F473" s="54">
        <v>50</v>
      </c>
      <c r="G473" s="54" t="s">
        <v>512</v>
      </c>
      <c r="J473" s="54" t="str">
        <f t="shared" si="26"/>
        <v>COM110x800x5-2,6</v>
      </c>
    </row>
    <row r="474" spans="1:10" hidden="1">
      <c r="A474" s="71" t="s">
        <v>4541</v>
      </c>
      <c r="B474" s="1642"/>
      <c r="C474" s="1651" t="s">
        <v>4864</v>
      </c>
      <c r="D474" s="72" t="s">
        <v>2555</v>
      </c>
      <c r="E474" s="2013" t="str">
        <f>LEFT(A474,2)</f>
        <v>CO</v>
      </c>
      <c r="F474" s="54">
        <v>50</v>
      </c>
      <c r="G474" s="54" t="s">
        <v>512</v>
      </c>
      <c r="J474" s="54" t="str">
        <f t="shared" si="26"/>
        <v>COM08</v>
      </c>
    </row>
    <row r="475" spans="1:10" hidden="1">
      <c r="A475" s="71" t="s">
        <v>4511</v>
      </c>
      <c r="B475" s="1642"/>
      <c r="C475" s="1651" t="s">
        <v>4512</v>
      </c>
      <c r="D475" s="72" t="s">
        <v>2439</v>
      </c>
      <c r="E475" s="2013" t="str">
        <f>LEFT(A475,2)</f>
        <v>CO</v>
      </c>
      <c r="F475" s="54">
        <v>50</v>
      </c>
      <c r="G475" s="54" t="s">
        <v>512</v>
      </c>
      <c r="J475" s="54" t="str">
        <f t="shared" si="26"/>
        <v>COM08-720</v>
      </c>
    </row>
    <row r="476" spans="1:10" hidden="1">
      <c r="A476" s="71" t="s">
        <v>4728</v>
      </c>
      <c r="B476" s="1642"/>
      <c r="C476" s="1651" t="s">
        <v>4865</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4645</v>
      </c>
      <c r="D485" s="72" t="s">
        <v>2831</v>
      </c>
      <c r="E485" s="2013" t="str">
        <f t="shared" si="25"/>
        <v>T1</v>
      </c>
      <c r="F485" s="54">
        <v>16</v>
      </c>
      <c r="G485" s="54" t="s">
        <v>512</v>
      </c>
      <c r="J485" s="54" t="str">
        <f t="shared" si="26"/>
        <v>T12</v>
      </c>
    </row>
    <row r="486" spans="1:10" hidden="1">
      <c r="A486" s="71" t="s">
        <v>2412</v>
      </c>
      <c r="B486" s="1642"/>
      <c r="C486" s="71" t="s">
        <v>6573</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4413</v>
      </c>
      <c r="B498" s="1642"/>
      <c r="C498" s="71" t="s">
        <v>3004</v>
      </c>
      <c r="D498" s="72" t="s">
        <v>856</v>
      </c>
      <c r="E498" s="2013" t="str">
        <f>LEFT(A498,2)</f>
        <v>ca</v>
      </c>
      <c r="F498" s="54">
        <v>997</v>
      </c>
      <c r="G498" s="54" t="s">
        <v>512</v>
      </c>
      <c r="J498" s="54" t="str">
        <f>A498</f>
        <v>cat</v>
      </c>
    </row>
    <row r="499" spans="1:10" hidden="1">
      <c r="A499" s="974" t="s">
        <v>4994</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4856</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4998</v>
      </c>
      <c r="C539" s="1641" t="s">
        <v>4999</v>
      </c>
      <c r="D539" s="72" t="s">
        <v>2555</v>
      </c>
      <c r="E539" s="2013" t="str">
        <f t="shared" si="27"/>
        <v>DB</v>
      </c>
      <c r="F539" s="54">
        <v>50</v>
      </c>
      <c r="J539" s="54" t="str">
        <f t="shared" si="28"/>
        <v>DBCST</v>
      </c>
    </row>
    <row r="540" spans="1:10" hidden="1">
      <c r="A540" s="1641" t="s">
        <v>5000</v>
      </c>
      <c r="C540" s="1641" t="s">
        <v>5001</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4990</v>
      </c>
      <c r="C542" s="1641" t="s">
        <v>4983</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4923</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4858</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4400</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4330</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4454</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5469</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4323</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4335</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4339</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4338</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4762</v>
      </c>
      <c r="D831" s="72" t="s">
        <v>3300</v>
      </c>
      <c r="E831" s="2013" t="str">
        <f t="shared" si="37"/>
        <v>TR</v>
      </c>
      <c r="F831" s="54">
        <v>1</v>
      </c>
      <c r="G831" s="54" t="s">
        <v>512</v>
      </c>
      <c r="J831" s="54" t="str">
        <f t="shared" si="36"/>
        <v>TR501</v>
      </c>
    </row>
    <row r="832" spans="1:10" hidden="1">
      <c r="A832" s="71" t="s">
        <v>1213</v>
      </c>
      <c r="B832" s="1642" t="s">
        <v>214</v>
      </c>
      <c r="C832" s="73" t="s">
        <v>4519</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4877</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6591</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4879</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5610</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4600</v>
      </c>
      <c r="B925" s="1642" t="s">
        <v>1387</v>
      </c>
      <c r="C925" s="1650" t="s">
        <v>4601</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4878</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4880</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4540</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4455</v>
      </c>
      <c r="D954" s="72" t="s">
        <v>2555</v>
      </c>
      <c r="E954" s="2013" t="str">
        <f t="shared" si="41"/>
        <v>AT</v>
      </c>
      <c r="F954" s="54">
        <v>5</v>
      </c>
      <c r="G954" s="54" t="s">
        <v>512</v>
      </c>
      <c r="J954" s="54" t="str">
        <f t="shared" si="40"/>
        <v>ATM250</v>
      </c>
    </row>
    <row r="955" spans="1:10" hidden="1">
      <c r="A955" s="71" t="s">
        <v>986</v>
      </c>
      <c r="B955" s="1662" t="s">
        <v>1883</v>
      </c>
      <c r="C955" s="71" t="s">
        <v>4507</v>
      </c>
      <c r="D955" s="72" t="s">
        <v>2555</v>
      </c>
      <c r="E955" s="2013" t="str">
        <f t="shared" si="41"/>
        <v>AT</v>
      </c>
      <c r="F955" s="54">
        <v>5</v>
      </c>
      <c r="G955" s="54" t="s">
        <v>512</v>
      </c>
      <c r="J955" s="54" t="str">
        <f t="shared" si="40"/>
        <v>ATM400</v>
      </c>
    </row>
    <row r="956" spans="1:10" hidden="1">
      <c r="A956" s="71" t="s">
        <v>305</v>
      </c>
      <c r="B956" s="1662" t="s">
        <v>543</v>
      </c>
      <c r="C956" s="71" t="s">
        <v>4755</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4509</v>
      </c>
      <c r="B992" s="1662" t="s">
        <v>58</v>
      </c>
      <c r="C992" s="71" t="s">
        <v>4510</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4557</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4401</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4402</v>
      </c>
      <c r="D1016" s="72" t="s">
        <v>3457</v>
      </c>
      <c r="E1016" s="2013" t="str">
        <f t="shared" si="43"/>
        <v>GT</v>
      </c>
      <c r="F1016" s="54">
        <v>50</v>
      </c>
      <c r="G1016" s="54" t="s">
        <v>512</v>
      </c>
      <c r="J1016" s="54" t="str">
        <f t="shared" si="42"/>
        <v>GTMBA15</v>
      </c>
    </row>
    <row r="1017" spans="1:10" hidden="1">
      <c r="A1017" s="71" t="s">
        <v>1000</v>
      </c>
      <c r="B1017" s="1642" t="s">
        <v>277</v>
      </c>
      <c r="C1017" s="1651" t="s">
        <v>4403</v>
      </c>
      <c r="D1017" s="72" t="s">
        <v>2555</v>
      </c>
      <c r="E1017" s="2013" t="str">
        <f t="shared" si="43"/>
        <v>GT</v>
      </c>
      <c r="F1017" s="54">
        <v>50</v>
      </c>
      <c r="G1017" s="54" t="s">
        <v>512</v>
      </c>
      <c r="J1017" s="54" t="str">
        <f t="shared" si="42"/>
        <v>GTMBA25</v>
      </c>
    </row>
    <row r="1018" spans="1:10" hidden="1">
      <c r="A1018" s="71" t="s">
        <v>1587</v>
      </c>
      <c r="B1018" s="1642" t="s">
        <v>277</v>
      </c>
      <c r="C1018" s="1651" t="s">
        <v>4404</v>
      </c>
      <c r="D1018" s="72" t="s">
        <v>2555</v>
      </c>
      <c r="E1018" s="2013" t="str">
        <f t="shared" si="43"/>
        <v>GT</v>
      </c>
      <c r="F1018" s="54">
        <v>50</v>
      </c>
      <c r="G1018" s="54" t="s">
        <v>512</v>
      </c>
      <c r="J1018" s="54" t="str">
        <f t="shared" si="42"/>
        <v>GTMBA37,5</v>
      </c>
    </row>
    <row r="1019" spans="1:10" hidden="1">
      <c r="A1019" s="71" t="s">
        <v>4989</v>
      </c>
      <c r="B1019" s="1642" t="s">
        <v>277</v>
      </c>
      <c r="C1019" s="1651" t="s">
        <v>4405</v>
      </c>
      <c r="D1019" s="72" t="s">
        <v>2555</v>
      </c>
      <c r="E1019" s="2013" t="str">
        <f>LEFT(A1019,2)</f>
        <v>GT</v>
      </c>
      <c r="F1019" s="54">
        <v>50</v>
      </c>
      <c r="G1019" s="54" t="s">
        <v>512</v>
      </c>
      <c r="J1019" s="54" t="str">
        <f t="shared" si="42"/>
        <v>GTMBA50</v>
      </c>
    </row>
    <row r="1020" spans="1:10" hidden="1">
      <c r="A1020" s="71" t="s">
        <v>4763</v>
      </c>
      <c r="B1020" s="1642" t="s">
        <v>277</v>
      </c>
      <c r="C1020" s="1651" t="s">
        <v>4764</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4410</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6580</v>
      </c>
      <c r="B1069" s="75"/>
      <c r="C1069" s="1664" t="s">
        <v>6581</v>
      </c>
      <c r="D1069" s="72" t="s">
        <v>2555</v>
      </c>
      <c r="E1069" s="2013" t="str">
        <f>LEFT(A1069,2)</f>
        <v>CH</v>
      </c>
      <c r="F1069" s="54">
        <v>50</v>
      </c>
      <c r="G1069" s="54" t="s">
        <v>512</v>
      </c>
      <c r="J1069" s="54" t="str">
        <f t="shared" si="44"/>
        <v>CHLBS-REC</v>
      </c>
    </row>
    <row r="1070" spans="1:10" hidden="1">
      <c r="A1070" s="71" t="s">
        <v>4461</v>
      </c>
      <c r="B1070" s="75"/>
      <c r="C1070" s="1664" t="s">
        <v>4462</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4765</v>
      </c>
      <c r="B1115" s="75"/>
      <c r="C1115" s="1651" t="s">
        <v>4766</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4450</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4345</v>
      </c>
      <c r="B1122" s="1662"/>
      <c r="C1122" s="1651" t="s">
        <v>4346</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4733</v>
      </c>
      <c r="D1147" s="72" t="s">
        <v>2555</v>
      </c>
      <c r="E1147" s="2013" t="str">
        <f t="shared" si="48"/>
        <v>OX</v>
      </c>
      <c r="F1147" s="54">
        <v>50</v>
      </c>
      <c r="G1147" s="54" t="s">
        <v>512</v>
      </c>
      <c r="J1147" s="54" t="str">
        <f t="shared" si="47"/>
        <v>OXC1/0</v>
      </c>
    </row>
    <row r="1148" spans="1:10" hidden="1">
      <c r="A1148" s="71" t="s">
        <v>1037</v>
      </c>
      <c r="B1148" s="1666" t="s">
        <v>1455</v>
      </c>
      <c r="C1148" s="1651" t="s">
        <v>4734</v>
      </c>
      <c r="D1148" s="72" t="s">
        <v>2555</v>
      </c>
      <c r="E1148" s="2013" t="str">
        <f t="shared" si="48"/>
        <v>OX</v>
      </c>
      <c r="F1148" s="54">
        <v>50</v>
      </c>
      <c r="G1148" s="54" t="s">
        <v>512</v>
      </c>
      <c r="J1148" s="54" t="str">
        <f t="shared" si="47"/>
        <v>OXC2/0</v>
      </c>
    </row>
    <row r="1149" spans="1:10" hidden="1">
      <c r="A1149" s="71" t="s">
        <v>2121</v>
      </c>
      <c r="B1149" s="1666" t="s">
        <v>1455</v>
      </c>
      <c r="C1149" s="1651" t="s">
        <v>4735</v>
      </c>
      <c r="D1149" s="72" t="s">
        <v>2555</v>
      </c>
      <c r="E1149" s="2013" t="str">
        <f t="shared" si="48"/>
        <v>OX</v>
      </c>
      <c r="F1149" s="54">
        <v>50</v>
      </c>
      <c r="G1149" s="54" t="s">
        <v>512</v>
      </c>
      <c r="J1149" s="54" t="str">
        <f t="shared" si="47"/>
        <v>OXCth</v>
      </c>
    </row>
    <row r="1150" spans="1:10" hidden="1">
      <c r="A1150" s="71" t="s">
        <v>1470</v>
      </c>
      <c r="B1150" s="1666" t="s">
        <v>1455</v>
      </c>
      <c r="C1150" s="1651" t="s">
        <v>4736</v>
      </c>
      <c r="D1150" s="72" t="s">
        <v>2555</v>
      </c>
      <c r="E1150" s="2013" t="str">
        <f t="shared" si="48"/>
        <v>OX</v>
      </c>
      <c r="F1150" s="54">
        <v>50</v>
      </c>
      <c r="G1150" s="54" t="s">
        <v>512</v>
      </c>
      <c r="J1150" s="54" t="str">
        <f t="shared" si="47"/>
        <v>OXC11</v>
      </c>
    </row>
    <row r="1151" spans="1:10" hidden="1">
      <c r="A1151" s="71" t="s">
        <v>2256</v>
      </c>
      <c r="B1151" s="1666" t="s">
        <v>1455</v>
      </c>
      <c r="C1151" s="1651" t="s">
        <v>4737</v>
      </c>
      <c r="D1151" s="72" t="s">
        <v>2555</v>
      </c>
      <c r="E1151" s="2013" t="str">
        <f t="shared" si="48"/>
        <v>OX</v>
      </c>
      <c r="F1151" s="54">
        <v>50</v>
      </c>
      <c r="G1151" s="54" t="s">
        <v>512</v>
      </c>
      <c r="J1151" s="54" t="str">
        <f t="shared" si="47"/>
        <v>OXC22</v>
      </c>
    </row>
    <row r="1152" spans="1:10" hidden="1">
      <c r="A1152" s="71" t="s">
        <v>1062</v>
      </c>
      <c r="B1152" s="1662" t="s">
        <v>1455</v>
      </c>
      <c r="C1152" s="71" t="s">
        <v>4738</v>
      </c>
      <c r="D1152" s="72" t="s">
        <v>2555</v>
      </c>
      <c r="E1152" s="2013" t="str">
        <f t="shared" si="48"/>
        <v>OX</v>
      </c>
      <c r="F1152" s="54">
        <v>50</v>
      </c>
      <c r="G1152" s="54" t="s">
        <v>512</v>
      </c>
      <c r="J1152" s="54" t="str">
        <f t="shared" si="47"/>
        <v>OXC25</v>
      </c>
    </row>
    <row r="1153" spans="1:10" hidden="1">
      <c r="A1153" s="71" t="s">
        <v>1063</v>
      </c>
      <c r="B1153" s="1666" t="s">
        <v>1455</v>
      </c>
      <c r="C1153" s="1651" t="s">
        <v>4739</v>
      </c>
      <c r="D1153" s="72" t="s">
        <v>2555</v>
      </c>
      <c r="E1153" s="2013" t="str">
        <f t="shared" si="48"/>
        <v>OX</v>
      </c>
      <c r="F1153" s="54">
        <v>50</v>
      </c>
      <c r="G1153" s="54" t="s">
        <v>512</v>
      </c>
      <c r="J1153" s="54" t="str">
        <f t="shared" si="47"/>
        <v>OXC38</v>
      </c>
    </row>
    <row r="1154" spans="1:10" hidden="1">
      <c r="A1154" s="71" t="s">
        <v>1469</v>
      </c>
      <c r="B1154" s="1666" t="s">
        <v>1455</v>
      </c>
      <c r="C1154" s="1651" t="s">
        <v>4740</v>
      </c>
      <c r="D1154" s="72" t="s">
        <v>2555</v>
      </c>
      <c r="E1154" s="2013" t="str">
        <f t="shared" si="48"/>
        <v>OX</v>
      </c>
      <c r="F1154" s="54">
        <v>50</v>
      </c>
      <c r="G1154" s="54" t="s">
        <v>512</v>
      </c>
      <c r="J1154" s="54" t="str">
        <f t="shared" si="47"/>
        <v>OXC50</v>
      </c>
    </row>
    <row r="1155" spans="1:10" hidden="1">
      <c r="A1155" s="71" t="s">
        <v>1620</v>
      </c>
      <c r="B1155" s="1666" t="s">
        <v>1455</v>
      </c>
      <c r="C1155" s="1651" t="s">
        <v>4741</v>
      </c>
      <c r="D1155" s="72" t="s">
        <v>2555</v>
      </c>
      <c r="E1155" s="2013" t="str">
        <f t="shared" si="48"/>
        <v>OX</v>
      </c>
      <c r="F1155" s="54">
        <v>50</v>
      </c>
      <c r="G1155" s="54" t="s">
        <v>512</v>
      </c>
      <c r="J1155" s="54" t="str">
        <f t="shared" si="47"/>
        <v>OXC70</v>
      </c>
    </row>
    <row r="1156" spans="1:10" hidden="1">
      <c r="A1156" s="71" t="s">
        <v>687</v>
      </c>
      <c r="B1156" s="1666" t="s">
        <v>1455</v>
      </c>
      <c r="C1156" s="1651" t="s">
        <v>4742</v>
      </c>
      <c r="D1156" s="72" t="s">
        <v>2555</v>
      </c>
      <c r="E1156" s="2013" t="str">
        <f t="shared" si="48"/>
        <v>OX</v>
      </c>
      <c r="F1156" s="54">
        <v>50</v>
      </c>
      <c r="G1156" s="54" t="s">
        <v>512</v>
      </c>
      <c r="J1156" s="54" t="str">
        <f t="shared" si="47"/>
        <v>OXC95</v>
      </c>
    </row>
    <row r="1157" spans="1:10" hidden="1">
      <c r="A1157" s="71" t="s">
        <v>625</v>
      </c>
      <c r="B1157" s="1666" t="s">
        <v>1455</v>
      </c>
      <c r="C1157" s="1651" t="s">
        <v>4743</v>
      </c>
      <c r="D1157" s="72" t="s">
        <v>2555</v>
      </c>
      <c r="E1157" s="2013" t="str">
        <f t="shared" si="48"/>
        <v>OX</v>
      </c>
      <c r="F1157" s="54">
        <v>50</v>
      </c>
      <c r="G1157" s="54" t="s">
        <v>512</v>
      </c>
      <c r="J1157" s="54" t="str">
        <f t="shared" si="47"/>
        <v>OXC120</v>
      </c>
    </row>
    <row r="1158" spans="1:10" hidden="1">
      <c r="A1158" s="71" t="s">
        <v>1096</v>
      </c>
      <c r="B1158" s="1662" t="s">
        <v>1455</v>
      </c>
      <c r="C1158" s="71" t="s">
        <v>4744</v>
      </c>
      <c r="D1158" s="72" t="s">
        <v>2555</v>
      </c>
      <c r="E1158" s="2013" t="str">
        <f t="shared" si="48"/>
        <v>OX</v>
      </c>
      <c r="F1158" s="54">
        <v>50</v>
      </c>
      <c r="G1158" s="54" t="s">
        <v>512</v>
      </c>
      <c r="J1158" s="54" t="str">
        <f t="shared" si="47"/>
        <v>OXC150</v>
      </c>
    </row>
    <row r="1159" spans="1:10" hidden="1">
      <c r="A1159" s="71" t="s">
        <v>2108</v>
      </c>
      <c r="B1159" s="1662" t="s">
        <v>1455</v>
      </c>
      <c r="C1159" s="71" t="s">
        <v>4745</v>
      </c>
      <c r="D1159" s="72" t="s">
        <v>2555</v>
      </c>
      <c r="E1159" s="2013" t="str">
        <f t="shared" si="48"/>
        <v>OX</v>
      </c>
      <c r="F1159" s="54">
        <v>50</v>
      </c>
      <c r="G1159" s="54" t="s">
        <v>512</v>
      </c>
      <c r="J1159" s="54" t="str">
        <f t="shared" si="47"/>
        <v>OXC185</v>
      </c>
    </row>
    <row r="1160" spans="1:10" hidden="1">
      <c r="A1160" s="71" t="s">
        <v>487</v>
      </c>
      <c r="B1160" s="1662" t="s">
        <v>1455</v>
      </c>
      <c r="C1160" s="71" t="s">
        <v>4746</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4456</v>
      </c>
      <c r="D1169" s="72" t="s">
        <v>2555</v>
      </c>
      <c r="E1169" s="2013" t="str">
        <f t="shared" si="48"/>
        <v>U1</v>
      </c>
      <c r="F1169" s="54">
        <v>50</v>
      </c>
      <c r="G1169" s="54" t="s">
        <v>512</v>
      </c>
      <c r="J1169" s="54" t="str">
        <f t="shared" si="49"/>
        <v>U16-280</v>
      </c>
    </row>
    <row r="1170" spans="1:10" hidden="1">
      <c r="A1170" s="71" t="s">
        <v>1408</v>
      </c>
      <c r="B1170" s="1661" t="s">
        <v>692</v>
      </c>
      <c r="C1170" s="73" t="s">
        <v>4457</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4320</v>
      </c>
      <c r="B1194" s="1662"/>
      <c r="C1194" s="71" t="s">
        <v>4872</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4876</v>
      </c>
      <c r="D1261" s="1677" t="s">
        <v>4140</v>
      </c>
      <c r="E1261" s="2013" t="str">
        <f t="shared" si="51"/>
        <v>Ho</v>
      </c>
      <c r="F1261" s="54">
        <v>50</v>
      </c>
      <c r="G1261" s="54" t="s">
        <v>512</v>
      </c>
      <c r="J1261" s="54" t="str">
        <f t="shared" si="52"/>
        <v>HopCBpd</v>
      </c>
    </row>
    <row r="1262" spans="1:10" hidden="1">
      <c r="A1262" s="1675" t="s">
        <v>4347</v>
      </c>
      <c r="B1262" s="1642"/>
      <c r="C1262" s="1676" t="s">
        <v>4348</v>
      </c>
      <c r="D1262" s="1678" t="s">
        <v>2555</v>
      </c>
      <c r="E1262" s="2013" t="str">
        <f t="shared" si="51"/>
        <v>CC</v>
      </c>
      <c r="F1262" s="54">
        <v>50</v>
      </c>
      <c r="G1262" s="54" t="s">
        <v>512</v>
      </c>
      <c r="J1262" s="54" t="str">
        <f t="shared" si="52"/>
        <v>CCĐMBA</v>
      </c>
    </row>
    <row r="1263" spans="1:10" hidden="1">
      <c r="A1263" s="1675" t="s">
        <v>4341</v>
      </c>
      <c r="B1263" s="1642"/>
      <c r="C1263" s="1676" t="s">
        <v>4340</v>
      </c>
      <c r="D1263" s="1678" t="s">
        <v>2439</v>
      </c>
      <c r="E1263" s="2013" t="str">
        <f t="shared" ref="E1263:E1280" si="53">LEFT(A1263,2)</f>
        <v>CC</v>
      </c>
      <c r="F1263" s="54">
        <v>50</v>
      </c>
      <c r="G1263" s="54" t="s">
        <v>512</v>
      </c>
      <c r="J1263" s="54" t="str">
        <f t="shared" si="52"/>
        <v>CCĐfco</v>
      </c>
    </row>
    <row r="1264" spans="1:10" hidden="1">
      <c r="A1264" s="1675" t="s">
        <v>4349</v>
      </c>
      <c r="B1264" s="1642"/>
      <c r="C1264" s="1676" t="s">
        <v>4350</v>
      </c>
      <c r="D1264" s="1678" t="s">
        <v>2555</v>
      </c>
      <c r="E1264" s="2013" t="str">
        <f t="shared" si="53"/>
        <v>CC</v>
      </c>
      <c r="F1264" s="54">
        <v>50</v>
      </c>
      <c r="G1264" s="54" t="s">
        <v>512</v>
      </c>
      <c r="J1264" s="54" t="str">
        <f t="shared" si="52"/>
        <v>CCĐLA</v>
      </c>
    </row>
    <row r="1265" spans="1:10" hidden="1">
      <c r="A1265" s="1675" t="s">
        <v>4536</v>
      </c>
      <c r="B1265" s="1642"/>
      <c r="C1265" s="1676" t="s">
        <v>4537</v>
      </c>
      <c r="D1265" s="1678" t="s">
        <v>2555</v>
      </c>
      <c r="E1265" s="2013" t="str">
        <f>LEFT(A1265,2)</f>
        <v>CC</v>
      </c>
      <c r="F1265" s="54">
        <v>50</v>
      </c>
      <c r="G1265" s="54" t="s">
        <v>512</v>
      </c>
      <c r="J1265" s="54" t="str">
        <f t="shared" si="52"/>
        <v>CCDQU</v>
      </c>
    </row>
    <row r="1266" spans="1:10" hidden="1">
      <c r="A1266" s="1675" t="s">
        <v>4289</v>
      </c>
      <c r="B1266" s="1642"/>
      <c r="C1266" s="1676" t="s">
        <v>4875</v>
      </c>
      <c r="D1266" s="1678" t="s">
        <v>2439</v>
      </c>
      <c r="E1266" s="2013" t="str">
        <f t="shared" si="53"/>
        <v>TD</v>
      </c>
      <c r="F1266" s="54">
        <v>50</v>
      </c>
      <c r="G1266" s="54" t="s">
        <v>512</v>
      </c>
      <c r="J1266" s="54" t="str">
        <f t="shared" si="52"/>
        <v>TDLLCD</v>
      </c>
    </row>
    <row r="1267" spans="1:10" hidden="1">
      <c r="A1267" s="1675" t="s">
        <v>356</v>
      </c>
      <c r="B1267" s="75" t="s">
        <v>1133</v>
      </c>
      <c r="C1267" s="1650" t="s">
        <v>4336</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4337</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4411</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4409</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4412</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4992</v>
      </c>
      <c r="C1281" s="1659" t="s">
        <v>4985</v>
      </c>
      <c r="D1281" s="54" t="s">
        <v>2385</v>
      </c>
      <c r="F1281" s="54">
        <v>50</v>
      </c>
      <c r="J1281" s="54" t="str">
        <f t="shared" si="52"/>
        <v>CD114dd23</v>
      </c>
    </row>
    <row r="1282" spans="1:10" hidden="1">
      <c r="A1282" s="1659" t="s">
        <v>4993</v>
      </c>
      <c r="C1282" s="1659" t="s">
        <v>4986</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4288</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6527</v>
      </c>
      <c r="C1328" s="1659" t="s">
        <v>6528</v>
      </c>
      <c r="D1328" s="54" t="s">
        <v>2327</v>
      </c>
      <c r="F1328" s="54">
        <v>2000</v>
      </c>
      <c r="J1328" s="54" t="str">
        <f t="shared" ref="J1328:J1329" si="55">A1328</f>
        <v>M14BT Đôi</v>
      </c>
    </row>
    <row r="1329" spans="1:10" hidden="1">
      <c r="A1329" s="1659" t="s">
        <v>6439</v>
      </c>
      <c r="C1329" s="1659" t="s">
        <v>6440</v>
      </c>
      <c r="D1329" s="54" t="s">
        <v>2327</v>
      </c>
      <c r="F1329" s="54">
        <v>2000</v>
      </c>
      <c r="J1329" s="54" t="str">
        <f t="shared" si="55"/>
        <v>MTuBu</v>
      </c>
    </row>
    <row r="1330" spans="1:10" hidden="1">
      <c r="A1330" s="1659" t="s">
        <v>6472</v>
      </c>
      <c r="C1330" s="1659" t="s">
        <v>6473</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4292</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6529</v>
      </c>
      <c r="C1349" s="1659" t="s">
        <v>6530</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6437</v>
      </c>
      <c r="C1354" s="1659" t="s">
        <v>6438</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4551</v>
      </c>
      <c r="D1357" s="54" t="s">
        <v>2277</v>
      </c>
      <c r="F1357" s="54">
        <v>2000</v>
      </c>
      <c r="J1357" s="54" t="str">
        <f t="shared" si="54"/>
        <v>BTLT 8.5</v>
      </c>
    </row>
    <row r="1358" spans="1:10" hidden="1">
      <c r="A1358" s="1659" t="s">
        <v>4552</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4326</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4406</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4467</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5" hidden="1">
      <c r="A1458" s="1679" t="s">
        <v>2499</v>
      </c>
      <c r="C1458" s="1659" t="s">
        <v>2500</v>
      </c>
      <c r="D1458" s="54" t="s">
        <v>2439</v>
      </c>
      <c r="F1458" s="54">
        <v>2000</v>
      </c>
      <c r="J1458" s="54" t="str">
        <f t="shared" si="58"/>
        <v>Đth-U</v>
      </c>
    </row>
    <row r="1459" spans="1:10" ht="16.5" hidden="1">
      <c r="A1459" s="1679" t="s">
        <v>1621</v>
      </c>
      <c r="C1459" s="1659" t="s">
        <v>2501</v>
      </c>
      <c r="D1459" s="54" t="s">
        <v>2439</v>
      </c>
      <c r="F1459" s="54">
        <v>2000</v>
      </c>
      <c r="J1459" s="54" t="str">
        <f t="shared" si="58"/>
        <v>Nth-U</v>
      </c>
    </row>
    <row r="1460" spans="1:10" ht="16.5" hidden="1">
      <c r="A1460" s="1679" t="s">
        <v>1622</v>
      </c>
      <c r="C1460" s="1659" t="s">
        <v>6576</v>
      </c>
      <c r="D1460" s="54" t="s">
        <v>2439</v>
      </c>
      <c r="F1460" s="54">
        <v>2000</v>
      </c>
      <c r="J1460" s="54" t="str">
        <f t="shared" si="58"/>
        <v>Nth-T</v>
      </c>
    </row>
    <row r="1461" spans="1:10" ht="16.5" hidden="1">
      <c r="A1461" s="1679" t="s">
        <v>2160</v>
      </c>
      <c r="C1461" s="1659" t="s">
        <v>6577</v>
      </c>
      <c r="D1461" s="54" t="s">
        <v>2439</v>
      </c>
      <c r="F1461" s="54">
        <v>2000</v>
      </c>
      <c r="J1461" s="54" t="str">
        <f t="shared" si="58"/>
        <v>Nth-X</v>
      </c>
    </row>
    <row r="1462" spans="1:10" ht="16.5" hidden="1">
      <c r="A1462" s="1679" t="s">
        <v>2504</v>
      </c>
      <c r="C1462" s="1659" t="s">
        <v>2505</v>
      </c>
      <c r="D1462" s="54" t="s">
        <v>2439</v>
      </c>
      <c r="E1462" s="2013" t="str">
        <f>LEFT(A1462,2)</f>
        <v>SĐ</v>
      </c>
      <c r="F1462" s="54">
        <v>2000</v>
      </c>
      <c r="J1462" s="54" t="str">
        <f t="shared" si="58"/>
        <v>SĐU</v>
      </c>
    </row>
    <row r="1463" spans="1:10" ht="16.5" hidden="1">
      <c r="A1463" s="1679" t="s">
        <v>2506</v>
      </c>
      <c r="C1463" s="1659" t="s">
        <v>2507</v>
      </c>
      <c r="D1463" s="54" t="s">
        <v>2439</v>
      </c>
      <c r="F1463" s="54">
        <v>2000</v>
      </c>
      <c r="J1463" s="54" t="str">
        <f t="shared" si="58"/>
        <v>SĐI</v>
      </c>
    </row>
    <row r="1464" spans="1:10" ht="16.5" hidden="1">
      <c r="A1464" s="1679" t="s">
        <v>2508</v>
      </c>
      <c r="C1464" s="1659" t="s">
        <v>2509</v>
      </c>
      <c r="D1464" s="54" t="s">
        <v>2439</v>
      </c>
      <c r="F1464" s="54">
        <v>2000</v>
      </c>
      <c r="J1464" s="54" t="str">
        <f t="shared" si="58"/>
        <v>SĐG</v>
      </c>
    </row>
    <row r="1465" spans="1:10" ht="16.5" hidden="1">
      <c r="A1465" s="1679" t="s">
        <v>2510</v>
      </c>
      <c r="C1465" s="1659" t="s">
        <v>2511</v>
      </c>
      <c r="D1465" s="54" t="s">
        <v>2439</v>
      </c>
      <c r="F1465" s="54">
        <v>2000</v>
      </c>
      <c r="J1465" s="54" t="str">
        <f t="shared" si="58"/>
        <v>CĐT 2BAT-T</v>
      </c>
    </row>
    <row r="1466" spans="1:10" ht="16.5" hidden="1">
      <c r="A1466" s="1679" t="s">
        <v>2513</v>
      </c>
      <c r="C1466" s="1659" t="s">
        <v>2514</v>
      </c>
      <c r="D1466" s="54" t="s">
        <v>2439</v>
      </c>
      <c r="F1466" s="54">
        <v>2000</v>
      </c>
      <c r="J1466" s="54" t="str">
        <f t="shared" si="58"/>
        <v>CĐT 2BAT-X</v>
      </c>
    </row>
    <row r="1467" spans="1:10" ht="16.5" hidden="1">
      <c r="A1467" s="1679" t="s">
        <v>2515</v>
      </c>
      <c r="C1467" s="1659" t="s">
        <v>6533</v>
      </c>
      <c r="D1467" s="54" t="s">
        <v>2439</v>
      </c>
      <c r="F1467" s="54">
        <v>2000</v>
      </c>
      <c r="J1467" s="54" t="str">
        <f t="shared" ref="J1467" si="59">A1467</f>
        <v>CĐT ply-X</v>
      </c>
    </row>
    <row r="1468" spans="1:10" ht="16.5" hidden="1">
      <c r="A1468" s="1679" t="s">
        <v>6531</v>
      </c>
      <c r="C1468" s="1659" t="s">
        <v>6532</v>
      </c>
      <c r="D1468" s="54" t="s">
        <v>2439</v>
      </c>
      <c r="F1468" s="54">
        <v>2000</v>
      </c>
      <c r="J1468" s="54" t="str">
        <f t="shared" si="58"/>
        <v>CĐT ply-XK</v>
      </c>
    </row>
    <row r="1469" spans="1:10" ht="16.5" hidden="1">
      <c r="A1469" s="1679" t="s">
        <v>2529</v>
      </c>
      <c r="C1469" s="1659" t="s">
        <v>6533</v>
      </c>
      <c r="D1469" s="54" t="s">
        <v>2439</v>
      </c>
      <c r="F1469" s="54">
        <v>2000</v>
      </c>
      <c r="J1469" s="54" t="str">
        <f t="shared" si="58"/>
        <v>CĐT pty-X</v>
      </c>
    </row>
    <row r="1470" spans="1:10" ht="16.5" hidden="1">
      <c r="A1470" s="1679" t="s">
        <v>2534</v>
      </c>
      <c r="C1470" s="1659" t="s">
        <v>2535</v>
      </c>
      <c r="D1470" s="54" t="s">
        <v>2439</v>
      </c>
      <c r="F1470" s="54">
        <v>2000</v>
      </c>
      <c r="J1470" s="54" t="str">
        <f t="shared" si="58"/>
        <v>Đth-U-g</v>
      </c>
    </row>
    <row r="1471" spans="1:10" ht="16.5" hidden="1">
      <c r="A1471" s="1679" t="s">
        <v>2536</v>
      </c>
      <c r="C1471" s="1659" t="s">
        <v>2537</v>
      </c>
      <c r="D1471" s="54" t="s">
        <v>2439</v>
      </c>
      <c r="F1471" s="54">
        <v>2000</v>
      </c>
      <c r="J1471" s="54" t="str">
        <f t="shared" si="58"/>
        <v>Đth-X</v>
      </c>
    </row>
    <row r="1472" spans="1:10" ht="16.5" hidden="1">
      <c r="A1472" s="1679" t="s">
        <v>534</v>
      </c>
      <c r="C1472" s="1659" t="s">
        <v>6578</v>
      </c>
      <c r="D1472" s="54" t="s">
        <v>2439</v>
      </c>
      <c r="F1472" s="54">
        <v>2000</v>
      </c>
      <c r="J1472" s="54" t="str">
        <f t="shared" si="58"/>
        <v>Nth-T-g</v>
      </c>
    </row>
    <row r="1473" spans="1:10" ht="16.5" hidden="1">
      <c r="A1473" s="1679" t="s">
        <v>2540</v>
      </c>
      <c r="C1473" s="1659" t="s">
        <v>6533</v>
      </c>
      <c r="D1473" s="54" t="s">
        <v>2439</v>
      </c>
      <c r="F1473" s="54">
        <v>2000</v>
      </c>
      <c r="J1473" s="54" t="str">
        <f t="shared" si="58"/>
        <v>CĐTply-X</v>
      </c>
    </row>
    <row r="1474" spans="1:10" ht="16.5" hidden="1">
      <c r="A1474" s="1679" t="s">
        <v>2541</v>
      </c>
      <c r="C1474" s="1659" t="s">
        <v>6534</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4631</v>
      </c>
      <c r="C1477" s="1659" t="s">
        <v>4632</v>
      </c>
      <c r="D1477" s="54" t="s">
        <v>856</v>
      </c>
      <c r="F1477" s="54">
        <v>999</v>
      </c>
      <c r="J1477" s="54" t="str">
        <f t="shared" si="58"/>
        <v>GO-CH</v>
      </c>
    </row>
    <row r="1478" spans="1:10" hidden="1">
      <c r="A1478" s="1659" t="s">
        <v>4633</v>
      </c>
      <c r="C1478" s="1659" t="s">
        <v>4634</v>
      </c>
      <c r="D1478" s="54" t="s">
        <v>856</v>
      </c>
      <c r="F1478" s="54">
        <v>999</v>
      </c>
      <c r="J1478" s="54" t="str">
        <f t="shared" si="58"/>
        <v>GO-DN</v>
      </c>
    </row>
    <row r="1479" spans="1:10" hidden="1">
      <c r="A1479" s="1659" t="s">
        <v>4635</v>
      </c>
      <c r="C1479" s="1659" t="s">
        <v>4636</v>
      </c>
      <c r="D1479" s="54" t="s">
        <v>856</v>
      </c>
      <c r="F1479" s="54">
        <v>999</v>
      </c>
      <c r="J1479" s="54" t="str">
        <f t="shared" si="58"/>
        <v>GO-V</v>
      </c>
    </row>
    <row r="1480" spans="1:10" hidden="1">
      <c r="A1480" s="1659" t="s">
        <v>4637</v>
      </c>
      <c r="C1480" s="1659" t="s">
        <v>4638</v>
      </c>
      <c r="D1480" s="54" t="s">
        <v>856</v>
      </c>
      <c r="F1480" s="54">
        <v>2000</v>
      </c>
      <c r="J1480" s="54" t="str">
        <f t="shared" si="58"/>
        <v>MDD3R1</v>
      </c>
    </row>
    <row r="1481" spans="1:10" hidden="1">
      <c r="A1481" s="1659" t="s">
        <v>4639</v>
      </c>
      <c r="C1481" s="1659" t="s">
        <v>4640</v>
      </c>
      <c r="D1481" s="54" t="s">
        <v>2439</v>
      </c>
      <c r="F1481" s="54">
        <v>50</v>
      </c>
      <c r="J1481" s="54" t="str">
        <f t="shared" si="58"/>
        <v>B16750V</v>
      </c>
    </row>
    <row r="1482" spans="1:10" hidden="1">
      <c r="A1482" s="1659" t="s">
        <v>4838</v>
      </c>
      <c r="C1482" s="1659" t="s">
        <v>4839</v>
      </c>
      <c r="D1482" s="54" t="s">
        <v>2439</v>
      </c>
      <c r="F1482" s="54">
        <v>50</v>
      </c>
      <c r="J1482" s="54" t="str">
        <f t="shared" si="58"/>
        <v>B16800V</v>
      </c>
    </row>
    <row r="1483" spans="1:10" hidden="1">
      <c r="A1483" s="1659" t="s">
        <v>4641</v>
      </c>
      <c r="C1483" s="1659" t="s">
        <v>4642</v>
      </c>
      <c r="D1483" s="54" t="s">
        <v>4643</v>
      </c>
      <c r="F1483" s="54">
        <v>3000</v>
      </c>
      <c r="J1483" s="54" t="str">
        <f t="shared" si="58"/>
        <v>LVANK</v>
      </c>
    </row>
    <row r="1484" spans="1:10" hidden="1">
      <c r="A1484" s="1659" t="s">
        <v>4644</v>
      </c>
      <c r="C1484" s="1659" t="s">
        <v>4645</v>
      </c>
      <c r="D1484" s="54" t="s">
        <v>2831</v>
      </c>
      <c r="F1484" s="54">
        <v>16</v>
      </c>
      <c r="J1484" s="54" t="str">
        <f t="shared" si="58"/>
        <v>T12540</v>
      </c>
    </row>
    <row r="1485" spans="1:10" hidden="1">
      <c r="A1485" s="1659" t="s">
        <v>4646</v>
      </c>
      <c r="C1485" s="1659" t="s">
        <v>4647</v>
      </c>
      <c r="D1485" s="54" t="s">
        <v>4648</v>
      </c>
      <c r="F1485" s="54">
        <v>50</v>
      </c>
      <c r="J1485" s="54" t="str">
        <f t="shared" si="58"/>
        <v>d22</v>
      </c>
    </row>
    <row r="1486" spans="1:10" hidden="1">
      <c r="A1486" s="1659" t="s">
        <v>4649</v>
      </c>
      <c r="C1486" s="1659" t="s">
        <v>4650</v>
      </c>
      <c r="D1486" s="54" t="s">
        <v>4648</v>
      </c>
      <c r="F1486" s="54">
        <v>50</v>
      </c>
      <c r="J1486" s="54" t="str">
        <f t="shared" si="58"/>
        <v>t81</v>
      </c>
    </row>
    <row r="1487" spans="1:10" hidden="1">
      <c r="A1487" s="1659" t="s">
        <v>4651</v>
      </c>
      <c r="C1487" s="1659" t="s">
        <v>4652</v>
      </c>
      <c r="D1487" s="54" t="s">
        <v>4648</v>
      </c>
      <c r="F1487" s="54">
        <v>50</v>
      </c>
      <c r="J1487" s="54" t="str">
        <f t="shared" si="58"/>
        <v>d200</v>
      </c>
    </row>
    <row r="1488" spans="1:10" hidden="1">
      <c r="A1488" s="1659" t="s">
        <v>4653</v>
      </c>
      <c r="C1488" s="1659" t="s">
        <v>4654</v>
      </c>
      <c r="D1488" s="54" t="s">
        <v>4648</v>
      </c>
      <c r="F1488" s="54">
        <v>50</v>
      </c>
      <c r="J1488" s="54" t="str">
        <f t="shared" si="58"/>
        <v>t115</v>
      </c>
    </row>
    <row r="1489" spans="1:10" hidden="1">
      <c r="A1489" s="1659" t="s">
        <v>4655</v>
      </c>
      <c r="C1489" s="1659" t="s">
        <v>4656</v>
      </c>
      <c r="D1489" s="54" t="s">
        <v>2439</v>
      </c>
      <c r="F1489" s="54">
        <v>2000</v>
      </c>
      <c r="J1489" s="54" t="str">
        <f t="shared" si="58"/>
        <v>XT2</v>
      </c>
    </row>
    <row r="1490" spans="1:10" hidden="1">
      <c r="A1490" s="1659" t="s">
        <v>4657</v>
      </c>
      <c r="C1490" s="1659" t="s">
        <v>4658</v>
      </c>
      <c r="D1490" s="54" t="s">
        <v>2439</v>
      </c>
      <c r="F1490" s="54">
        <v>2000</v>
      </c>
      <c r="J1490" s="54" t="str">
        <f t="shared" si="58"/>
        <v>XTK2</v>
      </c>
    </row>
    <row r="1491" spans="1:10" hidden="1">
      <c r="A1491" s="1659" t="s">
        <v>4659</v>
      </c>
      <c r="C1491" s="1659" t="s">
        <v>4660</v>
      </c>
      <c r="D1491" s="54" t="s">
        <v>2555</v>
      </c>
      <c r="F1491" s="54">
        <v>50</v>
      </c>
      <c r="J1491" s="54" t="str">
        <f t="shared" ref="J1491:J1534" si="60">A1491</f>
        <v>MANG4</v>
      </c>
    </row>
    <row r="1492" spans="1:10" hidden="1">
      <c r="A1492" s="1659" t="s">
        <v>4661</v>
      </c>
      <c r="C1492" s="1659" t="s">
        <v>4662</v>
      </c>
      <c r="D1492" s="54" t="s">
        <v>2532</v>
      </c>
      <c r="F1492" s="54">
        <v>11</v>
      </c>
      <c r="J1492" s="54" t="str">
        <f t="shared" si="60"/>
        <v>ACX50</v>
      </c>
    </row>
    <row r="1493" spans="1:10" hidden="1">
      <c r="A1493" s="1659" t="s">
        <v>4663</v>
      </c>
      <c r="C1493" s="1659" t="s">
        <v>4664</v>
      </c>
      <c r="D1493" s="54" t="s">
        <v>2555</v>
      </c>
      <c r="F1493" s="54">
        <v>50</v>
      </c>
      <c r="J1493" s="54" t="str">
        <f t="shared" si="60"/>
        <v>GNIU 185</v>
      </c>
    </row>
    <row r="1494" spans="1:10" hidden="1">
      <c r="A1494" s="1659" t="s">
        <v>4665</v>
      </c>
      <c r="C1494" s="1659" t="s">
        <v>4666</v>
      </c>
      <c r="D1494" s="54" t="s">
        <v>2555</v>
      </c>
      <c r="F1494" s="54">
        <v>50</v>
      </c>
      <c r="J1494" s="54" t="str">
        <f t="shared" si="60"/>
        <v>GNIU50</v>
      </c>
    </row>
    <row r="1495" spans="1:10" hidden="1">
      <c r="A1495" s="1659" t="s">
        <v>4667</v>
      </c>
      <c r="C1495" s="1659" t="s">
        <v>4668</v>
      </c>
      <c r="D1495" s="54" t="s">
        <v>2555</v>
      </c>
      <c r="F1495" s="54">
        <v>50</v>
      </c>
      <c r="J1495" s="54" t="str">
        <f t="shared" si="60"/>
        <v>ke279</v>
      </c>
    </row>
    <row r="1496" spans="1:10" hidden="1">
      <c r="A1496" s="1659" t="s">
        <v>4669</v>
      </c>
      <c r="C1496" s="1659" t="s">
        <v>4670</v>
      </c>
      <c r="D1496" s="54" t="s">
        <v>2555</v>
      </c>
      <c r="F1496" s="54">
        <v>50</v>
      </c>
      <c r="J1496" s="54" t="str">
        <f t="shared" si="60"/>
        <v>ke419</v>
      </c>
    </row>
    <row r="1497" spans="1:10" hidden="1">
      <c r="A1497" s="1659" t="s">
        <v>4671</v>
      </c>
      <c r="C1497" s="1659" t="s">
        <v>4672</v>
      </c>
      <c r="D1497" s="54" t="s">
        <v>2555</v>
      </c>
      <c r="F1497" s="54">
        <v>50</v>
      </c>
      <c r="J1497" s="54" t="str">
        <f t="shared" si="60"/>
        <v>ke929</v>
      </c>
    </row>
    <row r="1498" spans="1:10" hidden="1">
      <c r="A1498" s="1659" t="s">
        <v>4673</v>
      </c>
      <c r="C1498" s="1659" t="s">
        <v>4769</v>
      </c>
      <c r="D1498" s="54" t="s">
        <v>1823</v>
      </c>
      <c r="F1498" s="54">
        <v>50</v>
      </c>
      <c r="J1498" s="54" t="str">
        <f t="shared" si="60"/>
        <v>OCN</v>
      </c>
    </row>
    <row r="1499" spans="1:10" hidden="1">
      <c r="A1499" s="1659" t="s">
        <v>4674</v>
      </c>
      <c r="C1499" s="1659" t="s">
        <v>4675</v>
      </c>
      <c r="D1499" s="54" t="s">
        <v>2439</v>
      </c>
      <c r="F1499" s="54">
        <v>50</v>
      </c>
      <c r="J1499" s="54" t="str">
        <f t="shared" si="60"/>
        <v>chupU</v>
      </c>
    </row>
    <row r="1500" spans="1:10" hidden="1">
      <c r="A1500" s="1659" t="s">
        <v>4676</v>
      </c>
      <c r="C1500" s="1659" t="s">
        <v>4677</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4678</v>
      </c>
      <c r="C1503" s="1659" t="s">
        <v>4679</v>
      </c>
      <c r="D1503" s="54" t="s">
        <v>2439</v>
      </c>
      <c r="E1503" s="2013" t="str">
        <f>LEFT(A1503,2)</f>
        <v>LS</v>
      </c>
      <c r="F1503" s="54">
        <v>2000</v>
      </c>
      <c r="J1503" s="54" t="str">
        <f t="shared" si="60"/>
        <v>LSDD</v>
      </c>
    </row>
    <row r="1504" spans="1:10" hidden="1">
      <c r="A1504" s="1659" t="s">
        <v>4680</v>
      </c>
      <c r="C1504" s="1659" t="s">
        <v>3711</v>
      </c>
      <c r="D1504" s="54" t="s">
        <v>2439</v>
      </c>
      <c r="F1504" s="54">
        <v>2000</v>
      </c>
      <c r="J1504" s="54" t="str">
        <f t="shared" si="60"/>
        <v>BTLT 12 F540</v>
      </c>
    </row>
    <row r="1505" spans="1:10" hidden="1">
      <c r="A1505" s="1659" t="s">
        <v>4681</v>
      </c>
      <c r="C1505" s="1659" t="s">
        <v>4682</v>
      </c>
      <c r="D1505" s="54" t="s">
        <v>2555</v>
      </c>
      <c r="E1505" s="2013" t="s">
        <v>4683</v>
      </c>
      <c r="F1505" s="54">
        <v>18</v>
      </c>
      <c r="J1505" s="54" t="str">
        <f t="shared" si="60"/>
        <v>TC920</v>
      </c>
    </row>
    <row r="1506" spans="1:10" hidden="1">
      <c r="A1506" s="1659" t="s">
        <v>4684</v>
      </c>
      <c r="C1506" s="1659" t="s">
        <v>4685</v>
      </c>
      <c r="D1506" s="54" t="s">
        <v>2555</v>
      </c>
      <c r="E1506" s="2013" t="s">
        <v>4683</v>
      </c>
      <c r="F1506" s="54">
        <v>18</v>
      </c>
      <c r="J1506" s="54" t="str">
        <f t="shared" si="60"/>
        <v>TC810</v>
      </c>
    </row>
    <row r="1507" spans="1:10" hidden="1">
      <c r="A1507" s="1659" t="s">
        <v>4686</v>
      </c>
      <c r="C1507" s="1659" t="s">
        <v>4687</v>
      </c>
      <c r="D1507" s="54" t="s">
        <v>2555</v>
      </c>
      <c r="E1507" s="2013" t="s">
        <v>4683</v>
      </c>
      <c r="F1507" s="54">
        <v>18</v>
      </c>
      <c r="J1507" s="54" t="str">
        <f t="shared" si="60"/>
        <v>TC1150</v>
      </c>
    </row>
    <row r="1508" spans="1:10" hidden="1">
      <c r="A1508" s="1659" t="s">
        <v>4688</v>
      </c>
      <c r="C1508" s="1659" t="s">
        <v>4689</v>
      </c>
      <c r="D1508" s="54" t="s">
        <v>3445</v>
      </c>
      <c r="F1508" s="54">
        <v>17</v>
      </c>
      <c r="J1508" s="54" t="str">
        <f t="shared" si="60"/>
        <v>Xa1660</v>
      </c>
    </row>
    <row r="1509" spans="1:10" hidden="1">
      <c r="A1509" s="1659" t="s">
        <v>4690</v>
      </c>
      <c r="C1509" s="1659" t="s">
        <v>4691</v>
      </c>
      <c r="D1509" s="54" t="s">
        <v>3445</v>
      </c>
      <c r="F1509" s="54">
        <v>17</v>
      </c>
      <c r="J1509" s="54" t="str">
        <f t="shared" si="60"/>
        <v>xa2000</v>
      </c>
    </row>
    <row r="1510" spans="1:10" hidden="1">
      <c r="A1510" s="1659" t="s">
        <v>4692</v>
      </c>
      <c r="C1510" s="1659" t="s">
        <v>4693</v>
      </c>
      <c r="D1510" s="54" t="s">
        <v>3445</v>
      </c>
      <c r="F1510" s="54">
        <v>17</v>
      </c>
      <c r="J1510" s="54" t="str">
        <f t="shared" si="60"/>
        <v>xa2200</v>
      </c>
    </row>
    <row r="1511" spans="1:10" hidden="1">
      <c r="A1511" s="1659" t="s">
        <v>4694</v>
      </c>
      <c r="C1511" s="1659" t="s">
        <v>4542</v>
      </c>
      <c r="D1511" s="54" t="s">
        <v>2590</v>
      </c>
      <c r="F1511" s="54">
        <v>17</v>
      </c>
      <c r="G1511" s="54" t="s">
        <v>512</v>
      </c>
      <c r="J1511" s="54" t="str">
        <f t="shared" si="60"/>
        <v>com800</v>
      </c>
    </row>
    <row r="1512" spans="1:10" hidden="1">
      <c r="A1512" s="1659" t="s">
        <v>4695</v>
      </c>
      <c r="C1512" s="1659" t="s">
        <v>4696</v>
      </c>
      <c r="D1512" s="54" t="s">
        <v>2555</v>
      </c>
      <c r="F1512" s="54">
        <v>50</v>
      </c>
      <c r="J1512" s="54" t="str">
        <f t="shared" si="60"/>
        <v>len</v>
      </c>
    </row>
    <row r="1513" spans="1:10" hidden="1">
      <c r="A1513" s="1659" t="s">
        <v>4697</v>
      </c>
      <c r="C1513" s="1659" t="s">
        <v>4698</v>
      </c>
      <c r="D1513" s="54" t="s">
        <v>2555</v>
      </c>
      <c r="F1513" s="54">
        <v>50</v>
      </c>
      <c r="J1513" s="54" t="str">
        <f>A1513</f>
        <v>Kep3U</v>
      </c>
    </row>
    <row r="1514" spans="1:10" hidden="1">
      <c r="A1514" s="1659" t="s">
        <v>4907</v>
      </c>
      <c r="C1514" s="1659" t="s">
        <v>4908</v>
      </c>
      <c r="D1514" s="54" t="s">
        <v>2555</v>
      </c>
      <c r="F1514" s="54">
        <v>50</v>
      </c>
      <c r="J1514" s="54" t="str">
        <f t="shared" si="60"/>
        <v>Kep5U</v>
      </c>
    </row>
    <row r="1515" spans="1:10" hidden="1">
      <c r="A1515" s="1659" t="s">
        <v>4699</v>
      </c>
      <c r="C1515" s="1659" t="s">
        <v>4700</v>
      </c>
      <c r="D1515" s="54" t="s">
        <v>2555</v>
      </c>
      <c r="E1515" s="2013" t="str">
        <f>LEFT(A1515,2)</f>
        <v>ts</v>
      </c>
      <c r="F1515" s="54">
        <v>50</v>
      </c>
      <c r="J1515" s="54" t="str">
        <f t="shared" si="60"/>
        <v>tsd20</v>
      </c>
    </row>
    <row r="1516" spans="1:10" hidden="1">
      <c r="A1516" s="1659" t="s">
        <v>4701</v>
      </c>
      <c r="C1516" s="1659" t="s">
        <v>4702</v>
      </c>
      <c r="D1516" s="54" t="s">
        <v>2385</v>
      </c>
      <c r="F1516" s="54">
        <v>2000</v>
      </c>
      <c r="J1516" s="54" t="str">
        <f t="shared" si="60"/>
        <v>STTT-2BAT</v>
      </c>
    </row>
    <row r="1517" spans="1:10" hidden="1">
      <c r="A1517" s="1659" t="s">
        <v>4703</v>
      </c>
      <c r="C1517" s="1659" t="s">
        <v>4704</v>
      </c>
      <c r="D1517" s="54" t="s">
        <v>2439</v>
      </c>
      <c r="F1517" s="54">
        <v>19</v>
      </c>
      <c r="J1517" s="54" t="str">
        <f t="shared" si="60"/>
        <v>cl1200</v>
      </c>
    </row>
    <row r="1518" spans="1:10" hidden="1">
      <c r="A1518" s="1659" t="s">
        <v>4705</v>
      </c>
      <c r="C1518" s="1659" t="s">
        <v>4706</v>
      </c>
      <c r="D1518" s="54" t="s">
        <v>2439</v>
      </c>
      <c r="E1518" s="2013" t="s">
        <v>4707</v>
      </c>
      <c r="F1518" s="54">
        <v>50</v>
      </c>
      <c r="J1518" s="54" t="str">
        <f t="shared" si="60"/>
        <v>BMOC16200</v>
      </c>
    </row>
    <row r="1519" spans="1:10" hidden="1">
      <c r="A1519" s="1659" t="s">
        <v>4708</v>
      </c>
      <c r="C1519" s="1659" t="s">
        <v>4709</v>
      </c>
      <c r="D1519" s="54" t="s">
        <v>2439</v>
      </c>
      <c r="F1519" s="54">
        <v>2000</v>
      </c>
      <c r="G1519" s="54" t="s">
        <v>512</v>
      </c>
      <c r="J1519" s="54" t="str">
        <f t="shared" si="60"/>
        <v>X-com800</v>
      </c>
    </row>
    <row r="1520" spans="1:10" hidden="1">
      <c r="A1520" s="1659" t="s">
        <v>4710</v>
      </c>
      <c r="C1520" s="1659" t="s">
        <v>3931</v>
      </c>
      <c r="D1520" s="54" t="s">
        <v>2555</v>
      </c>
      <c r="E1520" s="2013" t="s">
        <v>4711</v>
      </c>
      <c r="F1520" s="54">
        <v>50</v>
      </c>
      <c r="J1520" s="54" t="str">
        <f t="shared" si="60"/>
        <v>GIP</v>
      </c>
    </row>
    <row r="1521" spans="1:10" hidden="1">
      <c r="A1521" s="1659" t="s">
        <v>4715</v>
      </c>
      <c r="C1521" s="1659" t="s">
        <v>4716</v>
      </c>
      <c r="D1521" s="54" t="s">
        <v>2555</v>
      </c>
      <c r="F1521" s="54">
        <v>50</v>
      </c>
      <c r="J1521" s="54" t="str">
        <f t="shared" si="60"/>
        <v>khanhkep</v>
      </c>
    </row>
    <row r="1522" spans="1:10" hidden="1">
      <c r="A1522" s="1659" t="s">
        <v>4810</v>
      </c>
      <c r="C1522" s="1659" t="s">
        <v>4854</v>
      </c>
      <c r="D1522" s="54" t="s">
        <v>2385</v>
      </c>
      <c r="F1522" s="54">
        <v>2000</v>
      </c>
      <c r="J1522" s="54" t="str">
        <f t="shared" si="60"/>
        <v>X-22K-Đ-C920</v>
      </c>
    </row>
    <row r="1523" spans="1:10" hidden="1">
      <c r="A1523" s="1659" t="s">
        <v>4811</v>
      </c>
      <c r="C1523" s="1659" t="s">
        <v>4853</v>
      </c>
      <c r="D1523" s="54" t="s">
        <v>2385</v>
      </c>
      <c r="F1523" s="54">
        <v>2000</v>
      </c>
      <c r="J1523" s="54" t="str">
        <f t="shared" si="60"/>
        <v>X-22K-K-C920</v>
      </c>
    </row>
    <row r="1524" spans="1:10" hidden="1">
      <c r="A1524" s="1659" t="s">
        <v>4962</v>
      </c>
      <c r="C1524" s="1659" t="s">
        <v>4969</v>
      </c>
      <c r="D1524" s="54" t="s">
        <v>2555</v>
      </c>
      <c r="F1524" s="54">
        <v>50</v>
      </c>
      <c r="J1524" s="54" t="str">
        <f t="shared" si="60"/>
        <v>OXC</v>
      </c>
    </row>
    <row r="1525" spans="1:10" hidden="1">
      <c r="A1525" s="1659" t="s">
        <v>4963</v>
      </c>
      <c r="C1525" s="1659" t="s">
        <v>4970</v>
      </c>
      <c r="D1525" s="54" t="s">
        <v>4648</v>
      </c>
      <c r="F1525" s="2013">
        <v>50</v>
      </c>
      <c r="J1525" s="54" t="str">
        <f t="shared" si="60"/>
        <v>Comp24</v>
      </c>
    </row>
    <row r="1526" spans="1:10" hidden="1">
      <c r="A1526" s="1659" t="s">
        <v>4964</v>
      </c>
      <c r="C1526" s="1659" t="s">
        <v>4971</v>
      </c>
      <c r="D1526" s="54" t="s">
        <v>4648</v>
      </c>
      <c r="F1526" s="2013">
        <v>50</v>
      </c>
      <c r="J1526" s="54" t="str">
        <f t="shared" si="60"/>
        <v>TCX</v>
      </c>
    </row>
    <row r="1527" spans="1:10" hidden="1">
      <c r="A1527" s="1659" t="s">
        <v>4966</v>
      </c>
      <c r="C1527" s="1659" t="s">
        <v>4972</v>
      </c>
      <c r="D1527" s="54" t="s">
        <v>4648</v>
      </c>
      <c r="F1527" s="2013">
        <v>50</v>
      </c>
      <c r="J1527" s="54" t="str">
        <f t="shared" si="60"/>
        <v>d21</v>
      </c>
    </row>
    <row r="1528" spans="1:10" hidden="1">
      <c r="A1528" s="1659" t="s">
        <v>4967</v>
      </c>
      <c r="C1528" s="1659" t="s">
        <v>4973</v>
      </c>
      <c r="D1528" s="54" t="s">
        <v>4648</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4968</v>
      </c>
      <c r="C1530" s="1659" t="s">
        <v>4981</v>
      </c>
      <c r="D1530" s="54" t="s">
        <v>2555</v>
      </c>
      <c r="F1530" s="2013">
        <v>50</v>
      </c>
      <c r="J1530" s="54" t="str">
        <f t="shared" si="60"/>
        <v>HOPPP</v>
      </c>
    </row>
    <row r="1531" spans="1:10" hidden="1">
      <c r="A1531" s="1659" t="s">
        <v>4987</v>
      </c>
      <c r="C1531" s="1659" t="s">
        <v>4982</v>
      </c>
      <c r="D1531" s="54" t="s">
        <v>2555</v>
      </c>
      <c r="F1531" s="2013">
        <v>50</v>
      </c>
      <c r="J1531" s="54" t="str">
        <f t="shared" si="60"/>
        <v>Chupm</v>
      </c>
    </row>
    <row r="1532" spans="1:10" hidden="1">
      <c r="A1532" s="1659" t="s">
        <v>4988</v>
      </c>
      <c r="C1532" s="1659" t="s">
        <v>3504</v>
      </c>
      <c r="D1532" s="54" t="s">
        <v>2555</v>
      </c>
      <c r="F1532" s="2013">
        <v>50</v>
      </c>
      <c r="J1532" s="54" t="str">
        <f t="shared" si="60"/>
        <v>Chupl</v>
      </c>
    </row>
    <row r="1533" spans="1:10" hidden="1">
      <c r="A1533" s="1659" t="s">
        <v>4991</v>
      </c>
      <c r="C1533" s="1659" t="s">
        <v>4984</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5047</v>
      </c>
      <c r="B1543" s="1653" t="s">
        <v>1746</v>
      </c>
      <c r="C1543" s="1659" t="s">
        <v>5048</v>
      </c>
      <c r="D1543" s="54" t="s">
        <v>2555</v>
      </c>
      <c r="F1543" s="54" t="s">
        <v>4393</v>
      </c>
    </row>
    <row r="1544" spans="1:6" hidden="1">
      <c r="A1544" s="1659" t="s">
        <v>5049</v>
      </c>
      <c r="C1544" s="1659" t="s">
        <v>5050</v>
      </c>
      <c r="D1544" s="54" t="s">
        <v>2439</v>
      </c>
      <c r="F1544" s="54" t="s">
        <v>4393</v>
      </c>
    </row>
    <row r="1545" spans="1:6" hidden="1">
      <c r="A1545" s="1659" t="s">
        <v>5051</v>
      </c>
      <c r="C1545" s="1659" t="s">
        <v>5052</v>
      </c>
      <c r="D1545" s="54" t="s">
        <v>2439</v>
      </c>
      <c r="F1545" s="54" t="s">
        <v>4393</v>
      </c>
    </row>
    <row r="1546" spans="1:6" hidden="1">
      <c r="A1546" s="1659" t="s">
        <v>5053</v>
      </c>
      <c r="C1546" s="1659" t="s">
        <v>5054</v>
      </c>
      <c r="D1546" s="54" t="s">
        <v>2439</v>
      </c>
      <c r="F1546" s="54" t="s">
        <v>4393</v>
      </c>
    </row>
    <row r="1547" spans="1:6" hidden="1">
      <c r="A1547" s="1659" t="s">
        <v>5055</v>
      </c>
      <c r="C1547" s="1659" t="s">
        <v>5056</v>
      </c>
      <c r="D1547" s="54" t="s">
        <v>2439</v>
      </c>
      <c r="F1547" s="54" t="s">
        <v>4393</v>
      </c>
    </row>
    <row r="1548" spans="1:6" hidden="1">
      <c r="A1548" s="1659" t="s">
        <v>5057</v>
      </c>
      <c r="C1548" s="1659" t="s">
        <v>5058</v>
      </c>
      <c r="D1548" s="54" t="s">
        <v>2439</v>
      </c>
      <c r="F1548" s="54">
        <v>50</v>
      </c>
    </row>
    <row r="1549" spans="1:6" hidden="1">
      <c r="A1549" s="1659" t="s">
        <v>5059</v>
      </c>
      <c r="C1549" s="1659" t="s">
        <v>5060</v>
      </c>
      <c r="D1549" s="54" t="s">
        <v>2439</v>
      </c>
      <c r="F1549" s="54" t="s">
        <v>4393</v>
      </c>
    </row>
    <row r="1550" spans="1:6" hidden="1">
      <c r="A1550" s="1659" t="s">
        <v>5061</v>
      </c>
      <c r="C1550" s="1659" t="s">
        <v>5062</v>
      </c>
      <c r="D1550" s="54" t="s">
        <v>2439</v>
      </c>
      <c r="F1550" s="54" t="s">
        <v>4393</v>
      </c>
    </row>
    <row r="1551" spans="1:6" hidden="1">
      <c r="A1551" s="1659" t="s">
        <v>5063</v>
      </c>
      <c r="C1551" s="1659" t="s">
        <v>4640</v>
      </c>
      <c r="D1551" s="54" t="s">
        <v>2439</v>
      </c>
      <c r="F1551" s="54" t="s">
        <v>4393</v>
      </c>
    </row>
    <row r="1552" spans="1:6" hidden="1">
      <c r="A1552" s="1659" t="s">
        <v>5065</v>
      </c>
      <c r="C1552" s="1659" t="s">
        <v>5066</v>
      </c>
      <c r="D1552" s="54" t="s">
        <v>2439</v>
      </c>
      <c r="F1552" s="54" t="s">
        <v>4393</v>
      </c>
    </row>
    <row r="1553" spans="1:7" hidden="1">
      <c r="A1553" s="1659" t="s">
        <v>5067</v>
      </c>
      <c r="C1553" s="1659" t="s">
        <v>5066</v>
      </c>
      <c r="D1553" s="54" t="s">
        <v>2439</v>
      </c>
      <c r="F1553" s="54" t="s">
        <v>4393</v>
      </c>
    </row>
    <row r="1554" spans="1:7" hidden="1">
      <c r="A1554" s="1659" t="s">
        <v>5068</v>
      </c>
      <c r="C1554" s="1659" t="s">
        <v>5066</v>
      </c>
      <c r="D1554" s="54" t="s">
        <v>2439</v>
      </c>
      <c r="F1554" s="54" t="s">
        <v>4393</v>
      </c>
    </row>
    <row r="1555" spans="1:7" hidden="1">
      <c r="A1555" s="1659" t="s">
        <v>5069</v>
      </c>
      <c r="C1555" s="1659" t="s">
        <v>5066</v>
      </c>
      <c r="D1555" s="54" t="s">
        <v>2439</v>
      </c>
      <c r="F1555" s="54" t="s">
        <v>4393</v>
      </c>
    </row>
    <row r="1556" spans="1:7" hidden="1">
      <c r="A1556" s="1659" t="s">
        <v>5072</v>
      </c>
      <c r="C1556" s="1659" t="s">
        <v>5073</v>
      </c>
      <c r="D1556" s="54" t="s">
        <v>2439</v>
      </c>
      <c r="F1556" s="54">
        <v>50</v>
      </c>
      <c r="G1556" s="54" t="s">
        <v>512</v>
      </c>
    </row>
    <row r="1557" spans="1:7" hidden="1">
      <c r="A1557" s="1659" t="s">
        <v>5075</v>
      </c>
      <c r="C1557" s="1659" t="s">
        <v>5076</v>
      </c>
      <c r="D1557" s="54" t="s">
        <v>2439</v>
      </c>
      <c r="F1557" s="54" t="s">
        <v>4393</v>
      </c>
    </row>
    <row r="1558" spans="1:7" hidden="1">
      <c r="A1558" s="1659" t="s">
        <v>5078</v>
      </c>
      <c r="C1558" s="1659" t="s">
        <v>5079</v>
      </c>
      <c r="D1558" s="54" t="s">
        <v>2575</v>
      </c>
      <c r="F1558" s="54" t="s">
        <v>4393</v>
      </c>
    </row>
    <row r="1559" spans="1:7" hidden="1">
      <c r="A1559" s="1659" t="s">
        <v>5080</v>
      </c>
      <c r="C1559" s="1659" t="s">
        <v>5081</v>
      </c>
      <c r="D1559" s="54" t="s">
        <v>2532</v>
      </c>
      <c r="F1559" s="54" t="s">
        <v>4393</v>
      </c>
    </row>
    <row r="1560" spans="1:7" hidden="1">
      <c r="A1560" s="1659" t="s">
        <v>5082</v>
      </c>
      <c r="C1560" s="1659" t="s">
        <v>5083</v>
      </c>
      <c r="D1560" s="54" t="s">
        <v>2532</v>
      </c>
      <c r="F1560" s="54" t="s">
        <v>4393</v>
      </c>
    </row>
    <row r="1561" spans="1:7" hidden="1">
      <c r="A1561" s="1659" t="s">
        <v>5084</v>
      </c>
      <c r="C1561" s="1659" t="s">
        <v>5085</v>
      </c>
      <c r="D1561" s="54" t="s">
        <v>2532</v>
      </c>
      <c r="F1561" s="54" t="s">
        <v>4393</v>
      </c>
    </row>
    <row r="1562" spans="1:7" hidden="1">
      <c r="A1562" s="1659" t="s">
        <v>5087</v>
      </c>
      <c r="C1562" s="1659" t="s">
        <v>2710</v>
      </c>
      <c r="D1562" s="54" t="s">
        <v>2532</v>
      </c>
      <c r="F1562" s="54" t="s">
        <v>4393</v>
      </c>
    </row>
    <row r="1563" spans="1:7" hidden="1">
      <c r="A1563" s="1659" t="s">
        <v>5088</v>
      </c>
      <c r="C1563" s="1659" t="s">
        <v>5033</v>
      </c>
      <c r="D1563" s="54" t="s">
        <v>2532</v>
      </c>
      <c r="F1563" s="54" t="s">
        <v>4393</v>
      </c>
    </row>
    <row r="1564" spans="1:7" hidden="1">
      <c r="A1564" s="1659" t="s">
        <v>5089</v>
      </c>
      <c r="C1564" s="1659" t="s">
        <v>5090</v>
      </c>
      <c r="D1564" s="54" t="s">
        <v>2532</v>
      </c>
      <c r="F1564" s="54" t="s">
        <v>4393</v>
      </c>
    </row>
    <row r="1565" spans="1:7" hidden="1">
      <c r="A1565" s="1659" t="s">
        <v>6562</v>
      </c>
      <c r="C1565" s="1659" t="s">
        <v>5092</v>
      </c>
      <c r="D1565" s="54" t="s">
        <v>2532</v>
      </c>
      <c r="F1565" s="54">
        <v>11</v>
      </c>
      <c r="G1565" s="54" t="s">
        <v>512</v>
      </c>
    </row>
    <row r="1566" spans="1:7" hidden="1">
      <c r="A1566" s="3008" t="s">
        <v>6563</v>
      </c>
      <c r="C1566" s="1659" t="s">
        <v>6565</v>
      </c>
      <c r="D1566" s="54" t="s">
        <v>2532</v>
      </c>
      <c r="F1566" s="54">
        <v>11</v>
      </c>
      <c r="G1566" s="54" t="s">
        <v>512</v>
      </c>
    </row>
    <row r="1567" spans="1:7" ht="25.5" hidden="1">
      <c r="A1567" s="3008" t="s">
        <v>6564</v>
      </c>
      <c r="C1567" s="1659" t="s">
        <v>6432</v>
      </c>
      <c r="D1567" s="54" t="s">
        <v>2532</v>
      </c>
      <c r="F1567" s="54">
        <v>11</v>
      </c>
      <c r="G1567" s="54" t="s">
        <v>512</v>
      </c>
    </row>
    <row r="1568" spans="1:7" hidden="1">
      <c r="A1568" s="1659" t="s">
        <v>5093</v>
      </c>
      <c r="C1568" s="1659" t="s">
        <v>5094</v>
      </c>
      <c r="D1568" s="54" t="s">
        <v>2532</v>
      </c>
      <c r="F1568" s="54" t="s">
        <v>4393</v>
      </c>
    </row>
    <row r="1569" spans="1:6" hidden="1">
      <c r="A1569" s="1659" t="s">
        <v>5095</v>
      </c>
      <c r="C1569" s="1659" t="s">
        <v>5096</v>
      </c>
      <c r="D1569" s="54" t="s">
        <v>2532</v>
      </c>
      <c r="F1569" s="54" t="s">
        <v>4393</v>
      </c>
    </row>
    <row r="1570" spans="1:6" hidden="1">
      <c r="A1570" s="1659" t="s">
        <v>5097</v>
      </c>
      <c r="C1570" s="1659" t="s">
        <v>5098</v>
      </c>
      <c r="D1570" s="54" t="s">
        <v>2532</v>
      </c>
      <c r="F1570" s="54" t="s">
        <v>4393</v>
      </c>
    </row>
    <row r="1571" spans="1:6" hidden="1">
      <c r="A1571" s="1659" t="s">
        <v>5099</v>
      </c>
      <c r="C1571" s="1659" t="s">
        <v>5100</v>
      </c>
      <c r="D1571" s="54" t="s">
        <v>2532</v>
      </c>
      <c r="F1571" s="54" t="s">
        <v>4393</v>
      </c>
    </row>
    <row r="1572" spans="1:6" hidden="1">
      <c r="A1572" s="1659" t="s">
        <v>5101</v>
      </c>
      <c r="C1572" s="1659" t="s">
        <v>5102</v>
      </c>
      <c r="D1572" s="54" t="s">
        <v>2532</v>
      </c>
      <c r="F1572" s="54" t="s">
        <v>4393</v>
      </c>
    </row>
    <row r="1573" spans="1:6" hidden="1">
      <c r="A1573" s="1659" t="s">
        <v>5103</v>
      </c>
      <c r="C1573" s="1659" t="s">
        <v>5104</v>
      </c>
      <c r="D1573" s="54" t="s">
        <v>2532</v>
      </c>
      <c r="F1573" s="54" t="s">
        <v>4393</v>
      </c>
    </row>
    <row r="1574" spans="1:6" hidden="1">
      <c r="A1574" s="1659" t="s">
        <v>5105</v>
      </c>
      <c r="C1574" s="1659" t="s">
        <v>5106</v>
      </c>
      <c r="D1574" s="54" t="s">
        <v>2532</v>
      </c>
      <c r="F1574" s="54" t="s">
        <v>4393</v>
      </c>
    </row>
    <row r="1575" spans="1:6" hidden="1">
      <c r="A1575" s="1659" t="s">
        <v>5107</v>
      </c>
      <c r="C1575" s="1659" t="s">
        <v>5108</v>
      </c>
      <c r="D1575" s="54" t="s">
        <v>2532</v>
      </c>
      <c r="F1575" s="54" t="s">
        <v>4393</v>
      </c>
    </row>
    <row r="1576" spans="1:6" hidden="1">
      <c r="A1576" s="1659" t="s">
        <v>5109</v>
      </c>
      <c r="C1576" s="1659" t="s">
        <v>5110</v>
      </c>
      <c r="D1576" s="54" t="s">
        <v>2532</v>
      </c>
      <c r="F1576" s="54" t="s">
        <v>4393</v>
      </c>
    </row>
    <row r="1577" spans="1:6" hidden="1">
      <c r="A1577" s="1659" t="s">
        <v>5111</v>
      </c>
      <c r="C1577" s="1659" t="s">
        <v>5112</v>
      </c>
      <c r="D1577" s="54" t="s">
        <v>2532</v>
      </c>
      <c r="F1577" s="54" t="s">
        <v>4393</v>
      </c>
    </row>
    <row r="1578" spans="1:6" hidden="1">
      <c r="A1578" s="1659" t="s">
        <v>5113</v>
      </c>
      <c r="C1578" s="1659" t="s">
        <v>5114</v>
      </c>
      <c r="D1578" s="54" t="s">
        <v>2532</v>
      </c>
      <c r="F1578" s="54" t="s">
        <v>4393</v>
      </c>
    </row>
    <row r="1579" spans="1:6" hidden="1">
      <c r="A1579" s="1659" t="s">
        <v>5115</v>
      </c>
      <c r="C1579" s="1659" t="s">
        <v>5116</v>
      </c>
      <c r="D1579" s="54" t="s">
        <v>2532</v>
      </c>
      <c r="F1579" s="54" t="s">
        <v>4393</v>
      </c>
    </row>
    <row r="1580" spans="1:6" hidden="1">
      <c r="A1580" s="1659" t="s">
        <v>5117</v>
      </c>
      <c r="C1580" s="1659" t="s">
        <v>5118</v>
      </c>
      <c r="D1580" s="54" t="s">
        <v>2532</v>
      </c>
      <c r="F1580" s="54" t="s">
        <v>4393</v>
      </c>
    </row>
    <row r="1581" spans="1:6" hidden="1">
      <c r="A1581" s="1659" t="s">
        <v>5119</v>
      </c>
      <c r="C1581" s="1659" t="s">
        <v>5120</v>
      </c>
      <c r="D1581" s="54" t="s">
        <v>2532</v>
      </c>
      <c r="F1581" s="54" t="s">
        <v>4393</v>
      </c>
    </row>
    <row r="1582" spans="1:6" hidden="1">
      <c r="A1582" s="1659" t="s">
        <v>5121</v>
      </c>
      <c r="C1582" s="1659" t="s">
        <v>5122</v>
      </c>
      <c r="D1582" s="54" t="s">
        <v>2532</v>
      </c>
      <c r="F1582" s="54" t="s">
        <v>4393</v>
      </c>
    </row>
    <row r="1583" spans="1:6" hidden="1">
      <c r="A1583" s="1659" t="s">
        <v>5123</v>
      </c>
      <c r="C1583" s="1659" t="s">
        <v>5124</v>
      </c>
      <c r="D1583" s="54" t="s">
        <v>2532</v>
      </c>
      <c r="F1583" s="54" t="s">
        <v>4393</v>
      </c>
    </row>
    <row r="1584" spans="1:6" hidden="1">
      <c r="A1584" s="1659" t="s">
        <v>5125</v>
      </c>
      <c r="C1584" s="1659" t="s">
        <v>5126</v>
      </c>
      <c r="D1584" s="54" t="s">
        <v>2532</v>
      </c>
      <c r="F1584" s="54" t="s">
        <v>4393</v>
      </c>
    </row>
    <row r="1585" spans="1:10" hidden="1">
      <c r="A1585" s="1659" t="s">
        <v>5127</v>
      </c>
      <c r="C1585" s="1659" t="s">
        <v>5128</v>
      </c>
      <c r="D1585" s="54" t="s">
        <v>2532</v>
      </c>
      <c r="F1585" s="54" t="s">
        <v>4393</v>
      </c>
    </row>
    <row r="1586" spans="1:10" hidden="1">
      <c r="A1586" s="1659" t="s">
        <v>5129</v>
      </c>
      <c r="C1586" s="1659" t="s">
        <v>5130</v>
      </c>
      <c r="D1586" s="54" t="s">
        <v>2532</v>
      </c>
      <c r="F1586" s="54" t="s">
        <v>4393</v>
      </c>
    </row>
    <row r="1587" spans="1:10" hidden="1">
      <c r="A1587" s="1659" t="s">
        <v>5131</v>
      </c>
      <c r="C1587" s="1659" t="s">
        <v>5132</v>
      </c>
      <c r="D1587" s="54" t="s">
        <v>2532</v>
      </c>
      <c r="F1587" s="54" t="s">
        <v>4393</v>
      </c>
    </row>
    <row r="1588" spans="1:10" hidden="1">
      <c r="A1588" s="1659" t="s">
        <v>5133</v>
      </c>
      <c r="C1588" s="1659" t="s">
        <v>5134</v>
      </c>
      <c r="D1588" s="54" t="s">
        <v>2532</v>
      </c>
      <c r="F1588" s="54" t="s">
        <v>4393</v>
      </c>
    </row>
    <row r="1589" spans="1:10" hidden="1">
      <c r="A1589" s="1659" t="s">
        <v>5135</v>
      </c>
      <c r="C1589" s="1659" t="s">
        <v>5136</v>
      </c>
      <c r="D1589" s="54" t="s">
        <v>2532</v>
      </c>
      <c r="F1589" s="54" t="s">
        <v>4393</v>
      </c>
    </row>
    <row r="1590" spans="1:10" hidden="1">
      <c r="A1590" s="1659" t="s">
        <v>5137</v>
      </c>
      <c r="C1590" s="1659" t="s">
        <v>5138</v>
      </c>
      <c r="D1590" s="54" t="s">
        <v>2532</v>
      </c>
      <c r="F1590" s="54" t="s">
        <v>4393</v>
      </c>
    </row>
    <row r="1591" spans="1:10" hidden="1">
      <c r="A1591" s="1659" t="s">
        <v>5139</v>
      </c>
      <c r="C1591" s="1659" t="s">
        <v>5140</v>
      </c>
      <c r="D1591" s="54" t="s">
        <v>2532</v>
      </c>
      <c r="F1591" s="54" t="s">
        <v>4393</v>
      </c>
    </row>
    <row r="1592" spans="1:10" hidden="1">
      <c r="A1592" s="1659" t="s">
        <v>5141</v>
      </c>
      <c r="C1592" s="1659" t="s">
        <v>5142</v>
      </c>
      <c r="D1592" s="54" t="s">
        <v>2532</v>
      </c>
      <c r="F1592" s="54" t="s">
        <v>4393</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4393</v>
      </c>
      <c r="H1595" s="54">
        <v>185</v>
      </c>
      <c r="J1595" s="54" t="str">
        <f t="shared" si="63"/>
        <v>ssf-185</v>
      </c>
    </row>
    <row r="1596" spans="1:10" hidden="1">
      <c r="A1596" s="1659" t="str">
        <f t="shared" si="61"/>
        <v>ssf-240</v>
      </c>
      <c r="C1596" s="1659" t="str">
        <f t="shared" si="62"/>
        <v>Dây buộc cổ sứ cỡ dây 240mm2</v>
      </c>
      <c r="D1596" s="54" t="s">
        <v>2555</v>
      </c>
      <c r="F1596" s="54" t="s">
        <v>4393</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4393</v>
      </c>
      <c r="J1600" s="54" t="str">
        <f t="shared" si="63"/>
        <v>ssf</v>
      </c>
    </row>
    <row r="1601" spans="1:6" hidden="1">
      <c r="A1601" s="1659" t="s">
        <v>5146</v>
      </c>
      <c r="B1601" s="1653" t="s">
        <v>5147</v>
      </c>
      <c r="C1601" s="1659" t="s">
        <v>5148</v>
      </c>
      <c r="D1601" s="54" t="s">
        <v>2439</v>
      </c>
      <c r="F1601" s="54" t="s">
        <v>4393</v>
      </c>
    </row>
    <row r="1602" spans="1:6" hidden="1">
      <c r="A1602" s="1659" t="s">
        <v>5149</v>
      </c>
      <c r="C1602" s="1659" t="s">
        <v>2830</v>
      </c>
      <c r="D1602" s="54" t="s">
        <v>2831</v>
      </c>
      <c r="F1602" s="54" t="s">
        <v>4393</v>
      </c>
    </row>
    <row r="1603" spans="1:6" hidden="1">
      <c r="A1603" s="1659" t="s">
        <v>5150</v>
      </c>
      <c r="C1603" s="1659" t="s">
        <v>5151</v>
      </c>
      <c r="D1603" s="54" t="s">
        <v>2590</v>
      </c>
      <c r="F1603" s="54" t="s">
        <v>4393</v>
      </c>
    </row>
    <row r="1604" spans="1:6" hidden="1">
      <c r="A1604" s="1659" t="s">
        <v>5152</v>
      </c>
      <c r="C1604" s="1659" t="s">
        <v>5153</v>
      </c>
      <c r="D1604" s="54" t="s">
        <v>2590</v>
      </c>
      <c r="F1604" s="54" t="s">
        <v>4393</v>
      </c>
    </row>
    <row r="1605" spans="1:6" hidden="1">
      <c r="A1605" s="1659" t="s">
        <v>5154</v>
      </c>
      <c r="C1605" s="1659" t="s">
        <v>5155</v>
      </c>
      <c r="D1605" s="54" t="s">
        <v>2590</v>
      </c>
      <c r="F1605" s="54" t="s">
        <v>4393</v>
      </c>
    </row>
    <row r="1606" spans="1:6" hidden="1">
      <c r="A1606" s="1659" t="s">
        <v>5156</v>
      </c>
      <c r="C1606" s="1659" t="s">
        <v>4864</v>
      </c>
      <c r="D1606" s="54" t="s">
        <v>2590</v>
      </c>
      <c r="F1606" s="54" t="s">
        <v>4393</v>
      </c>
    </row>
    <row r="1607" spans="1:6" hidden="1">
      <c r="A1607" s="1659" t="s">
        <v>5157</v>
      </c>
      <c r="C1607" s="1659" t="s">
        <v>5158</v>
      </c>
      <c r="D1607" s="54" t="s">
        <v>5159</v>
      </c>
      <c r="F1607" s="54" t="s">
        <v>4393</v>
      </c>
    </row>
    <row r="1608" spans="1:6" hidden="1">
      <c r="A1608" s="1659" t="s">
        <v>5160</v>
      </c>
      <c r="C1608" s="1659" t="s">
        <v>5161</v>
      </c>
      <c r="D1608" s="54" t="s">
        <v>5159</v>
      </c>
      <c r="F1608" s="54" t="s">
        <v>4393</v>
      </c>
    </row>
    <row r="1609" spans="1:6" hidden="1">
      <c r="A1609" s="1659" t="s">
        <v>5163</v>
      </c>
      <c r="C1609" s="1659" t="s">
        <v>5164</v>
      </c>
      <c r="D1609" s="54" t="s">
        <v>2248</v>
      </c>
      <c r="F1609" s="54">
        <v>50</v>
      </c>
    </row>
    <row r="1610" spans="1:6" hidden="1">
      <c r="A1610" s="1659" t="s">
        <v>5165</v>
      </c>
      <c r="C1610" s="1659" t="s">
        <v>5166</v>
      </c>
      <c r="D1610" s="54" t="s">
        <v>2248</v>
      </c>
      <c r="F1610" s="54">
        <v>50</v>
      </c>
    </row>
    <row r="1611" spans="1:6" hidden="1">
      <c r="A1611" s="1659" t="s">
        <v>5167</v>
      </c>
      <c r="B1611" s="1653" t="s">
        <v>5168</v>
      </c>
      <c r="C1611" s="1659" t="s">
        <v>5169</v>
      </c>
      <c r="D1611" s="54" t="s">
        <v>5170</v>
      </c>
      <c r="F1611" s="54" t="s">
        <v>4393</v>
      </c>
    </row>
    <row r="1612" spans="1:6" hidden="1">
      <c r="A1612" s="1659" t="s">
        <v>5171</v>
      </c>
      <c r="C1612" s="1659" t="s">
        <v>5172</v>
      </c>
      <c r="D1612" s="54" t="s">
        <v>5173</v>
      </c>
      <c r="F1612" s="54" t="s">
        <v>4393</v>
      </c>
    </row>
    <row r="1613" spans="1:6" hidden="1">
      <c r="A1613" s="1659" t="s">
        <v>5174</v>
      </c>
      <c r="C1613" s="1659" t="s">
        <v>5175</v>
      </c>
      <c r="D1613" s="54" t="s">
        <v>5173</v>
      </c>
      <c r="F1613" s="54" t="s">
        <v>4393</v>
      </c>
    </row>
    <row r="1614" spans="1:6" hidden="1">
      <c r="A1614" s="1659" t="s">
        <v>5176</v>
      </c>
      <c r="C1614" s="1659" t="s">
        <v>5177</v>
      </c>
      <c r="D1614" s="54" t="s">
        <v>5173</v>
      </c>
      <c r="F1614" s="54" t="s">
        <v>4393</v>
      </c>
    </row>
    <row r="1615" spans="1:6" hidden="1">
      <c r="A1615" s="1659" t="s">
        <v>5178</v>
      </c>
      <c r="C1615" s="1659" t="s">
        <v>5179</v>
      </c>
      <c r="D1615" s="54" t="s">
        <v>5173</v>
      </c>
      <c r="F1615" s="54" t="s">
        <v>4393</v>
      </c>
    </row>
    <row r="1616" spans="1:6" hidden="1">
      <c r="A1616" s="1659" t="s">
        <v>5180</v>
      </c>
      <c r="C1616" s="1659" t="s">
        <v>5181</v>
      </c>
      <c r="D1616" s="54" t="s">
        <v>2532</v>
      </c>
      <c r="F1616" s="54" t="s">
        <v>4393</v>
      </c>
    </row>
    <row r="1617" spans="1:6" hidden="1">
      <c r="A1617" s="1659" t="s">
        <v>5182</v>
      </c>
      <c r="C1617" s="1659" t="s">
        <v>5183</v>
      </c>
      <c r="D1617" s="54" t="s">
        <v>2555</v>
      </c>
      <c r="F1617" s="54" t="s">
        <v>4393</v>
      </c>
    </row>
    <row r="1618" spans="1:6" hidden="1">
      <c r="A1618" s="1659" t="s">
        <v>5184</v>
      </c>
      <c r="C1618" s="1659" t="s">
        <v>2835</v>
      </c>
      <c r="D1618" s="54" t="s">
        <v>2555</v>
      </c>
      <c r="F1618" s="54" t="s">
        <v>4393</v>
      </c>
    </row>
    <row r="1619" spans="1:6" hidden="1">
      <c r="A1619" s="1659" t="s">
        <v>5185</v>
      </c>
      <c r="C1619" s="1659" t="s">
        <v>2836</v>
      </c>
      <c r="D1619" s="54" t="s">
        <v>2555</v>
      </c>
      <c r="F1619" s="54" t="s">
        <v>4393</v>
      </c>
    </row>
    <row r="1620" spans="1:6" hidden="1">
      <c r="A1620" s="1659" t="s">
        <v>5186</v>
      </c>
      <c r="C1620" s="1659" t="s">
        <v>2837</v>
      </c>
      <c r="D1620" s="54" t="s">
        <v>2555</v>
      </c>
      <c r="F1620" s="54" t="s">
        <v>4393</v>
      </c>
    </row>
    <row r="1621" spans="1:6" hidden="1">
      <c r="A1621" s="1659" t="s">
        <v>5187</v>
      </c>
      <c r="C1621" s="1659" t="s">
        <v>2838</v>
      </c>
      <c r="D1621" s="54" t="s">
        <v>2555</v>
      </c>
      <c r="F1621" s="54" t="s">
        <v>4393</v>
      </c>
    </row>
    <row r="1622" spans="1:6" hidden="1">
      <c r="A1622" s="1659" t="s">
        <v>5188</v>
      </c>
      <c r="C1622" s="1659" t="s">
        <v>2839</v>
      </c>
      <c r="D1622" s="54" t="s">
        <v>2555</v>
      </c>
      <c r="F1622" s="54" t="s">
        <v>4393</v>
      </c>
    </row>
    <row r="1623" spans="1:6" hidden="1">
      <c r="A1623" s="1659" t="s">
        <v>5189</v>
      </c>
      <c r="C1623" s="1659" t="s">
        <v>2840</v>
      </c>
      <c r="D1623" s="54" t="s">
        <v>2555</v>
      </c>
      <c r="F1623" s="54" t="s">
        <v>4393</v>
      </c>
    </row>
    <row r="1624" spans="1:6" hidden="1">
      <c r="A1624" s="1659" t="s">
        <v>5190</v>
      </c>
      <c r="C1624" s="1659" t="s">
        <v>4874</v>
      </c>
      <c r="D1624" s="54" t="s">
        <v>2555</v>
      </c>
      <c r="F1624" s="54" t="s">
        <v>4393</v>
      </c>
    </row>
    <row r="1625" spans="1:6" hidden="1">
      <c r="A1625" s="1659" t="s">
        <v>5191</v>
      </c>
      <c r="C1625" s="1659" t="s">
        <v>2841</v>
      </c>
      <c r="D1625" s="54" t="s">
        <v>2555</v>
      </c>
      <c r="F1625" s="54" t="s">
        <v>4393</v>
      </c>
    </row>
    <row r="1626" spans="1:6" hidden="1">
      <c r="A1626" s="1659" t="s">
        <v>5192</v>
      </c>
      <c r="C1626" s="1659" t="s">
        <v>2842</v>
      </c>
      <c r="D1626" s="54" t="s">
        <v>2555</v>
      </c>
      <c r="F1626" s="54" t="s">
        <v>4393</v>
      </c>
    </row>
    <row r="1627" spans="1:6" hidden="1">
      <c r="A1627" s="1659" t="s">
        <v>5193</v>
      </c>
      <c r="C1627" s="1659" t="s">
        <v>2846</v>
      </c>
      <c r="D1627" s="54" t="s">
        <v>2555</v>
      </c>
      <c r="F1627" s="54" t="s">
        <v>4393</v>
      </c>
    </row>
    <row r="1628" spans="1:6" hidden="1">
      <c r="A1628" s="1659" t="s">
        <v>5194</v>
      </c>
      <c r="C1628" s="1659" t="s">
        <v>2847</v>
      </c>
      <c r="D1628" s="54" t="s">
        <v>2555</v>
      </c>
      <c r="F1628" s="54" t="s">
        <v>4393</v>
      </c>
    </row>
    <row r="1629" spans="1:6" hidden="1">
      <c r="A1629" s="1659" t="s">
        <v>5195</v>
      </c>
      <c r="C1629" s="1659" t="s">
        <v>2848</v>
      </c>
      <c r="D1629" s="54" t="s">
        <v>2555</v>
      </c>
      <c r="F1629" s="54" t="s">
        <v>4393</v>
      </c>
    </row>
    <row r="1630" spans="1:6" hidden="1">
      <c r="A1630" s="1659" t="s">
        <v>5196</v>
      </c>
      <c r="C1630" s="1659" t="s">
        <v>2849</v>
      </c>
      <c r="D1630" s="54" t="s">
        <v>2555</v>
      </c>
      <c r="F1630" s="54" t="s">
        <v>4393</v>
      </c>
    </row>
    <row r="1631" spans="1:6" hidden="1">
      <c r="A1631" s="1659" t="s">
        <v>5197</v>
      </c>
      <c r="C1631" s="1659" t="s">
        <v>2850</v>
      </c>
      <c r="D1631" s="54" t="s">
        <v>2555</v>
      </c>
      <c r="F1631" s="54" t="s">
        <v>4393</v>
      </c>
    </row>
    <row r="1632" spans="1:6" hidden="1">
      <c r="A1632" s="1659" t="s">
        <v>5198</v>
      </c>
      <c r="C1632" s="1659" t="s">
        <v>2851</v>
      </c>
      <c r="D1632" s="54" t="s">
        <v>2555</v>
      </c>
      <c r="F1632" s="54" t="s">
        <v>4393</v>
      </c>
    </row>
    <row r="1633" spans="1:7" hidden="1">
      <c r="A1633" s="1659" t="s">
        <v>5199</v>
      </c>
      <c r="C1633" s="1659" t="s">
        <v>4760</v>
      </c>
      <c r="D1633" s="54" t="s">
        <v>2555</v>
      </c>
      <c r="F1633" s="54" t="s">
        <v>4393</v>
      </c>
    </row>
    <row r="1634" spans="1:7" hidden="1">
      <c r="A1634" s="1659" t="s">
        <v>5200</v>
      </c>
      <c r="C1634" s="1659" t="s">
        <v>2852</v>
      </c>
      <c r="D1634" s="54" t="s">
        <v>2555</v>
      </c>
      <c r="F1634" s="54" t="s">
        <v>4393</v>
      </c>
    </row>
    <row r="1635" spans="1:7" hidden="1">
      <c r="A1635" s="1659" t="s">
        <v>5201</v>
      </c>
      <c r="C1635" s="1659" t="s">
        <v>2853</v>
      </c>
      <c r="D1635" s="54" t="s">
        <v>2555</v>
      </c>
      <c r="F1635" s="54" t="s">
        <v>4393</v>
      </c>
    </row>
    <row r="1636" spans="1:7" hidden="1">
      <c r="A1636" s="1659" t="s">
        <v>5202</v>
      </c>
      <c r="B1636" s="1653" t="s">
        <v>5203</v>
      </c>
      <c r="C1636" s="1659" t="s">
        <v>5204</v>
      </c>
      <c r="D1636" s="54" t="s">
        <v>2555</v>
      </c>
      <c r="F1636" s="54" t="s">
        <v>4393</v>
      </c>
    </row>
    <row r="1637" spans="1:7" hidden="1">
      <c r="A1637" s="1659" t="s">
        <v>5205</v>
      </c>
      <c r="B1637" s="1653" t="s">
        <v>5203</v>
      </c>
      <c r="C1637" s="1659" t="s">
        <v>5206</v>
      </c>
      <c r="D1637" s="54" t="s">
        <v>2555</v>
      </c>
      <c r="F1637" s="54" t="s">
        <v>4393</v>
      </c>
    </row>
    <row r="1638" spans="1:7" hidden="1">
      <c r="A1638" s="1659" t="s">
        <v>5207</v>
      </c>
      <c r="C1638" s="1659" t="s">
        <v>2866</v>
      </c>
      <c r="D1638" s="54" t="s">
        <v>2555</v>
      </c>
      <c r="F1638" s="54" t="s">
        <v>4393</v>
      </c>
    </row>
    <row r="1639" spans="1:7" hidden="1">
      <c r="A1639" s="1659" t="s">
        <v>5208</v>
      </c>
      <c r="C1639" s="1659" t="s">
        <v>2867</v>
      </c>
      <c r="D1639" s="54" t="s">
        <v>2555</v>
      </c>
      <c r="F1639" s="54" t="s">
        <v>4393</v>
      </c>
    </row>
    <row r="1640" spans="1:7" hidden="1">
      <c r="A1640" s="1659" t="s">
        <v>5209</v>
      </c>
      <c r="C1640" s="1659" t="s">
        <v>2868</v>
      </c>
      <c r="D1640" s="54" t="s">
        <v>2555</v>
      </c>
      <c r="F1640" s="54" t="s">
        <v>4393</v>
      </c>
    </row>
    <row r="1641" spans="1:7" hidden="1">
      <c r="A1641" s="1659" t="s">
        <v>5210</v>
      </c>
      <c r="C1641" s="1659" t="s">
        <v>2869</v>
      </c>
      <c r="D1641" s="54" t="s">
        <v>2555</v>
      </c>
      <c r="F1641" s="54" t="s">
        <v>4393</v>
      </c>
    </row>
    <row r="1642" spans="1:7" hidden="1">
      <c r="A1642" s="1659" t="s">
        <v>5211</v>
      </c>
      <c r="C1642" s="1659" t="s">
        <v>2870</v>
      </c>
      <c r="D1642" s="54" t="s">
        <v>2555</v>
      </c>
      <c r="F1642" s="54" t="s">
        <v>4393</v>
      </c>
    </row>
    <row r="1643" spans="1:7" hidden="1">
      <c r="A1643" s="1659" t="s">
        <v>5212</v>
      </c>
      <c r="C1643" s="1659" t="s">
        <v>5213</v>
      </c>
      <c r="D1643" s="54" t="s">
        <v>2439</v>
      </c>
      <c r="F1643" s="54">
        <v>50</v>
      </c>
      <c r="G1643" s="54" t="s">
        <v>512</v>
      </c>
    </row>
    <row r="1644" spans="1:7" hidden="1">
      <c r="A1644" s="1659" t="s">
        <v>5214</v>
      </c>
      <c r="C1644" s="1659" t="s">
        <v>5215</v>
      </c>
      <c r="D1644" s="54" t="s">
        <v>2555</v>
      </c>
      <c r="F1644" s="54" t="s">
        <v>4393</v>
      </c>
    </row>
    <row r="1645" spans="1:7" hidden="1">
      <c r="A1645" s="1659" t="s">
        <v>5216</v>
      </c>
      <c r="C1645" s="1659" t="s">
        <v>5217</v>
      </c>
      <c r="D1645" s="54" t="s">
        <v>2555</v>
      </c>
      <c r="F1645" s="54">
        <v>50</v>
      </c>
    </row>
    <row r="1646" spans="1:7" hidden="1">
      <c r="A1646" s="1659" t="s">
        <v>5218</v>
      </c>
      <c r="C1646" s="1659" t="s">
        <v>5219</v>
      </c>
      <c r="D1646" s="54" t="s">
        <v>2555</v>
      </c>
      <c r="F1646" s="54" t="s">
        <v>4393</v>
      </c>
    </row>
    <row r="1647" spans="1:7" hidden="1">
      <c r="A1647" s="1659" t="s">
        <v>5220</v>
      </c>
      <c r="C1647" s="1659" t="s">
        <v>5221</v>
      </c>
      <c r="D1647" s="54" t="s">
        <v>2555</v>
      </c>
      <c r="F1647" s="54" t="s">
        <v>4393</v>
      </c>
    </row>
    <row r="1648" spans="1:7" hidden="1">
      <c r="A1648" s="1659" t="s">
        <v>5222</v>
      </c>
      <c r="C1648" s="1659" t="s">
        <v>5223</v>
      </c>
      <c r="D1648" s="54" t="s">
        <v>2555</v>
      </c>
      <c r="F1648" s="54" t="s">
        <v>4393</v>
      </c>
    </row>
    <row r="1649" spans="1:6" hidden="1">
      <c r="A1649" s="1659" t="s">
        <v>5224</v>
      </c>
      <c r="C1649" s="1659" t="s">
        <v>5225</v>
      </c>
      <c r="D1649" s="54" t="s">
        <v>2555</v>
      </c>
      <c r="F1649" s="54" t="s">
        <v>4393</v>
      </c>
    </row>
    <row r="1650" spans="1:6" hidden="1">
      <c r="A1650" s="1659" t="s">
        <v>5227</v>
      </c>
      <c r="C1650" s="1659" t="s">
        <v>5228</v>
      </c>
      <c r="D1650" s="54" t="s">
        <v>5173</v>
      </c>
      <c r="F1650" s="54">
        <v>50</v>
      </c>
    </row>
    <row r="1651" spans="1:6" hidden="1">
      <c r="A1651" s="1659" t="s">
        <v>6102</v>
      </c>
      <c r="C1651" s="1659" t="s">
        <v>6103</v>
      </c>
      <c r="D1651" s="54" t="s">
        <v>2555</v>
      </c>
      <c r="F1651" s="54">
        <v>50</v>
      </c>
    </row>
    <row r="1652" spans="1:6" hidden="1">
      <c r="A1652" s="1659" t="s">
        <v>5229</v>
      </c>
      <c r="C1652" s="1659" t="s">
        <v>5230</v>
      </c>
      <c r="D1652" s="54" t="s">
        <v>5173</v>
      </c>
      <c r="F1652" s="54">
        <v>50</v>
      </c>
    </row>
    <row r="1653" spans="1:6" hidden="1">
      <c r="A1653" s="1659" t="s">
        <v>5231</v>
      </c>
      <c r="C1653" s="1659" t="s">
        <v>5232</v>
      </c>
      <c r="D1653" s="54" t="s">
        <v>5173</v>
      </c>
      <c r="F1653" s="54">
        <v>50</v>
      </c>
    </row>
    <row r="1654" spans="1:6" hidden="1">
      <c r="A1654" s="1659" t="s">
        <v>5233</v>
      </c>
      <c r="C1654" s="1659" t="s">
        <v>5234</v>
      </c>
      <c r="D1654" s="54" t="s">
        <v>5173</v>
      </c>
      <c r="F1654" s="54">
        <v>50</v>
      </c>
    </row>
    <row r="1655" spans="1:6" hidden="1">
      <c r="A1655" s="1659" t="s">
        <v>5235</v>
      </c>
      <c r="C1655" s="1659" t="s">
        <v>5236</v>
      </c>
      <c r="D1655" s="54" t="s">
        <v>5173</v>
      </c>
      <c r="F1655" s="54">
        <v>50</v>
      </c>
    </row>
    <row r="1656" spans="1:6" hidden="1">
      <c r="A1656" s="1659" t="s">
        <v>5237</v>
      </c>
      <c r="C1656" s="1659" t="s">
        <v>5238</v>
      </c>
      <c r="D1656" s="54" t="s">
        <v>5173</v>
      </c>
      <c r="F1656" s="54">
        <v>50</v>
      </c>
    </row>
    <row r="1657" spans="1:6" hidden="1">
      <c r="A1657" s="1659" t="s">
        <v>5239</v>
      </c>
      <c r="C1657" s="1659" t="s">
        <v>5240</v>
      </c>
      <c r="D1657" s="54" t="s">
        <v>5173</v>
      </c>
      <c r="F1657" s="54">
        <v>50</v>
      </c>
    </row>
    <row r="1658" spans="1:6" hidden="1">
      <c r="A1658" s="1659" t="s">
        <v>5241</v>
      </c>
      <c r="C1658" s="1659" t="s">
        <v>5242</v>
      </c>
      <c r="D1658" s="54" t="s">
        <v>5173</v>
      </c>
      <c r="F1658" s="54">
        <v>50</v>
      </c>
    </row>
    <row r="1659" spans="1:6" hidden="1">
      <c r="A1659" s="1659" t="s">
        <v>5243</v>
      </c>
      <c r="C1659" s="1659" t="s">
        <v>5244</v>
      </c>
      <c r="D1659" s="54" t="s">
        <v>5173</v>
      </c>
      <c r="F1659" s="54">
        <v>50</v>
      </c>
    </row>
    <row r="1660" spans="1:6" hidden="1">
      <c r="A1660" s="1659" t="s">
        <v>5247</v>
      </c>
      <c r="C1660" s="1659" t="s">
        <v>5248</v>
      </c>
      <c r="D1660" s="54" t="s">
        <v>2439</v>
      </c>
      <c r="F1660" s="54">
        <v>50</v>
      </c>
    </row>
    <row r="1661" spans="1:6" hidden="1">
      <c r="A1661" s="1659" t="s">
        <v>5249</v>
      </c>
      <c r="C1661" s="1659" t="s">
        <v>5250</v>
      </c>
      <c r="D1661" s="54" t="s">
        <v>2439</v>
      </c>
      <c r="F1661" s="54">
        <v>50</v>
      </c>
    </row>
    <row r="1662" spans="1:6" hidden="1">
      <c r="A1662" s="1659" t="s">
        <v>5252</v>
      </c>
      <c r="C1662" s="1659" t="s">
        <v>5253</v>
      </c>
      <c r="D1662" s="54" t="s">
        <v>2439</v>
      </c>
      <c r="F1662" s="54">
        <v>50</v>
      </c>
    </row>
    <row r="1663" spans="1:6" hidden="1">
      <c r="A1663" s="1659" t="s">
        <v>5254</v>
      </c>
      <c r="C1663" s="1659" t="s">
        <v>5255</v>
      </c>
      <c r="D1663" s="54" t="s">
        <v>2439</v>
      </c>
      <c r="F1663" s="54">
        <v>50</v>
      </c>
    </row>
    <row r="1664" spans="1:6" hidden="1">
      <c r="A1664" s="1659" t="s">
        <v>5258</v>
      </c>
      <c r="C1664" s="1659" t="s">
        <v>5259</v>
      </c>
      <c r="D1664" s="54" t="s">
        <v>2439</v>
      </c>
      <c r="F1664" s="54">
        <v>50</v>
      </c>
    </row>
    <row r="1665" spans="1:7" hidden="1">
      <c r="A1665" s="1659" t="s">
        <v>5260</v>
      </c>
      <c r="C1665" s="1659" t="s">
        <v>5261</v>
      </c>
      <c r="D1665" s="54" t="s">
        <v>2439</v>
      </c>
      <c r="F1665" s="54">
        <v>50</v>
      </c>
    </row>
    <row r="1666" spans="1:7" hidden="1">
      <c r="A1666" s="1659" t="s">
        <v>5262</v>
      </c>
      <c r="C1666" s="1659" t="s">
        <v>5263</v>
      </c>
      <c r="D1666" s="54" t="s">
        <v>2439</v>
      </c>
      <c r="F1666" s="54">
        <v>50</v>
      </c>
    </row>
    <row r="1667" spans="1:7" hidden="1">
      <c r="A1667" s="1659" t="s">
        <v>5264</v>
      </c>
      <c r="C1667" s="1659" t="s">
        <v>5265</v>
      </c>
      <c r="D1667" s="54" t="s">
        <v>2439</v>
      </c>
      <c r="F1667" s="54">
        <v>50</v>
      </c>
    </row>
    <row r="1668" spans="1:7" hidden="1">
      <c r="A1668" s="1659" t="s">
        <v>5266</v>
      </c>
      <c r="C1668" s="1659" t="s">
        <v>5267</v>
      </c>
      <c r="D1668" s="54" t="s">
        <v>2439</v>
      </c>
      <c r="F1668" s="54">
        <v>50</v>
      </c>
    </row>
    <row r="1669" spans="1:7" hidden="1">
      <c r="A1669" s="1659" t="s">
        <v>5270</v>
      </c>
      <c r="B1669" s="1653" t="s">
        <v>5271</v>
      </c>
      <c r="C1669" s="1659" t="s">
        <v>5272</v>
      </c>
      <c r="D1669" s="54" t="s">
        <v>2439</v>
      </c>
      <c r="F1669" s="54">
        <v>3000</v>
      </c>
    </row>
    <row r="1670" spans="1:7" hidden="1">
      <c r="A1670" s="1659" t="s">
        <v>5273</v>
      </c>
      <c r="C1670" s="1659" t="s">
        <v>5277</v>
      </c>
      <c r="D1670" s="54" t="s">
        <v>2831</v>
      </c>
      <c r="F1670" s="54">
        <v>16</v>
      </c>
      <c r="G1670" s="54" t="s">
        <v>512</v>
      </c>
    </row>
    <row r="1671" spans="1:7" hidden="1">
      <c r="A1671" s="1659" t="s">
        <v>5274</v>
      </c>
      <c r="C1671" s="1659" t="s">
        <v>5275</v>
      </c>
      <c r="D1671" s="54" t="s">
        <v>2831</v>
      </c>
      <c r="F1671" s="54" t="s">
        <v>4393</v>
      </c>
    </row>
    <row r="1672" spans="1:7" hidden="1">
      <c r="A1672" s="1659" t="s">
        <v>5276</v>
      </c>
      <c r="C1672" s="1659" t="s">
        <v>5277</v>
      </c>
      <c r="D1672" s="54" t="s">
        <v>2831</v>
      </c>
      <c r="F1672" s="54" t="s">
        <v>4393</v>
      </c>
    </row>
    <row r="1673" spans="1:7" hidden="1">
      <c r="A1673" s="1659" t="s">
        <v>5278</v>
      </c>
      <c r="C1673" s="1659" t="s">
        <v>5279</v>
      </c>
      <c r="D1673" s="54" t="s">
        <v>2831</v>
      </c>
      <c r="F1673" s="54" t="s">
        <v>4393</v>
      </c>
    </row>
    <row r="1674" spans="1:7" hidden="1">
      <c r="A1674" s="1659" t="s">
        <v>5280</v>
      </c>
      <c r="C1674" s="1659" t="s">
        <v>5281</v>
      </c>
      <c r="D1674" s="54" t="s">
        <v>2831</v>
      </c>
      <c r="F1674" s="54" t="s">
        <v>4393</v>
      </c>
    </row>
    <row r="1675" spans="1:7" hidden="1">
      <c r="A1675" s="1659" t="s">
        <v>5282</v>
      </c>
      <c r="C1675" s="1659" t="s">
        <v>5283</v>
      </c>
      <c r="D1675" s="54" t="s">
        <v>2831</v>
      </c>
      <c r="F1675" s="54" t="s">
        <v>4393</v>
      </c>
    </row>
    <row r="1676" spans="1:7" hidden="1">
      <c r="A1676" s="1659" t="s">
        <v>5284</v>
      </c>
      <c r="C1676" s="1659" t="s">
        <v>5285</v>
      </c>
      <c r="D1676" s="54" t="s">
        <v>2831</v>
      </c>
      <c r="F1676" s="54" t="s">
        <v>4393</v>
      </c>
    </row>
    <row r="1677" spans="1:7" hidden="1">
      <c r="A1677" s="1659" t="s">
        <v>5286</v>
      </c>
      <c r="C1677" s="1659" t="s">
        <v>6471</v>
      </c>
      <c r="D1677" s="54" t="s">
        <v>856</v>
      </c>
      <c r="F1677" s="54">
        <v>1999</v>
      </c>
    </row>
    <row r="1678" spans="1:7" hidden="1">
      <c r="A1678" s="1659" t="s">
        <v>5290</v>
      </c>
      <c r="C1678" s="1659" t="s">
        <v>5291</v>
      </c>
      <c r="D1678" s="54" t="s">
        <v>2555</v>
      </c>
      <c r="F1678" s="54" t="s">
        <v>4393</v>
      </c>
    </row>
    <row r="1679" spans="1:7" hidden="1">
      <c r="A1679" s="1659" t="s">
        <v>5292</v>
      </c>
      <c r="C1679" s="1659" t="s">
        <v>5293</v>
      </c>
      <c r="D1679" s="54" t="s">
        <v>2555</v>
      </c>
      <c r="F1679" s="54">
        <v>50</v>
      </c>
    </row>
    <row r="1680" spans="1:7" hidden="1">
      <c r="A1680" s="1659" t="s">
        <v>5294</v>
      </c>
      <c r="C1680" s="1659" t="s">
        <v>5295</v>
      </c>
      <c r="D1680" s="54" t="s">
        <v>2555</v>
      </c>
      <c r="F1680" s="54">
        <v>50</v>
      </c>
    </row>
    <row r="1681" spans="1:6" hidden="1">
      <c r="A1681" s="1659" t="s">
        <v>5296</v>
      </c>
      <c r="C1681" s="1659" t="s">
        <v>5297</v>
      </c>
      <c r="D1681" s="54" t="s">
        <v>2555</v>
      </c>
      <c r="F1681" s="54">
        <v>50</v>
      </c>
    </row>
    <row r="1682" spans="1:6" hidden="1">
      <c r="A1682" s="1659" t="s">
        <v>5298</v>
      </c>
      <c r="B1682" s="1653" t="s">
        <v>5299</v>
      </c>
      <c r="C1682" s="1659" t="s">
        <v>5300</v>
      </c>
      <c r="D1682" s="54" t="s">
        <v>2532</v>
      </c>
      <c r="F1682" s="54">
        <v>50</v>
      </c>
    </row>
    <row r="1683" spans="1:6" hidden="1">
      <c r="A1683" s="1659" t="s">
        <v>5301</v>
      </c>
      <c r="B1683" s="1653" t="s">
        <v>5302</v>
      </c>
      <c r="C1683" s="1659" t="s">
        <v>5303</v>
      </c>
      <c r="D1683" s="54" t="s">
        <v>2532</v>
      </c>
      <c r="F1683" s="54">
        <v>50</v>
      </c>
    </row>
    <row r="1684" spans="1:6" hidden="1">
      <c r="A1684" s="1659" t="s">
        <v>5306</v>
      </c>
      <c r="B1684" s="1653" t="s">
        <v>5304</v>
      </c>
      <c r="C1684" s="1659" t="s">
        <v>5307</v>
      </c>
      <c r="D1684" s="54" t="s">
        <v>2532</v>
      </c>
      <c r="F1684" s="54">
        <v>50</v>
      </c>
    </row>
    <row r="1685" spans="1:6" hidden="1">
      <c r="A1685" s="1659" t="s">
        <v>5308</v>
      </c>
      <c r="C1685" s="1659" t="s">
        <v>5309</v>
      </c>
      <c r="D1685" s="54" t="s">
        <v>2532</v>
      </c>
      <c r="F1685" s="54">
        <v>50</v>
      </c>
    </row>
    <row r="1686" spans="1:6" hidden="1">
      <c r="A1686" s="1659" t="s">
        <v>5310</v>
      </c>
      <c r="F1686" s="54" t="s">
        <v>4393</v>
      </c>
    </row>
    <row r="1687" spans="1:6" hidden="1">
      <c r="A1687" s="1659" t="s">
        <v>5311</v>
      </c>
      <c r="B1687" s="1653" t="s">
        <v>5312</v>
      </c>
      <c r="C1687" s="1659" t="s">
        <v>5313</v>
      </c>
      <c r="D1687" s="54" t="s">
        <v>856</v>
      </c>
      <c r="F1687" s="54" t="s">
        <v>4393</v>
      </c>
    </row>
    <row r="1688" spans="1:6" hidden="1">
      <c r="A1688" s="1659" t="s">
        <v>5314</v>
      </c>
      <c r="B1688" s="1653" t="s">
        <v>5315</v>
      </c>
      <c r="C1688" s="1659" t="s">
        <v>5316</v>
      </c>
      <c r="D1688" s="54" t="s">
        <v>856</v>
      </c>
      <c r="F1688" s="54" t="s">
        <v>4393</v>
      </c>
    </row>
    <row r="1689" spans="1:6" hidden="1">
      <c r="A1689" s="1659" t="s">
        <v>5317</v>
      </c>
      <c r="B1689" s="1653" t="s">
        <v>5318</v>
      </c>
      <c r="C1689" s="1659" t="s">
        <v>5319</v>
      </c>
      <c r="D1689" s="54" t="s">
        <v>856</v>
      </c>
      <c r="F1689" s="54" t="s">
        <v>4393</v>
      </c>
    </row>
    <row r="1690" spans="1:6" hidden="1">
      <c r="A1690" s="1659" t="s">
        <v>5320</v>
      </c>
      <c r="B1690" s="1653" t="s">
        <v>5321</v>
      </c>
      <c r="C1690" s="1659" t="s">
        <v>5322</v>
      </c>
      <c r="D1690" s="54" t="s">
        <v>856</v>
      </c>
      <c r="F1690" s="54" t="s">
        <v>4393</v>
      </c>
    </row>
    <row r="1691" spans="1:6" hidden="1">
      <c r="A1691" s="1659" t="s">
        <v>5328</v>
      </c>
      <c r="B1691" s="1653" t="s">
        <v>5329</v>
      </c>
      <c r="C1691" s="1659" t="s">
        <v>5330</v>
      </c>
      <c r="D1691" s="54" t="s">
        <v>856</v>
      </c>
      <c r="F1691" s="54" t="s">
        <v>4393</v>
      </c>
    </row>
    <row r="1692" spans="1:6" hidden="1">
      <c r="A1692" s="1659" t="s">
        <v>5337</v>
      </c>
      <c r="B1692" s="1653" t="s">
        <v>5338</v>
      </c>
      <c r="C1692" s="1659" t="s">
        <v>5339</v>
      </c>
      <c r="D1692" s="54" t="s">
        <v>856</v>
      </c>
      <c r="F1692" s="54" t="s">
        <v>4393</v>
      </c>
    </row>
    <row r="1693" spans="1:6" hidden="1">
      <c r="A1693" s="1659" t="s">
        <v>5347</v>
      </c>
      <c r="B1693" s="1653" t="s">
        <v>5348</v>
      </c>
      <c r="C1693" s="1659" t="s">
        <v>5349</v>
      </c>
      <c r="D1693" s="54" t="s">
        <v>2278</v>
      </c>
      <c r="F1693" s="54" t="s">
        <v>4393</v>
      </c>
    </row>
    <row r="1694" spans="1:6" hidden="1">
      <c r="A1694" s="1659" t="s">
        <v>5352</v>
      </c>
      <c r="B1694" s="1653" t="s">
        <v>1709</v>
      </c>
      <c r="C1694" s="1659" t="s">
        <v>5353</v>
      </c>
      <c r="D1694" s="54" t="s">
        <v>2278</v>
      </c>
      <c r="F1694" s="54" t="s">
        <v>4393</v>
      </c>
    </row>
    <row r="1695" spans="1:6" hidden="1">
      <c r="A1695" s="1659" t="s">
        <v>5354</v>
      </c>
      <c r="B1695" s="1653" t="s">
        <v>1709</v>
      </c>
      <c r="C1695" s="1659" t="s">
        <v>5355</v>
      </c>
      <c r="D1695" s="54" t="s">
        <v>2278</v>
      </c>
      <c r="F1695" s="54" t="s">
        <v>4393</v>
      </c>
    </row>
    <row r="1696" spans="1:6" hidden="1">
      <c r="A1696" s="1659" t="s">
        <v>5360</v>
      </c>
      <c r="B1696" s="1653" t="s">
        <v>5361</v>
      </c>
      <c r="C1696" s="1659" t="s">
        <v>5362</v>
      </c>
      <c r="D1696" s="54" t="s">
        <v>2831</v>
      </c>
      <c r="F1696" s="54" t="s">
        <v>4393</v>
      </c>
    </row>
    <row r="1697" spans="1:6" hidden="1">
      <c r="A1697" s="1659" t="s">
        <v>5363</v>
      </c>
      <c r="B1697" s="1653" t="s">
        <v>5364</v>
      </c>
      <c r="C1697" s="1659" t="s">
        <v>5365</v>
      </c>
      <c r="D1697" s="54" t="s">
        <v>5366</v>
      </c>
      <c r="F1697" s="54">
        <v>3000</v>
      </c>
    </row>
    <row r="1698" spans="1:6" hidden="1">
      <c r="A1698" s="1659" t="s">
        <v>5367</v>
      </c>
      <c r="B1698" s="1653" t="s">
        <v>2127</v>
      </c>
      <c r="C1698" s="1659" t="s">
        <v>5368</v>
      </c>
      <c r="D1698" s="54" t="s">
        <v>2831</v>
      </c>
      <c r="F1698" s="54" t="s">
        <v>4393</v>
      </c>
    </row>
    <row r="1699" spans="1:6" hidden="1">
      <c r="A1699" s="1659" t="s">
        <v>5369</v>
      </c>
      <c r="B1699" s="1653" t="s">
        <v>5147</v>
      </c>
      <c r="C1699" s="1659" t="s">
        <v>5370</v>
      </c>
      <c r="D1699" s="54" t="s">
        <v>2439</v>
      </c>
      <c r="F1699" s="54" t="s">
        <v>4393</v>
      </c>
    </row>
    <row r="1700" spans="1:6" hidden="1">
      <c r="A1700" s="1659" t="s">
        <v>5371</v>
      </c>
      <c r="B1700" s="1653" t="s">
        <v>5147</v>
      </c>
      <c r="C1700" s="1659" t="s">
        <v>5372</v>
      </c>
      <c r="D1700" s="54" t="s">
        <v>2439</v>
      </c>
      <c r="F1700" s="54" t="s">
        <v>4393</v>
      </c>
    </row>
    <row r="1701" spans="1:6" hidden="1">
      <c r="A1701" s="1659" t="s">
        <v>5373</v>
      </c>
      <c r="B1701" s="1653" t="s">
        <v>5147</v>
      </c>
      <c r="C1701" s="1659" t="s">
        <v>5374</v>
      </c>
      <c r="D1701" s="54" t="s">
        <v>2439</v>
      </c>
      <c r="F1701" s="54" t="s">
        <v>4393</v>
      </c>
    </row>
    <row r="1702" spans="1:6" hidden="1">
      <c r="A1702" s="1659" t="s">
        <v>5375</v>
      </c>
      <c r="B1702" s="1653" t="s">
        <v>5147</v>
      </c>
      <c r="C1702" s="1659" t="s">
        <v>5376</v>
      </c>
      <c r="D1702" s="54" t="s">
        <v>2439</v>
      </c>
      <c r="F1702" s="54" t="s">
        <v>4393</v>
      </c>
    </row>
    <row r="1703" spans="1:6" hidden="1">
      <c r="A1703" s="1659" t="s">
        <v>5379</v>
      </c>
      <c r="B1703" s="1653" t="s">
        <v>5380</v>
      </c>
      <c r="C1703" s="1659" t="s">
        <v>5381</v>
      </c>
      <c r="D1703" s="54" t="s">
        <v>2439</v>
      </c>
      <c r="F1703" s="54" t="s">
        <v>4393</v>
      </c>
    </row>
    <row r="1704" spans="1:6" hidden="1">
      <c r="A1704" s="1659" t="s">
        <v>5382</v>
      </c>
      <c r="B1704" s="1653" t="s">
        <v>5383</v>
      </c>
      <c r="C1704" s="1659" t="s">
        <v>5384</v>
      </c>
      <c r="D1704" s="54" t="s">
        <v>2439</v>
      </c>
      <c r="F1704" s="54" t="s">
        <v>4393</v>
      </c>
    </row>
    <row r="1705" spans="1:6" hidden="1">
      <c r="A1705" s="1659" t="s">
        <v>5385</v>
      </c>
      <c r="B1705" s="1653" t="s">
        <v>5386</v>
      </c>
      <c r="C1705" s="1659" t="s">
        <v>5387</v>
      </c>
      <c r="D1705" s="54" t="s">
        <v>2439</v>
      </c>
      <c r="F1705" s="54" t="s">
        <v>4393</v>
      </c>
    </row>
    <row r="1706" spans="1:6" hidden="1">
      <c r="A1706" s="1659" t="s">
        <v>5388</v>
      </c>
      <c r="B1706" s="1653" t="s">
        <v>5389</v>
      </c>
      <c r="C1706" s="1659" t="s">
        <v>5390</v>
      </c>
      <c r="D1706" s="54" t="s">
        <v>2439</v>
      </c>
      <c r="F1706" s="54" t="s">
        <v>4393</v>
      </c>
    </row>
    <row r="1707" spans="1:6" hidden="1">
      <c r="A1707" s="1659" t="s">
        <v>5391</v>
      </c>
      <c r="B1707" s="1653" t="s">
        <v>5392</v>
      </c>
      <c r="C1707" s="1659" t="s">
        <v>5393</v>
      </c>
      <c r="D1707" s="54" t="s">
        <v>2439</v>
      </c>
      <c r="F1707" s="54" t="s">
        <v>4393</v>
      </c>
    </row>
    <row r="1708" spans="1:6" hidden="1">
      <c r="A1708" s="1659" t="s">
        <v>5394</v>
      </c>
      <c r="B1708" s="1653" t="s">
        <v>5395</v>
      </c>
      <c r="C1708" s="1659" t="s">
        <v>5396</v>
      </c>
      <c r="D1708" s="54" t="s">
        <v>2439</v>
      </c>
      <c r="F1708" s="54" t="s">
        <v>4393</v>
      </c>
    </row>
    <row r="1709" spans="1:6" hidden="1">
      <c r="A1709" s="1659" t="s">
        <v>5397</v>
      </c>
      <c r="B1709" s="1653" t="s">
        <v>5398</v>
      </c>
      <c r="C1709" s="1659" t="s">
        <v>5399</v>
      </c>
      <c r="D1709" s="54" t="s">
        <v>2439</v>
      </c>
      <c r="F1709" s="54" t="s">
        <v>4393</v>
      </c>
    </row>
    <row r="1710" spans="1:6" hidden="1">
      <c r="A1710" s="1659" t="s">
        <v>5400</v>
      </c>
      <c r="B1710" s="1653" t="s">
        <v>5401</v>
      </c>
      <c r="C1710" s="1659" t="s">
        <v>5402</v>
      </c>
      <c r="D1710" s="54" t="s">
        <v>2439</v>
      </c>
      <c r="F1710" s="54" t="s">
        <v>4393</v>
      </c>
    </row>
    <row r="1711" spans="1:6" hidden="1">
      <c r="A1711" s="1659" t="s">
        <v>5403</v>
      </c>
      <c r="B1711" s="1653" t="s">
        <v>5404</v>
      </c>
      <c r="C1711" s="1659" t="s">
        <v>5405</v>
      </c>
      <c r="D1711" s="54" t="s">
        <v>2439</v>
      </c>
      <c r="F1711" s="54" t="s">
        <v>4393</v>
      </c>
    </row>
    <row r="1712" spans="1:6" hidden="1">
      <c r="A1712" s="1659" t="s">
        <v>5406</v>
      </c>
      <c r="B1712" s="1653" t="s">
        <v>5398</v>
      </c>
      <c r="C1712" s="1659" t="s">
        <v>5407</v>
      </c>
      <c r="D1712" s="54" t="s">
        <v>2439</v>
      </c>
      <c r="F1712" s="54" t="s">
        <v>4393</v>
      </c>
    </row>
    <row r="1713" spans="1:6" hidden="1">
      <c r="A1713" s="1659" t="s">
        <v>5408</v>
      </c>
      <c r="B1713" s="1653" t="s">
        <v>5409</v>
      </c>
      <c r="C1713" s="1659" t="s">
        <v>5410</v>
      </c>
      <c r="D1713" s="54" t="s">
        <v>2439</v>
      </c>
      <c r="F1713" s="54" t="s">
        <v>4393</v>
      </c>
    </row>
    <row r="1714" spans="1:6" hidden="1">
      <c r="A1714" s="1659" t="s">
        <v>5411</v>
      </c>
      <c r="B1714" s="1653" t="s">
        <v>5412</v>
      </c>
      <c r="C1714" s="1659" t="s">
        <v>5413</v>
      </c>
      <c r="D1714" s="54" t="s">
        <v>2439</v>
      </c>
      <c r="F1714" s="54" t="s">
        <v>4393</v>
      </c>
    </row>
    <row r="1715" spans="1:6" hidden="1">
      <c r="A1715" s="1659" t="s">
        <v>5414</v>
      </c>
      <c r="B1715" s="1653" t="s">
        <v>5415</v>
      </c>
      <c r="C1715" s="1659" t="s">
        <v>5416</v>
      </c>
      <c r="D1715" s="54" t="s">
        <v>2439</v>
      </c>
      <c r="F1715" s="54" t="s">
        <v>4393</v>
      </c>
    </row>
    <row r="1716" spans="1:6" hidden="1">
      <c r="A1716" s="1659" t="s">
        <v>5417</v>
      </c>
      <c r="B1716" s="1653" t="s">
        <v>5418</v>
      </c>
      <c r="C1716" s="1659" t="s">
        <v>5419</v>
      </c>
      <c r="D1716" s="54" t="s">
        <v>2439</v>
      </c>
      <c r="F1716" s="54" t="s">
        <v>4393</v>
      </c>
    </row>
    <row r="1717" spans="1:6" hidden="1">
      <c r="A1717" s="1659" t="s">
        <v>5422</v>
      </c>
      <c r="B1717" s="1653" t="s">
        <v>2265</v>
      </c>
      <c r="C1717" s="1659" t="s">
        <v>5423</v>
      </c>
      <c r="D1717" s="54" t="s">
        <v>2439</v>
      </c>
      <c r="F1717" s="54" t="s">
        <v>4393</v>
      </c>
    </row>
    <row r="1718" spans="1:6" hidden="1">
      <c r="A1718" s="1659" t="s">
        <v>5424</v>
      </c>
      <c r="B1718" s="1653" t="s">
        <v>5425</v>
      </c>
      <c r="C1718" s="1659" t="s">
        <v>5426</v>
      </c>
      <c r="D1718" s="54" t="s">
        <v>2248</v>
      </c>
      <c r="F1718" s="54" t="s">
        <v>4393</v>
      </c>
    </row>
    <row r="1719" spans="1:6" hidden="1">
      <c r="A1719" s="1659" t="s">
        <v>5431</v>
      </c>
      <c r="B1719" s="1653" t="s">
        <v>5432</v>
      </c>
      <c r="C1719" s="1659" t="s">
        <v>5433</v>
      </c>
      <c r="D1719" s="54" t="s">
        <v>2439</v>
      </c>
      <c r="F1719" s="54" t="s">
        <v>4393</v>
      </c>
    </row>
    <row r="1720" spans="1:6" hidden="1">
      <c r="A1720" s="1659" t="s">
        <v>5434</v>
      </c>
      <c r="B1720" s="1653" t="s">
        <v>5435</v>
      </c>
      <c r="C1720" s="1659" t="s">
        <v>5436</v>
      </c>
      <c r="D1720" s="54" t="s">
        <v>2439</v>
      </c>
      <c r="F1720" s="54" t="s">
        <v>4393</v>
      </c>
    </row>
    <row r="1721" spans="1:6" hidden="1">
      <c r="A1721" s="1659" t="s">
        <v>5437</v>
      </c>
      <c r="B1721" s="1653" t="s">
        <v>5438</v>
      </c>
      <c r="C1721" s="1659" t="s">
        <v>5439</v>
      </c>
      <c r="D1721" s="54" t="s">
        <v>2439</v>
      </c>
      <c r="F1721" s="54" t="s">
        <v>4393</v>
      </c>
    </row>
    <row r="1722" spans="1:6" hidden="1">
      <c r="A1722" s="1659" t="s">
        <v>5440</v>
      </c>
      <c r="B1722" s="1653" t="s">
        <v>5441</v>
      </c>
      <c r="C1722" s="1659" t="s">
        <v>5442</v>
      </c>
      <c r="D1722" s="54" t="s">
        <v>2439</v>
      </c>
      <c r="F1722" s="54" t="s">
        <v>4393</v>
      </c>
    </row>
    <row r="1723" spans="1:6" hidden="1">
      <c r="A1723" s="1659" t="s">
        <v>5444</v>
      </c>
      <c r="B1723" s="1653" t="s">
        <v>5430</v>
      </c>
      <c r="C1723" s="1659" t="s">
        <v>5445</v>
      </c>
      <c r="D1723" s="54" t="s">
        <v>2439</v>
      </c>
      <c r="F1723" s="54" t="s">
        <v>4393</v>
      </c>
    </row>
    <row r="1724" spans="1:6" hidden="1">
      <c r="A1724" s="1659" t="s">
        <v>5446</v>
      </c>
      <c r="B1724" s="1653" t="s">
        <v>5432</v>
      </c>
      <c r="C1724" s="1659" t="s">
        <v>5447</v>
      </c>
      <c r="D1724" s="54" t="s">
        <v>2439</v>
      </c>
      <c r="F1724" s="54" t="s">
        <v>4393</v>
      </c>
    </row>
    <row r="1725" spans="1:6" hidden="1">
      <c r="A1725" s="1659" t="s">
        <v>5448</v>
      </c>
      <c r="B1725" s="1653" t="s">
        <v>5449</v>
      </c>
      <c r="C1725" s="1659" t="s">
        <v>5450</v>
      </c>
      <c r="D1725" s="54" t="s">
        <v>2439</v>
      </c>
      <c r="F1725" s="54" t="s">
        <v>4393</v>
      </c>
    </row>
    <row r="1726" spans="1:6" hidden="1">
      <c r="A1726" s="1659" t="s">
        <v>5451</v>
      </c>
      <c r="B1726" s="1653" t="s">
        <v>5452</v>
      </c>
      <c r="C1726" s="1659" t="s">
        <v>5453</v>
      </c>
      <c r="D1726" s="54" t="s">
        <v>2439</v>
      </c>
      <c r="F1726" s="54" t="s">
        <v>4393</v>
      </c>
    </row>
    <row r="1727" spans="1:6" hidden="1">
      <c r="A1727" s="1659" t="s">
        <v>5454</v>
      </c>
      <c r="C1727" s="1659" t="s">
        <v>5455</v>
      </c>
      <c r="D1727" s="54" t="s">
        <v>2555</v>
      </c>
      <c r="F1727" s="54" t="s">
        <v>4393</v>
      </c>
    </row>
    <row r="1728" spans="1:6" hidden="1">
      <c r="A1728" s="1659" t="s">
        <v>5456</v>
      </c>
      <c r="C1728" s="1659" t="s">
        <v>5457</v>
      </c>
      <c r="D1728" s="54" t="s">
        <v>2555</v>
      </c>
      <c r="F1728" s="54" t="s">
        <v>4393</v>
      </c>
    </row>
    <row r="1729" spans="1:6" hidden="1">
      <c r="A1729" s="1659" t="s">
        <v>5459</v>
      </c>
      <c r="B1729" s="1653" t="s">
        <v>5460</v>
      </c>
      <c r="C1729" s="1659" t="s">
        <v>3178</v>
      </c>
      <c r="D1729" s="54" t="s">
        <v>2555</v>
      </c>
      <c r="F1729" s="54" t="s">
        <v>4393</v>
      </c>
    </row>
    <row r="1730" spans="1:6" hidden="1">
      <c r="A1730" s="1659" t="s">
        <v>5461</v>
      </c>
      <c r="B1730" s="1653">
        <v>74316</v>
      </c>
      <c r="C1730" s="1659" t="s">
        <v>5462</v>
      </c>
      <c r="D1730" s="54" t="s">
        <v>2555</v>
      </c>
      <c r="F1730" s="54" t="s">
        <v>4393</v>
      </c>
    </row>
    <row r="1731" spans="1:6" hidden="1">
      <c r="A1731" s="1659" t="s">
        <v>5463</v>
      </c>
      <c r="B1731" s="1653" t="s">
        <v>5464</v>
      </c>
      <c r="C1731" s="1659" t="s">
        <v>5465</v>
      </c>
      <c r="D1731" s="54" t="s">
        <v>2555</v>
      </c>
      <c r="F1731" s="54" t="s">
        <v>4393</v>
      </c>
    </row>
    <row r="1732" spans="1:6" hidden="1">
      <c r="A1732" s="1659" t="s">
        <v>5466</v>
      </c>
      <c r="B1732" s="1653" t="s">
        <v>1778</v>
      </c>
      <c r="C1732" s="1659" t="s">
        <v>5467</v>
      </c>
      <c r="D1732" s="54" t="s">
        <v>2555</v>
      </c>
      <c r="F1732" s="54" t="s">
        <v>4393</v>
      </c>
    </row>
    <row r="1733" spans="1:6" hidden="1">
      <c r="A1733" s="1659" t="s">
        <v>5468</v>
      </c>
      <c r="B1733" s="1653">
        <v>74316</v>
      </c>
      <c r="C1733" s="1659" t="s">
        <v>5462</v>
      </c>
      <c r="D1733" s="54" t="s">
        <v>2555</v>
      </c>
      <c r="F1733" s="54" t="s">
        <v>4393</v>
      </c>
    </row>
    <row r="1734" spans="1:6" hidden="1">
      <c r="A1734" s="1659" t="s">
        <v>5474</v>
      </c>
      <c r="B1734" s="1653" t="s">
        <v>5475</v>
      </c>
      <c r="C1734" s="1659" t="s">
        <v>5476</v>
      </c>
      <c r="D1734" s="54" t="s">
        <v>856</v>
      </c>
      <c r="F1734" s="54" t="s">
        <v>4393</v>
      </c>
    </row>
    <row r="1735" spans="1:6">
      <c r="A1735" s="1659" t="s">
        <v>5479</v>
      </c>
      <c r="B1735" s="1653" t="s">
        <v>5480</v>
      </c>
      <c r="C1735" s="1659" t="s">
        <v>5481</v>
      </c>
      <c r="D1735" s="54" t="s">
        <v>1960</v>
      </c>
      <c r="F1735" s="54">
        <v>3000</v>
      </c>
    </row>
    <row r="1736" spans="1:6" hidden="1">
      <c r="A1736" s="1659" t="s">
        <v>5482</v>
      </c>
      <c r="C1736" s="1659" t="s">
        <v>5483</v>
      </c>
      <c r="D1736" s="54" t="s">
        <v>856</v>
      </c>
      <c r="F1736" s="54">
        <v>3000</v>
      </c>
    </row>
    <row r="1737" spans="1:6" hidden="1">
      <c r="A1737" s="1659" t="s">
        <v>5484</v>
      </c>
      <c r="C1737" s="1659" t="s">
        <v>5485</v>
      </c>
      <c r="D1737" s="54" t="s">
        <v>856</v>
      </c>
      <c r="F1737" s="54">
        <v>3000</v>
      </c>
    </row>
    <row r="1738" spans="1:6" hidden="1">
      <c r="A1738" s="1659" t="s">
        <v>5486</v>
      </c>
      <c r="B1738" s="1653" t="s">
        <v>5487</v>
      </c>
      <c r="C1738" s="1659" t="s">
        <v>5488</v>
      </c>
      <c r="D1738" s="54" t="s">
        <v>856</v>
      </c>
      <c r="F1738" s="54">
        <v>3000</v>
      </c>
    </row>
    <row r="1739" spans="1:6" hidden="1">
      <c r="A1739" s="1659" t="s">
        <v>5493</v>
      </c>
      <c r="B1739" s="1653" t="s">
        <v>5494</v>
      </c>
      <c r="C1739" s="1659" t="s">
        <v>3215</v>
      </c>
      <c r="D1739" s="54" t="s">
        <v>2037</v>
      </c>
      <c r="F1739" s="54" t="s">
        <v>4393</v>
      </c>
    </row>
    <row r="1740" spans="1:6" hidden="1">
      <c r="A1740" s="1659" t="s">
        <v>5495</v>
      </c>
      <c r="B1740" s="1653" t="s">
        <v>5489</v>
      </c>
      <c r="C1740" s="1659" t="s">
        <v>2563</v>
      </c>
      <c r="D1740" s="54" t="s">
        <v>2037</v>
      </c>
      <c r="F1740" s="54" t="s">
        <v>4393</v>
      </c>
    </row>
    <row r="1741" spans="1:6" hidden="1">
      <c r="A1741" s="1659" t="s">
        <v>5496</v>
      </c>
      <c r="B1741" s="1653" t="s">
        <v>5490</v>
      </c>
      <c r="C1741" s="1659" t="s">
        <v>5497</v>
      </c>
      <c r="D1741" s="54" t="s">
        <v>2037</v>
      </c>
      <c r="F1741" s="54" t="s">
        <v>4393</v>
      </c>
    </row>
    <row r="1742" spans="1:6" hidden="1">
      <c r="A1742" s="1659" t="s">
        <v>5498</v>
      </c>
      <c r="B1742" s="1653" t="s">
        <v>5491</v>
      </c>
      <c r="C1742" s="1659" t="s">
        <v>4323</v>
      </c>
      <c r="D1742" s="54" t="s">
        <v>2037</v>
      </c>
      <c r="F1742" s="54" t="s">
        <v>4393</v>
      </c>
    </row>
    <row r="1743" spans="1:6" hidden="1">
      <c r="A1743" s="1659" t="s">
        <v>5499</v>
      </c>
      <c r="B1743" s="1653" t="s">
        <v>5492</v>
      </c>
      <c r="C1743" s="1659" t="s">
        <v>5500</v>
      </c>
      <c r="D1743" s="54" t="s">
        <v>2037</v>
      </c>
      <c r="F1743" s="54" t="s">
        <v>4393</v>
      </c>
    </row>
    <row r="1744" spans="1:6" hidden="1">
      <c r="A1744" s="1659" t="s">
        <v>5501</v>
      </c>
      <c r="B1744" s="1653" t="s">
        <v>5494</v>
      </c>
      <c r="C1744" s="1659" t="s">
        <v>5502</v>
      </c>
      <c r="D1744" s="54" t="s">
        <v>2037</v>
      </c>
      <c r="F1744" s="54" t="s">
        <v>4393</v>
      </c>
    </row>
    <row r="1745" spans="1:6" hidden="1">
      <c r="A1745" s="1659" t="s">
        <v>5503</v>
      </c>
      <c r="B1745" s="1653" t="s">
        <v>5489</v>
      </c>
      <c r="C1745" s="1659" t="s">
        <v>5504</v>
      </c>
      <c r="D1745" s="54" t="s">
        <v>2037</v>
      </c>
      <c r="F1745" s="54" t="s">
        <v>4393</v>
      </c>
    </row>
    <row r="1746" spans="1:6" hidden="1">
      <c r="A1746" s="1659" t="s">
        <v>5505</v>
      </c>
      <c r="B1746" s="1653" t="s">
        <v>5490</v>
      </c>
      <c r="C1746" s="1659" t="s">
        <v>5506</v>
      </c>
      <c r="D1746" s="54" t="s">
        <v>2037</v>
      </c>
      <c r="F1746" s="54" t="s">
        <v>4393</v>
      </c>
    </row>
    <row r="1747" spans="1:6" hidden="1">
      <c r="A1747" s="1659" t="s">
        <v>5507</v>
      </c>
      <c r="B1747" s="1653" t="s">
        <v>5491</v>
      </c>
      <c r="C1747" s="1659" t="s">
        <v>5508</v>
      </c>
      <c r="D1747" s="54" t="s">
        <v>2037</v>
      </c>
      <c r="F1747" s="54" t="s">
        <v>4393</v>
      </c>
    </row>
    <row r="1748" spans="1:6" hidden="1">
      <c r="A1748" s="1659" t="s">
        <v>5509</v>
      </c>
      <c r="B1748" s="1653" t="s">
        <v>5492</v>
      </c>
      <c r="C1748" s="1659" t="s">
        <v>5510</v>
      </c>
      <c r="D1748" s="54" t="s">
        <v>2037</v>
      </c>
      <c r="F1748" s="54" t="s">
        <v>4393</v>
      </c>
    </row>
    <row r="1749" spans="1:6" hidden="1">
      <c r="A1749" s="1659" t="s">
        <v>5511</v>
      </c>
      <c r="B1749" s="1653" t="s">
        <v>5494</v>
      </c>
      <c r="C1749" s="1659" t="s">
        <v>5512</v>
      </c>
      <c r="D1749" s="54" t="s">
        <v>2037</v>
      </c>
      <c r="F1749" s="54" t="s">
        <v>4393</v>
      </c>
    </row>
    <row r="1750" spans="1:6" hidden="1">
      <c r="A1750" s="1659" t="s">
        <v>5518</v>
      </c>
      <c r="B1750" s="1653" t="s">
        <v>5513</v>
      </c>
      <c r="C1750" s="1659" t="s">
        <v>5519</v>
      </c>
      <c r="D1750" s="54" t="s">
        <v>2037</v>
      </c>
      <c r="F1750" s="54" t="s">
        <v>4393</v>
      </c>
    </row>
    <row r="1751" spans="1:6" hidden="1">
      <c r="A1751" s="1659" t="s">
        <v>5520</v>
      </c>
      <c r="B1751" s="1653" t="s">
        <v>5514</v>
      </c>
      <c r="C1751" s="1659" t="s">
        <v>5521</v>
      </c>
      <c r="D1751" s="54" t="s">
        <v>2037</v>
      </c>
      <c r="F1751" s="54" t="s">
        <v>4393</v>
      </c>
    </row>
    <row r="1752" spans="1:6" hidden="1">
      <c r="A1752" s="1659" t="s">
        <v>5522</v>
      </c>
      <c r="B1752" s="1653" t="s">
        <v>5515</v>
      </c>
      <c r="C1752" s="1659" t="s">
        <v>5523</v>
      </c>
      <c r="D1752" s="54" t="s">
        <v>2037</v>
      </c>
      <c r="F1752" s="54" t="s">
        <v>4393</v>
      </c>
    </row>
    <row r="1753" spans="1:6" hidden="1">
      <c r="A1753" s="1659" t="s">
        <v>5524</v>
      </c>
      <c r="B1753" s="1653" t="s">
        <v>5516</v>
      </c>
      <c r="C1753" s="1659" t="s">
        <v>5525</v>
      </c>
      <c r="D1753" s="54" t="s">
        <v>2037</v>
      </c>
      <c r="F1753" s="54" t="s">
        <v>4393</v>
      </c>
    </row>
    <row r="1754" spans="1:6" hidden="1">
      <c r="A1754" s="1659" t="s">
        <v>5526</v>
      </c>
      <c r="B1754" s="1653" t="s">
        <v>5517</v>
      </c>
      <c r="C1754" s="1659" t="s">
        <v>5527</v>
      </c>
      <c r="D1754" s="54" t="s">
        <v>2037</v>
      </c>
      <c r="F1754" s="54" t="s">
        <v>4393</v>
      </c>
    </row>
    <row r="1755" spans="1:6" hidden="1">
      <c r="A1755" s="1659" t="s">
        <v>5528</v>
      </c>
      <c r="B1755" s="1653" t="s">
        <v>5529</v>
      </c>
      <c r="C1755" s="1659" t="s">
        <v>5530</v>
      </c>
      <c r="D1755" s="54" t="s">
        <v>2037</v>
      </c>
      <c r="F1755" s="54" t="s">
        <v>4393</v>
      </c>
    </row>
    <row r="1756" spans="1:6" hidden="1">
      <c r="A1756" s="1659" t="s">
        <v>5531</v>
      </c>
      <c r="B1756" s="1653" t="s">
        <v>5532</v>
      </c>
      <c r="C1756" s="1659" t="s">
        <v>5533</v>
      </c>
      <c r="D1756" s="54" t="s">
        <v>2037</v>
      </c>
      <c r="F1756" s="54" t="s">
        <v>4393</v>
      </c>
    </row>
    <row r="1757" spans="1:6" hidden="1">
      <c r="A1757" s="1659" t="s">
        <v>5534</v>
      </c>
      <c r="B1757" s="1653" t="s">
        <v>5535</v>
      </c>
      <c r="C1757" s="1659" t="s">
        <v>5536</v>
      </c>
      <c r="D1757" s="54" t="s">
        <v>2037</v>
      </c>
      <c r="F1757" s="54" t="s">
        <v>4393</v>
      </c>
    </row>
    <row r="1758" spans="1:6" hidden="1">
      <c r="A1758" s="1659" t="s">
        <v>5537</v>
      </c>
      <c r="B1758" s="1653" t="s">
        <v>5538</v>
      </c>
      <c r="C1758" s="1659" t="s">
        <v>5539</v>
      </c>
      <c r="D1758" s="54" t="s">
        <v>2037</v>
      </c>
      <c r="F1758" s="54" t="s">
        <v>4393</v>
      </c>
    </row>
    <row r="1759" spans="1:6" hidden="1">
      <c r="A1759" s="1659" t="s">
        <v>5540</v>
      </c>
      <c r="B1759" s="1653" t="s">
        <v>5541</v>
      </c>
      <c r="C1759" s="1659" t="s">
        <v>5542</v>
      </c>
      <c r="D1759" s="54" t="s">
        <v>2037</v>
      </c>
      <c r="F1759" s="54" t="s">
        <v>4393</v>
      </c>
    </row>
    <row r="1760" spans="1:6" hidden="1">
      <c r="A1760" s="1659" t="s">
        <v>5543</v>
      </c>
      <c r="B1760" s="1653" t="s">
        <v>478</v>
      </c>
      <c r="C1760" s="1659" t="s">
        <v>5544</v>
      </c>
      <c r="D1760" s="54" t="s">
        <v>2037</v>
      </c>
      <c r="F1760" s="54" t="s">
        <v>4393</v>
      </c>
    </row>
    <row r="1761" spans="1:6" hidden="1">
      <c r="A1761" s="1659" t="s">
        <v>5548</v>
      </c>
      <c r="B1761" s="1653" t="s">
        <v>5549</v>
      </c>
      <c r="C1761" s="1659" t="s">
        <v>5550</v>
      </c>
      <c r="D1761" s="54" t="s">
        <v>2532</v>
      </c>
      <c r="F1761" s="54" t="s">
        <v>4393</v>
      </c>
    </row>
    <row r="1762" spans="1:6" hidden="1">
      <c r="A1762" s="1659" t="s">
        <v>5552</v>
      </c>
      <c r="B1762" s="1653">
        <v>73213</v>
      </c>
      <c r="C1762" s="1659" t="s">
        <v>5553</v>
      </c>
      <c r="D1762" s="54" t="s">
        <v>2532</v>
      </c>
      <c r="F1762" s="54" t="s">
        <v>4393</v>
      </c>
    </row>
    <row r="1763" spans="1:6" hidden="1">
      <c r="A1763" s="1659" t="s">
        <v>5554</v>
      </c>
      <c r="B1763" s="1653">
        <v>73413</v>
      </c>
      <c r="C1763" s="1659" t="s">
        <v>5555</v>
      </c>
      <c r="D1763" s="54" t="s">
        <v>2532</v>
      </c>
      <c r="F1763" s="54" t="s">
        <v>4393</v>
      </c>
    </row>
    <row r="1764" spans="1:6" hidden="1">
      <c r="A1764" s="1659" t="s">
        <v>5556</v>
      </c>
      <c r="B1764" s="1653" t="s">
        <v>5557</v>
      </c>
      <c r="C1764" s="1659" t="s">
        <v>5558</v>
      </c>
      <c r="D1764" s="54" t="s">
        <v>2439</v>
      </c>
      <c r="F1764" s="54" t="s">
        <v>4393</v>
      </c>
    </row>
    <row r="1765" spans="1:6" hidden="1">
      <c r="A1765" s="1659" t="s">
        <v>5560</v>
      </c>
      <c r="B1765" s="1653" t="s">
        <v>5561</v>
      </c>
      <c r="C1765" s="1659" t="s">
        <v>5562</v>
      </c>
      <c r="D1765" s="54" t="s">
        <v>2555</v>
      </c>
      <c r="F1765" s="54" t="s">
        <v>4393</v>
      </c>
    </row>
    <row r="1766" spans="1:6" hidden="1">
      <c r="A1766" s="1659" t="s">
        <v>5564</v>
      </c>
      <c r="B1766" s="1653" t="s">
        <v>5563</v>
      </c>
      <c r="C1766" s="1659" t="s">
        <v>5565</v>
      </c>
      <c r="D1766" s="54" t="s">
        <v>2439</v>
      </c>
      <c r="F1766" s="54" t="s">
        <v>4393</v>
      </c>
    </row>
    <row r="1767" spans="1:6" hidden="1">
      <c r="C1767" s="1659" t="s">
        <v>5569</v>
      </c>
      <c r="F1767" s="54">
        <v>3000</v>
      </c>
    </row>
    <row r="1768" spans="1:6" hidden="1">
      <c r="A1768" s="1659" t="s">
        <v>5574</v>
      </c>
      <c r="B1768" s="1653" t="s">
        <v>5575</v>
      </c>
      <c r="C1768" s="1659" t="s">
        <v>5576</v>
      </c>
      <c r="D1768" s="54" t="s">
        <v>1823</v>
      </c>
      <c r="F1768" s="54" t="s">
        <v>4393</v>
      </c>
    </row>
    <row r="1769" spans="1:6" hidden="1">
      <c r="A1769" s="1659" t="s">
        <v>5577</v>
      </c>
      <c r="B1769" s="1653" t="s">
        <v>435</v>
      </c>
      <c r="C1769" s="1659" t="s">
        <v>5578</v>
      </c>
      <c r="D1769" s="54" t="s">
        <v>2555</v>
      </c>
      <c r="F1769" s="54" t="s">
        <v>4393</v>
      </c>
    </row>
    <row r="1770" spans="1:6" hidden="1">
      <c r="A1770" s="1659" t="s">
        <v>5581</v>
      </c>
      <c r="F1770" s="54" t="s">
        <v>4393</v>
      </c>
    </row>
    <row r="1771" spans="1:6" hidden="1">
      <c r="A1771" s="1659" t="s">
        <v>5594</v>
      </c>
      <c r="B1771" s="1653" t="s">
        <v>5595</v>
      </c>
      <c r="C1771" s="1659" t="s">
        <v>5596</v>
      </c>
      <c r="D1771" s="54" t="s">
        <v>3370</v>
      </c>
      <c r="F1771" s="54" t="s">
        <v>4393</v>
      </c>
    </row>
    <row r="1772" spans="1:6" hidden="1">
      <c r="A1772" s="1659" t="s">
        <v>5602</v>
      </c>
      <c r="B1772" s="1653" t="s">
        <v>5601</v>
      </c>
      <c r="C1772" s="1659" t="s">
        <v>1194</v>
      </c>
      <c r="D1772" s="54" t="s">
        <v>2555</v>
      </c>
      <c r="F1772" s="54" t="s">
        <v>4393</v>
      </c>
    </row>
    <row r="1773" spans="1:6" hidden="1">
      <c r="A1773" s="1659" t="s">
        <v>5603</v>
      </c>
      <c r="B1773" s="1653" t="s">
        <v>5601</v>
      </c>
      <c r="C1773" s="1659" t="s">
        <v>1193</v>
      </c>
      <c r="D1773" s="54" t="s">
        <v>2555</v>
      </c>
      <c r="F1773" s="54" t="s">
        <v>4393</v>
      </c>
    </row>
    <row r="1774" spans="1:6" hidden="1">
      <c r="A1774" s="1659" t="s">
        <v>5604</v>
      </c>
      <c r="C1774" s="1659" t="s">
        <v>5605</v>
      </c>
      <c r="D1774" s="54" t="s">
        <v>2555</v>
      </c>
      <c r="F1774" s="54" t="s">
        <v>4393</v>
      </c>
    </row>
    <row r="1775" spans="1:6" hidden="1">
      <c r="A1775" s="1659" t="s">
        <v>5606</v>
      </c>
      <c r="C1775" s="1659" t="s">
        <v>5607</v>
      </c>
      <c r="D1775" s="54" t="s">
        <v>2555</v>
      </c>
      <c r="F1775" s="54" t="s">
        <v>4393</v>
      </c>
    </row>
    <row r="1776" spans="1:6" hidden="1">
      <c r="A1776" s="1659" t="s">
        <v>5608</v>
      </c>
      <c r="C1776" s="1659" t="s">
        <v>5609</v>
      </c>
      <c r="D1776" s="54" t="s">
        <v>2555</v>
      </c>
      <c r="F1776" s="54" t="s">
        <v>4393</v>
      </c>
    </row>
    <row r="1777" spans="1:6" hidden="1">
      <c r="A1777" s="1659" t="s">
        <v>5611</v>
      </c>
      <c r="B1777" s="1653" t="s">
        <v>5612</v>
      </c>
      <c r="C1777" s="1659" t="s">
        <v>5613</v>
      </c>
      <c r="D1777" s="54" t="s">
        <v>3370</v>
      </c>
      <c r="F1777" s="54" t="s">
        <v>4393</v>
      </c>
    </row>
    <row r="1778" spans="1:6" hidden="1">
      <c r="A1778" s="1659" t="s">
        <v>5614</v>
      </c>
      <c r="B1778" s="1653" t="s">
        <v>1025</v>
      </c>
      <c r="C1778" s="1659" t="s">
        <v>5615</v>
      </c>
      <c r="D1778" s="54" t="s">
        <v>3370</v>
      </c>
      <c r="F1778" s="54" t="s">
        <v>4393</v>
      </c>
    </row>
    <row r="1779" spans="1:6" hidden="1">
      <c r="A1779" s="1659" t="s">
        <v>5616</v>
      </c>
      <c r="B1779" s="1653" t="s">
        <v>1025</v>
      </c>
      <c r="C1779" s="1659" t="s">
        <v>5617</v>
      </c>
      <c r="D1779" s="54" t="s">
        <v>3370</v>
      </c>
      <c r="F1779" s="54">
        <v>3000</v>
      </c>
    </row>
    <row r="1780" spans="1:6" hidden="1">
      <c r="A1780" s="1659" t="s">
        <v>5621</v>
      </c>
      <c r="B1780" s="1653" t="s">
        <v>5618</v>
      </c>
      <c r="C1780" s="1659" t="s">
        <v>5622</v>
      </c>
      <c r="D1780" s="54" t="s">
        <v>3370</v>
      </c>
      <c r="F1780" s="54" t="s">
        <v>4393</v>
      </c>
    </row>
    <row r="1781" spans="1:6" hidden="1">
      <c r="A1781" s="1659" t="s">
        <v>5623</v>
      </c>
      <c r="B1781" s="1653" t="s">
        <v>1025</v>
      </c>
      <c r="C1781" s="1659" t="s">
        <v>5624</v>
      </c>
      <c r="D1781" s="54" t="s">
        <v>3370</v>
      </c>
      <c r="F1781" s="54" t="s">
        <v>4393</v>
      </c>
    </row>
    <row r="1782" spans="1:6" hidden="1">
      <c r="A1782" s="1659" t="s">
        <v>5625</v>
      </c>
      <c r="B1782" s="1653" t="s">
        <v>1388</v>
      </c>
      <c r="C1782" s="1659" t="s">
        <v>5626</v>
      </c>
      <c r="D1782" s="54" t="s">
        <v>3370</v>
      </c>
      <c r="F1782" s="54" t="s">
        <v>4393</v>
      </c>
    </row>
    <row r="1783" spans="1:6" hidden="1">
      <c r="A1783" s="1659" t="s">
        <v>5627</v>
      </c>
      <c r="B1783" s="1653" t="s">
        <v>5628</v>
      </c>
      <c r="C1783" s="1659" t="s">
        <v>5629</v>
      </c>
      <c r="D1783" s="54" t="s">
        <v>3370</v>
      </c>
      <c r="F1783" s="54" t="s">
        <v>4393</v>
      </c>
    </row>
    <row r="1784" spans="1:6" hidden="1">
      <c r="A1784" s="1659" t="s">
        <v>5630</v>
      </c>
      <c r="B1784" s="1653" t="s">
        <v>5628</v>
      </c>
      <c r="C1784" s="1659" t="s">
        <v>5631</v>
      </c>
      <c r="D1784" s="54" t="s">
        <v>3370</v>
      </c>
      <c r="F1784" s="54" t="s">
        <v>4393</v>
      </c>
    </row>
    <row r="1785" spans="1:6" hidden="1">
      <c r="A1785" s="1659" t="s">
        <v>5633</v>
      </c>
      <c r="B1785" s="1653" t="s">
        <v>5632</v>
      </c>
      <c r="C1785" s="1659" t="s">
        <v>5634</v>
      </c>
      <c r="D1785" s="54" t="s">
        <v>2555</v>
      </c>
      <c r="F1785" s="54">
        <v>50</v>
      </c>
    </row>
    <row r="1786" spans="1:6" hidden="1">
      <c r="A1786" s="1659" t="s">
        <v>5635</v>
      </c>
      <c r="B1786" s="1653" t="s">
        <v>5632</v>
      </c>
      <c r="C1786" s="1659" t="s">
        <v>5636</v>
      </c>
      <c r="D1786" s="54" t="s">
        <v>2555</v>
      </c>
      <c r="F1786" s="54">
        <v>50</v>
      </c>
    </row>
    <row r="1787" spans="1:6" hidden="1">
      <c r="A1787" s="1659" t="s">
        <v>5637</v>
      </c>
      <c r="B1787" s="1653" t="s">
        <v>5632</v>
      </c>
      <c r="C1787" s="1659" t="s">
        <v>5638</v>
      </c>
      <c r="D1787" s="54" t="s">
        <v>2555</v>
      </c>
      <c r="F1787" s="54">
        <v>50</v>
      </c>
    </row>
    <row r="1788" spans="1:6" hidden="1">
      <c r="A1788" s="1659" t="s">
        <v>5640</v>
      </c>
      <c r="B1788" s="1653" t="s">
        <v>5632</v>
      </c>
      <c r="C1788" s="1659" t="s">
        <v>5641</v>
      </c>
      <c r="D1788" s="54" t="s">
        <v>2555</v>
      </c>
      <c r="F1788" s="54">
        <v>50</v>
      </c>
    </row>
    <row r="1789" spans="1:6" hidden="1">
      <c r="A1789" s="1659" t="s">
        <v>5642</v>
      </c>
      <c r="B1789" s="1653" t="s">
        <v>5632</v>
      </c>
      <c r="C1789" s="1659" t="s">
        <v>5643</v>
      </c>
      <c r="D1789" s="54" t="s">
        <v>2555</v>
      </c>
      <c r="F1789" s="54">
        <v>50</v>
      </c>
    </row>
    <row r="1790" spans="1:6" hidden="1">
      <c r="A1790" s="1659" t="s">
        <v>5644</v>
      </c>
      <c r="B1790" s="1653" t="s">
        <v>5632</v>
      </c>
      <c r="C1790" s="1659" t="s">
        <v>5645</v>
      </c>
      <c r="D1790" s="54" t="s">
        <v>2555</v>
      </c>
      <c r="F1790" s="54">
        <v>50</v>
      </c>
    </row>
    <row r="1791" spans="1:6" hidden="1">
      <c r="A1791" s="1659" t="s">
        <v>5646</v>
      </c>
      <c r="B1791" s="1653" t="s">
        <v>5632</v>
      </c>
      <c r="C1791" s="1659" t="s">
        <v>5647</v>
      </c>
      <c r="D1791" s="54" t="s">
        <v>2555</v>
      </c>
      <c r="F1791" s="54">
        <v>50</v>
      </c>
    </row>
    <row r="1792" spans="1:6" hidden="1">
      <c r="A1792" s="1659" t="s">
        <v>5648</v>
      </c>
      <c r="B1792" s="1653" t="s">
        <v>5632</v>
      </c>
      <c r="C1792" s="1659" t="s">
        <v>5649</v>
      </c>
      <c r="D1792" s="54" t="s">
        <v>2555</v>
      </c>
      <c r="F1792" s="54">
        <v>50</v>
      </c>
    </row>
    <row r="1793" spans="1:6" hidden="1">
      <c r="A1793" s="1659" t="s">
        <v>5650</v>
      </c>
      <c r="B1793" s="1653" t="s">
        <v>5632</v>
      </c>
      <c r="C1793" s="1659" t="s">
        <v>5651</v>
      </c>
      <c r="D1793" s="54" t="s">
        <v>2555</v>
      </c>
      <c r="F1793" s="54">
        <v>50</v>
      </c>
    </row>
    <row r="1794" spans="1:6" hidden="1">
      <c r="A1794" s="1659" t="s">
        <v>5652</v>
      </c>
      <c r="B1794" s="1653" t="s">
        <v>5632</v>
      </c>
      <c r="C1794" s="1659" t="s">
        <v>5645</v>
      </c>
      <c r="D1794" s="54" t="s">
        <v>2555</v>
      </c>
      <c r="F1794" s="54">
        <v>50</v>
      </c>
    </row>
    <row r="1795" spans="1:6" hidden="1">
      <c r="A1795" s="1659" t="s">
        <v>5653</v>
      </c>
      <c r="B1795" s="1653" t="s">
        <v>5654</v>
      </c>
      <c r="C1795" s="1659" t="s">
        <v>5655</v>
      </c>
      <c r="D1795" s="54" t="s">
        <v>2555</v>
      </c>
      <c r="F1795" s="54">
        <v>50</v>
      </c>
    </row>
    <row r="1796" spans="1:6" hidden="1">
      <c r="A1796" s="1659" t="s">
        <v>5656</v>
      </c>
      <c r="B1796" s="1653" t="s">
        <v>5632</v>
      </c>
      <c r="C1796" s="1659" t="s">
        <v>5657</v>
      </c>
      <c r="D1796" s="54" t="s">
        <v>2555</v>
      </c>
      <c r="F1796" s="54">
        <v>50</v>
      </c>
    </row>
    <row r="1797" spans="1:6" hidden="1">
      <c r="A1797" s="1659" t="s">
        <v>6441</v>
      </c>
      <c r="B1797" s="1653" t="s">
        <v>5632</v>
      </c>
      <c r="C1797" s="1659" t="s">
        <v>6442</v>
      </c>
      <c r="D1797" s="54" t="s">
        <v>2439</v>
      </c>
      <c r="F1797" s="54">
        <v>2000</v>
      </c>
    </row>
    <row r="1798" spans="1:6" hidden="1">
      <c r="A1798" s="1659" t="s">
        <v>5659</v>
      </c>
      <c r="B1798" s="1653" t="s">
        <v>5632</v>
      </c>
      <c r="C1798" s="1659" t="s">
        <v>5660</v>
      </c>
      <c r="D1798" s="54" t="s">
        <v>2555</v>
      </c>
      <c r="F1798" s="54" t="s">
        <v>4393</v>
      </c>
    </row>
    <row r="1799" spans="1:6" hidden="1">
      <c r="A1799" s="1659" t="s">
        <v>5661</v>
      </c>
      <c r="B1799" s="1653" t="s">
        <v>58</v>
      </c>
      <c r="C1799" s="1659" t="s">
        <v>5662</v>
      </c>
      <c r="D1799" s="54" t="s">
        <v>2555</v>
      </c>
      <c r="F1799" s="54" t="s">
        <v>4393</v>
      </c>
    </row>
    <row r="1800" spans="1:6" hidden="1">
      <c r="A1800" s="1659" t="s">
        <v>5663</v>
      </c>
      <c r="C1800" s="1659" t="s">
        <v>5664</v>
      </c>
      <c r="D1800" s="54" t="s">
        <v>2555</v>
      </c>
      <c r="F1800" s="54" t="s">
        <v>4393</v>
      </c>
    </row>
    <row r="1801" spans="1:6" hidden="1">
      <c r="A1801" s="1659" t="s">
        <v>5665</v>
      </c>
      <c r="C1801" s="1659" t="s">
        <v>5666</v>
      </c>
      <c r="D1801" s="54" t="s">
        <v>2555</v>
      </c>
      <c r="F1801" s="54" t="s">
        <v>4393</v>
      </c>
    </row>
    <row r="1802" spans="1:6" hidden="1">
      <c r="A1802" s="1659" t="s">
        <v>5667</v>
      </c>
      <c r="C1802" s="1659" t="s">
        <v>5668</v>
      </c>
      <c r="D1802" s="54" t="s">
        <v>2555</v>
      </c>
      <c r="F1802" s="54" t="s">
        <v>4393</v>
      </c>
    </row>
    <row r="1803" spans="1:6" hidden="1">
      <c r="A1803" s="1659" t="s">
        <v>5669</v>
      </c>
      <c r="C1803" s="1659" t="s">
        <v>5670</v>
      </c>
      <c r="D1803" s="54" t="s">
        <v>2555</v>
      </c>
      <c r="F1803" s="54" t="s">
        <v>4393</v>
      </c>
    </row>
    <row r="1804" spans="1:6" hidden="1">
      <c r="A1804" s="1659" t="s">
        <v>5671</v>
      </c>
      <c r="C1804" s="1659" t="s">
        <v>5672</v>
      </c>
      <c r="D1804" s="54" t="s">
        <v>2555</v>
      </c>
      <c r="F1804" s="54" t="s">
        <v>4393</v>
      </c>
    </row>
    <row r="1805" spans="1:6" hidden="1">
      <c r="A1805" s="1659" t="s">
        <v>5673</v>
      </c>
      <c r="C1805" s="1659" t="s">
        <v>5674</v>
      </c>
      <c r="D1805" s="54" t="s">
        <v>2555</v>
      </c>
      <c r="F1805" s="54" t="s">
        <v>4393</v>
      </c>
    </row>
    <row r="1806" spans="1:6" hidden="1">
      <c r="A1806" s="1659" t="s">
        <v>5676</v>
      </c>
      <c r="C1806" s="1659" t="s">
        <v>5677</v>
      </c>
      <c r="D1806" s="54" t="s">
        <v>2555</v>
      </c>
      <c r="F1806" s="54" t="s">
        <v>4393</v>
      </c>
    </row>
    <row r="1807" spans="1:6" hidden="1">
      <c r="A1807" s="1659" t="s">
        <v>5682</v>
      </c>
      <c r="C1807" s="1659" t="s">
        <v>5683</v>
      </c>
      <c r="D1807" s="54" t="s">
        <v>2555</v>
      </c>
      <c r="F1807" s="54" t="s">
        <v>4393</v>
      </c>
    </row>
    <row r="1808" spans="1:6" hidden="1">
      <c r="A1808" s="1659" t="s">
        <v>5690</v>
      </c>
      <c r="B1808" s="1653" t="s">
        <v>5687</v>
      </c>
      <c r="C1808" s="1659" t="s">
        <v>5691</v>
      </c>
      <c r="D1808" s="54" t="s">
        <v>2555</v>
      </c>
      <c r="F1808" s="54">
        <v>2</v>
      </c>
    </row>
    <row r="1809" spans="1:6" hidden="1">
      <c r="A1809" s="1659" t="s">
        <v>5692</v>
      </c>
      <c r="C1809" s="1659" t="s">
        <v>5693</v>
      </c>
      <c r="D1809" s="54" t="s">
        <v>2555</v>
      </c>
      <c r="F1809" s="54" t="s">
        <v>4393</v>
      </c>
    </row>
    <row r="1810" spans="1:6" hidden="1">
      <c r="A1810" s="1659" t="s">
        <v>5694</v>
      </c>
      <c r="C1810" s="1659" t="s">
        <v>5695</v>
      </c>
      <c r="D1810" s="54" t="s">
        <v>2555</v>
      </c>
      <c r="F1810" s="54" t="s">
        <v>4393</v>
      </c>
    </row>
    <row r="1811" spans="1:6" hidden="1">
      <c r="A1811" s="1659" t="s">
        <v>6467</v>
      </c>
      <c r="C1811" s="1659" t="s">
        <v>5697</v>
      </c>
      <c r="D1811" s="54" t="s">
        <v>3445</v>
      </c>
      <c r="F1811" s="54">
        <v>50</v>
      </c>
    </row>
    <row r="1812" spans="1:6" hidden="1">
      <c r="A1812" s="1659" t="s">
        <v>5698</v>
      </c>
      <c r="C1812" s="1659" t="s">
        <v>5699</v>
      </c>
      <c r="D1812" s="54" t="s">
        <v>2555</v>
      </c>
      <c r="F1812" s="54">
        <v>50</v>
      </c>
    </row>
    <row r="1813" spans="1:6" hidden="1">
      <c r="A1813" s="1659" t="s">
        <v>5700</v>
      </c>
      <c r="C1813" s="1659" t="s">
        <v>5701</v>
      </c>
      <c r="D1813" s="54" t="s">
        <v>2555</v>
      </c>
      <c r="F1813" s="54" t="s">
        <v>4393</v>
      </c>
    </row>
    <row r="1814" spans="1:6" hidden="1">
      <c r="A1814" s="1659" t="s">
        <v>5702</v>
      </c>
      <c r="C1814" s="1659" t="s">
        <v>5701</v>
      </c>
      <c r="D1814" s="54" t="s">
        <v>2555</v>
      </c>
      <c r="F1814" s="54" t="s">
        <v>4393</v>
      </c>
    </row>
    <row r="1815" spans="1:6" hidden="1">
      <c r="A1815" s="1659" t="s">
        <v>5703</v>
      </c>
      <c r="C1815" s="1659" t="s">
        <v>4537</v>
      </c>
      <c r="D1815" s="54" t="s">
        <v>3445</v>
      </c>
      <c r="F1815" s="54">
        <v>50</v>
      </c>
    </row>
    <row r="1816" spans="1:6" hidden="1">
      <c r="A1816" s="1659" t="s">
        <v>5704</v>
      </c>
      <c r="C1816" s="1659" t="s">
        <v>5705</v>
      </c>
      <c r="D1816" s="54" t="s">
        <v>2555</v>
      </c>
      <c r="F1816" s="54">
        <v>50</v>
      </c>
    </row>
    <row r="1817" spans="1:6" hidden="1">
      <c r="A1817" s="1659" t="s">
        <v>5706</v>
      </c>
      <c r="C1817" s="1659" t="s">
        <v>5707</v>
      </c>
      <c r="D1817" s="54" t="s">
        <v>2555</v>
      </c>
      <c r="F1817" s="54">
        <v>50</v>
      </c>
    </row>
    <row r="1818" spans="1:6" hidden="1">
      <c r="A1818" s="1659" t="s">
        <v>5709</v>
      </c>
      <c r="C1818" s="1659" t="s">
        <v>5710</v>
      </c>
      <c r="D1818" s="54" t="s">
        <v>2555</v>
      </c>
      <c r="F1818" s="54" t="s">
        <v>4393</v>
      </c>
    </row>
    <row r="1819" spans="1:6" hidden="1">
      <c r="A1819" s="1659" t="s">
        <v>1041</v>
      </c>
      <c r="C1819" s="1659" t="s">
        <v>5716</v>
      </c>
      <c r="D1819" s="54" t="s">
        <v>3457</v>
      </c>
      <c r="F1819" s="54" t="s">
        <v>4393</v>
      </c>
    </row>
    <row r="1820" spans="1:6" hidden="1">
      <c r="A1820" s="1659" t="s">
        <v>5717</v>
      </c>
      <c r="C1820" s="1659" t="s">
        <v>5718</v>
      </c>
      <c r="D1820" s="54" t="s">
        <v>3457</v>
      </c>
      <c r="F1820" s="54" t="s">
        <v>4393</v>
      </c>
    </row>
    <row r="1821" spans="1:6" hidden="1">
      <c r="A1821" s="1659" t="s">
        <v>5719</v>
      </c>
      <c r="B1821" s="1653" t="s">
        <v>5425</v>
      </c>
      <c r="C1821" s="1659" t="s">
        <v>5720</v>
      </c>
      <c r="D1821" s="54" t="s">
        <v>3457</v>
      </c>
      <c r="F1821" s="54" t="s">
        <v>4393</v>
      </c>
    </row>
    <row r="1822" spans="1:6" hidden="1">
      <c r="A1822" s="1659" t="s">
        <v>5721</v>
      </c>
      <c r="B1822" s="1653" t="s">
        <v>691</v>
      </c>
      <c r="C1822" s="1659" t="s">
        <v>5722</v>
      </c>
      <c r="D1822" s="54" t="s">
        <v>3457</v>
      </c>
      <c r="F1822" s="54" t="s">
        <v>4393</v>
      </c>
    </row>
    <row r="1823" spans="1:6" hidden="1">
      <c r="A1823" s="1659" t="s">
        <v>5733</v>
      </c>
      <c r="B1823" s="1653" t="s">
        <v>5723</v>
      </c>
      <c r="C1823" s="1659" t="s">
        <v>5734</v>
      </c>
      <c r="D1823" s="54" t="s">
        <v>2555</v>
      </c>
      <c r="F1823" s="54">
        <v>50</v>
      </c>
    </row>
    <row r="1824" spans="1:6" hidden="1">
      <c r="A1824" s="1659" t="s">
        <v>5735</v>
      </c>
      <c r="B1824" s="1653" t="s">
        <v>5723</v>
      </c>
      <c r="C1824" s="1659" t="s">
        <v>5736</v>
      </c>
      <c r="D1824" s="54" t="s">
        <v>2555</v>
      </c>
      <c r="F1824" s="54" t="s">
        <v>4393</v>
      </c>
    </row>
    <row r="1825" spans="1:6" hidden="1">
      <c r="A1825" s="1659" t="s">
        <v>5737</v>
      </c>
      <c r="B1825" s="1653" t="s">
        <v>5724</v>
      </c>
      <c r="C1825" s="1659" t="s">
        <v>3477</v>
      </c>
      <c r="D1825" s="54" t="s">
        <v>2555</v>
      </c>
      <c r="F1825" s="54" t="s">
        <v>4393</v>
      </c>
    </row>
    <row r="1826" spans="1:6" hidden="1">
      <c r="A1826" s="1659" t="s">
        <v>5738</v>
      </c>
      <c r="B1826" s="1653" t="s">
        <v>5724</v>
      </c>
      <c r="C1826" s="1659" t="s">
        <v>3478</v>
      </c>
      <c r="D1826" s="54" t="s">
        <v>2555</v>
      </c>
      <c r="F1826" s="54" t="s">
        <v>4393</v>
      </c>
    </row>
    <row r="1827" spans="1:6" hidden="1">
      <c r="A1827" s="1659" t="s">
        <v>5739</v>
      </c>
      <c r="B1827" s="1653" t="s">
        <v>5724</v>
      </c>
      <c r="C1827" s="1659" t="s">
        <v>3479</v>
      </c>
      <c r="D1827" s="54" t="s">
        <v>2555</v>
      </c>
      <c r="F1827" s="54" t="s">
        <v>4393</v>
      </c>
    </row>
    <row r="1828" spans="1:6" hidden="1">
      <c r="A1828" s="1659" t="s">
        <v>5740</v>
      </c>
      <c r="B1828" s="1653" t="s">
        <v>5725</v>
      </c>
      <c r="C1828" s="1659" t="s">
        <v>3480</v>
      </c>
      <c r="D1828" s="54" t="s">
        <v>2555</v>
      </c>
      <c r="F1828" s="54" t="s">
        <v>4393</v>
      </c>
    </row>
    <row r="1829" spans="1:6" hidden="1">
      <c r="A1829" s="1659" t="s">
        <v>5741</v>
      </c>
      <c r="B1829" s="1653" t="s">
        <v>5726</v>
      </c>
      <c r="C1829" s="1659" t="s">
        <v>3481</v>
      </c>
      <c r="D1829" s="54" t="s">
        <v>2555</v>
      </c>
      <c r="F1829" s="54" t="s">
        <v>4393</v>
      </c>
    </row>
    <row r="1830" spans="1:6" hidden="1">
      <c r="A1830" s="1659" t="s">
        <v>5742</v>
      </c>
      <c r="B1830" s="1653" t="s">
        <v>5727</v>
      </c>
      <c r="C1830" s="1659" t="s">
        <v>3482</v>
      </c>
      <c r="D1830" s="54" t="s">
        <v>2555</v>
      </c>
      <c r="F1830" s="54" t="s">
        <v>4393</v>
      </c>
    </row>
    <row r="1831" spans="1:6" hidden="1">
      <c r="A1831" s="1659" t="s">
        <v>5743</v>
      </c>
      <c r="B1831" s="1653" t="s">
        <v>5728</v>
      </c>
      <c r="C1831" s="1659" t="s">
        <v>3483</v>
      </c>
      <c r="D1831" s="54" t="s">
        <v>2555</v>
      </c>
      <c r="F1831" s="54" t="s">
        <v>4393</v>
      </c>
    </row>
    <row r="1832" spans="1:6" hidden="1">
      <c r="A1832" s="1659" t="s">
        <v>5744</v>
      </c>
      <c r="B1832" s="1653" t="s">
        <v>5729</v>
      </c>
      <c r="C1832" s="1659" t="s">
        <v>3484</v>
      </c>
      <c r="D1832" s="54" t="s">
        <v>2555</v>
      </c>
      <c r="F1832" s="54" t="s">
        <v>4393</v>
      </c>
    </row>
    <row r="1833" spans="1:6" hidden="1">
      <c r="A1833" s="1659" t="s">
        <v>5745</v>
      </c>
      <c r="B1833" s="1653" t="s">
        <v>5730</v>
      </c>
      <c r="C1833" s="1659" t="s">
        <v>3485</v>
      </c>
      <c r="D1833" s="54" t="s">
        <v>2555</v>
      </c>
      <c r="F1833" s="54" t="s">
        <v>4393</v>
      </c>
    </row>
    <row r="1834" spans="1:6" hidden="1">
      <c r="A1834" s="1659" t="s">
        <v>5746</v>
      </c>
      <c r="B1834" s="1653" t="s">
        <v>5730</v>
      </c>
      <c r="C1834" s="1659" t="s">
        <v>3486</v>
      </c>
      <c r="D1834" s="54" t="s">
        <v>2555</v>
      </c>
      <c r="F1834" s="54" t="s">
        <v>4393</v>
      </c>
    </row>
    <row r="1835" spans="1:6" hidden="1">
      <c r="A1835" s="1659" t="s">
        <v>5747</v>
      </c>
      <c r="B1835" s="1653" t="s">
        <v>5730</v>
      </c>
      <c r="C1835" s="1659" t="s">
        <v>3487</v>
      </c>
      <c r="D1835" s="54" t="s">
        <v>2555</v>
      </c>
      <c r="F1835" s="54" t="s">
        <v>4393</v>
      </c>
    </row>
    <row r="1836" spans="1:6" hidden="1">
      <c r="A1836" s="1659" t="s">
        <v>5748</v>
      </c>
      <c r="B1836" s="1653" t="s">
        <v>5731</v>
      </c>
      <c r="C1836" s="1659" t="s">
        <v>3488</v>
      </c>
      <c r="D1836" s="54" t="s">
        <v>2555</v>
      </c>
      <c r="F1836" s="54" t="s">
        <v>4393</v>
      </c>
    </row>
    <row r="1837" spans="1:6" hidden="1">
      <c r="A1837" s="1659" t="s">
        <v>5749</v>
      </c>
      <c r="B1837" s="1653" t="s">
        <v>5731</v>
      </c>
      <c r="C1837" s="1659" t="s">
        <v>5750</v>
      </c>
      <c r="D1837" s="54" t="s">
        <v>2555</v>
      </c>
      <c r="F1837" s="54" t="s">
        <v>4393</v>
      </c>
    </row>
    <row r="1838" spans="1:6" hidden="1">
      <c r="A1838" s="1659" t="s">
        <v>5751</v>
      </c>
      <c r="B1838" s="1653" t="s">
        <v>5724</v>
      </c>
      <c r="C1838" s="1659" t="s">
        <v>5752</v>
      </c>
      <c r="D1838" s="54" t="s">
        <v>2555</v>
      </c>
      <c r="F1838" s="54" t="s">
        <v>4393</v>
      </c>
    </row>
    <row r="1839" spans="1:6" hidden="1">
      <c r="A1839" s="1659" t="s">
        <v>5753</v>
      </c>
      <c r="B1839" s="1653" t="s">
        <v>5725</v>
      </c>
      <c r="C1839" s="1659" t="s">
        <v>5754</v>
      </c>
      <c r="D1839" s="54" t="s">
        <v>2555</v>
      </c>
      <c r="F1839" s="54" t="s">
        <v>4393</v>
      </c>
    </row>
    <row r="1840" spans="1:6" hidden="1">
      <c r="A1840" s="1659" t="s">
        <v>5755</v>
      </c>
      <c r="B1840" s="1653" t="s">
        <v>5731</v>
      </c>
      <c r="C1840" s="1659" t="s">
        <v>5750</v>
      </c>
      <c r="D1840" s="54" t="s">
        <v>2555</v>
      </c>
      <c r="F1840" s="54" t="s">
        <v>4393</v>
      </c>
    </row>
    <row r="1841" spans="1:6" hidden="1">
      <c r="A1841" s="1659" t="s">
        <v>5756</v>
      </c>
      <c r="B1841" s="1653" t="s">
        <v>5723</v>
      </c>
      <c r="C1841" s="1659" t="s">
        <v>5757</v>
      </c>
      <c r="D1841" s="54" t="s">
        <v>2555</v>
      </c>
      <c r="F1841" s="54" t="s">
        <v>4393</v>
      </c>
    </row>
    <row r="1842" spans="1:6" hidden="1">
      <c r="A1842" s="1659" t="s">
        <v>5758</v>
      </c>
      <c r="B1842" s="1653" t="s">
        <v>5724</v>
      </c>
      <c r="C1842" s="1659" t="s">
        <v>5759</v>
      </c>
      <c r="D1842" s="54" t="s">
        <v>2555</v>
      </c>
      <c r="F1842" s="54" t="s">
        <v>4393</v>
      </c>
    </row>
    <row r="1843" spans="1:6" hidden="1">
      <c r="A1843" s="1659" t="s">
        <v>5760</v>
      </c>
      <c r="B1843" s="1653" t="s">
        <v>5725</v>
      </c>
      <c r="C1843" s="1659" t="s">
        <v>5761</v>
      </c>
      <c r="D1843" s="54" t="s">
        <v>2555</v>
      </c>
      <c r="F1843" s="54" t="s">
        <v>4393</v>
      </c>
    </row>
    <row r="1844" spans="1:6" hidden="1">
      <c r="A1844" s="1659" t="s">
        <v>5762</v>
      </c>
      <c r="B1844" s="1653" t="s">
        <v>5726</v>
      </c>
      <c r="C1844" s="1659" t="s">
        <v>5763</v>
      </c>
      <c r="D1844" s="54" t="s">
        <v>2555</v>
      </c>
      <c r="F1844" s="54" t="s">
        <v>4393</v>
      </c>
    </row>
    <row r="1845" spans="1:6" hidden="1">
      <c r="A1845" s="1659" t="s">
        <v>5764</v>
      </c>
      <c r="B1845" s="1653" t="s">
        <v>5727</v>
      </c>
      <c r="C1845" s="1659" t="s">
        <v>5765</v>
      </c>
      <c r="D1845" s="54" t="s">
        <v>2555</v>
      </c>
      <c r="F1845" s="54" t="s">
        <v>4393</v>
      </c>
    </row>
    <row r="1846" spans="1:6" hidden="1">
      <c r="A1846" s="1659" t="s">
        <v>5766</v>
      </c>
      <c r="B1846" s="1653" t="s">
        <v>5728</v>
      </c>
      <c r="C1846" s="1659" t="s">
        <v>5767</v>
      </c>
      <c r="D1846" s="54" t="s">
        <v>2555</v>
      </c>
      <c r="F1846" s="54" t="s">
        <v>4393</v>
      </c>
    </row>
    <row r="1847" spans="1:6" hidden="1">
      <c r="A1847" s="1659" t="s">
        <v>5768</v>
      </c>
      <c r="B1847" s="1653" t="s">
        <v>5729</v>
      </c>
      <c r="C1847" s="1659" t="s">
        <v>5769</v>
      </c>
      <c r="D1847" s="54" t="s">
        <v>2555</v>
      </c>
      <c r="F1847" s="54" t="s">
        <v>4393</v>
      </c>
    </row>
    <row r="1848" spans="1:6" hidden="1">
      <c r="A1848" s="1659" t="s">
        <v>5770</v>
      </c>
      <c r="B1848" s="1653" t="s">
        <v>5730</v>
      </c>
      <c r="C1848" s="1659" t="s">
        <v>5771</v>
      </c>
      <c r="D1848" s="54" t="s">
        <v>2555</v>
      </c>
      <c r="F1848" s="54" t="s">
        <v>4393</v>
      </c>
    </row>
    <row r="1849" spans="1:6" hidden="1">
      <c r="A1849" s="1659" t="s">
        <v>5772</v>
      </c>
      <c r="B1849" s="1653" t="s">
        <v>5730</v>
      </c>
      <c r="C1849" s="1659" t="s">
        <v>5773</v>
      </c>
      <c r="D1849" s="54" t="s">
        <v>2555</v>
      </c>
      <c r="F1849" s="54" t="s">
        <v>4393</v>
      </c>
    </row>
    <row r="1850" spans="1:6" hidden="1">
      <c r="A1850" s="1659" t="s">
        <v>5774</v>
      </c>
      <c r="B1850" s="1653" t="s">
        <v>5730</v>
      </c>
      <c r="C1850" s="1659" t="s">
        <v>5775</v>
      </c>
      <c r="D1850" s="54" t="s">
        <v>2555</v>
      </c>
      <c r="F1850" s="54" t="s">
        <v>4393</v>
      </c>
    </row>
    <row r="1851" spans="1:6" hidden="1">
      <c r="A1851" s="1659" t="s">
        <v>5776</v>
      </c>
      <c r="B1851" s="1653" t="s">
        <v>5731</v>
      </c>
      <c r="C1851" s="1659" t="s">
        <v>5777</v>
      </c>
      <c r="D1851" s="54" t="s">
        <v>2555</v>
      </c>
      <c r="F1851" s="54" t="s">
        <v>4393</v>
      </c>
    </row>
    <row r="1852" spans="1:6" hidden="1">
      <c r="A1852" s="1659" t="s">
        <v>5778</v>
      </c>
      <c r="B1852" s="1653" t="s">
        <v>5732</v>
      </c>
      <c r="C1852" s="1659" t="s">
        <v>5779</v>
      </c>
      <c r="D1852" s="54" t="s">
        <v>2555</v>
      </c>
      <c r="F1852" s="54" t="s">
        <v>4393</v>
      </c>
    </row>
    <row r="1853" spans="1:6" hidden="1">
      <c r="A1853" s="1659" t="s">
        <v>5780</v>
      </c>
      <c r="C1853" s="1659" t="s">
        <v>5781</v>
      </c>
      <c r="D1853" s="54" t="s">
        <v>1823</v>
      </c>
      <c r="F1853" s="54" t="s">
        <v>4393</v>
      </c>
    </row>
    <row r="1854" spans="1:6" hidden="1">
      <c r="A1854" s="1659" t="s">
        <v>5782</v>
      </c>
      <c r="C1854" s="1659" t="s">
        <v>5783</v>
      </c>
      <c r="D1854" s="54" t="s">
        <v>1823</v>
      </c>
      <c r="F1854" s="54" t="s">
        <v>4393</v>
      </c>
    </row>
    <row r="1855" spans="1:6" hidden="1">
      <c r="A1855" s="1659" t="s">
        <v>5784</v>
      </c>
      <c r="C1855" s="1659" t="s">
        <v>5785</v>
      </c>
      <c r="D1855" s="54" t="s">
        <v>1823</v>
      </c>
      <c r="F1855" s="54" t="s">
        <v>4393</v>
      </c>
    </row>
    <row r="1856" spans="1:6" hidden="1">
      <c r="A1856" s="1659" t="s">
        <v>5786</v>
      </c>
      <c r="C1856" s="1659" t="s">
        <v>5787</v>
      </c>
      <c r="D1856" s="54" t="s">
        <v>1823</v>
      </c>
      <c r="F1856" s="54" t="s">
        <v>4393</v>
      </c>
    </row>
    <row r="1857" spans="1:6" hidden="1">
      <c r="A1857" s="1659" t="s">
        <v>5788</v>
      </c>
      <c r="C1857" s="1659" t="s">
        <v>5789</v>
      </c>
      <c r="D1857" s="54" t="s">
        <v>1823</v>
      </c>
      <c r="F1857" s="54" t="s">
        <v>4393</v>
      </c>
    </row>
    <row r="1858" spans="1:6" hidden="1">
      <c r="A1858" s="1659" t="s">
        <v>5790</v>
      </c>
      <c r="C1858" s="1659" t="s">
        <v>5791</v>
      </c>
      <c r="D1858" s="54" t="s">
        <v>1823</v>
      </c>
      <c r="F1858" s="54" t="s">
        <v>4393</v>
      </c>
    </row>
    <row r="1859" spans="1:6" hidden="1">
      <c r="A1859" s="1659" t="s">
        <v>5792</v>
      </c>
      <c r="C1859" s="1659" t="s">
        <v>5793</v>
      </c>
      <c r="D1859" s="54" t="s">
        <v>1823</v>
      </c>
      <c r="F1859" s="54" t="s">
        <v>4393</v>
      </c>
    </row>
    <row r="1860" spans="1:6" hidden="1">
      <c r="A1860" s="1659" t="s">
        <v>5799</v>
      </c>
      <c r="C1860" s="1659" t="s">
        <v>4978</v>
      </c>
      <c r="D1860" s="54" t="s">
        <v>3566</v>
      </c>
      <c r="F1860" s="54">
        <v>50</v>
      </c>
    </row>
    <row r="1861" spans="1:6" hidden="1">
      <c r="A1861" s="1659" t="s">
        <v>5801</v>
      </c>
      <c r="C1861" s="1659" t="s">
        <v>5802</v>
      </c>
      <c r="D1861" s="54" t="s">
        <v>2555</v>
      </c>
      <c r="F1861" s="54" t="s">
        <v>4393</v>
      </c>
    </row>
    <row r="1862" spans="1:6" hidden="1">
      <c r="A1862" s="1659" t="s">
        <v>5803</v>
      </c>
      <c r="C1862" s="1659" t="s">
        <v>5804</v>
      </c>
      <c r="D1862" s="54" t="s">
        <v>2555</v>
      </c>
      <c r="F1862" s="54" t="s">
        <v>4393</v>
      </c>
    </row>
    <row r="1863" spans="1:6" hidden="1">
      <c r="A1863" s="1659" t="s">
        <v>5806</v>
      </c>
      <c r="C1863" s="1659" t="s">
        <v>5807</v>
      </c>
      <c r="D1863" s="54" t="s">
        <v>2555</v>
      </c>
      <c r="F1863" s="54" t="s">
        <v>4393</v>
      </c>
    </row>
    <row r="1864" spans="1:6" hidden="1">
      <c r="A1864" s="1659" t="s">
        <v>5808</v>
      </c>
      <c r="C1864" s="1659" t="s">
        <v>5809</v>
      </c>
      <c r="D1864" s="54" t="s">
        <v>2555</v>
      </c>
      <c r="F1864" s="54">
        <v>50</v>
      </c>
    </row>
    <row r="1865" spans="1:6" hidden="1">
      <c r="A1865" s="1659" t="s">
        <v>5810</v>
      </c>
      <c r="C1865" s="1659" t="s">
        <v>5811</v>
      </c>
      <c r="D1865" s="54" t="s">
        <v>2555</v>
      </c>
      <c r="F1865" s="54" t="s">
        <v>4393</v>
      </c>
    </row>
    <row r="1866" spans="1:6" hidden="1">
      <c r="A1866" s="1659" t="s">
        <v>5812</v>
      </c>
      <c r="C1866" s="1659" t="s">
        <v>5813</v>
      </c>
      <c r="D1866" s="54" t="s">
        <v>2555</v>
      </c>
      <c r="F1866" s="54">
        <v>50</v>
      </c>
    </row>
    <row r="1867" spans="1:6" hidden="1">
      <c r="A1867" s="1659" t="s">
        <v>6469</v>
      </c>
      <c r="C1867" s="1659" t="s">
        <v>6470</v>
      </c>
      <c r="D1867" s="54" t="s">
        <v>2555</v>
      </c>
      <c r="F1867" s="54">
        <v>50</v>
      </c>
    </row>
    <row r="1868" spans="1:6" hidden="1">
      <c r="A1868" s="1659" t="s">
        <v>5814</v>
      </c>
      <c r="C1868" s="1659" t="s">
        <v>5815</v>
      </c>
      <c r="D1868" s="54" t="s">
        <v>4648</v>
      </c>
      <c r="F1868" s="54" t="s">
        <v>4393</v>
      </c>
    </row>
    <row r="1869" spans="1:6" hidden="1">
      <c r="A1869" s="1659" t="s">
        <v>5816</v>
      </c>
      <c r="C1869" s="1659" t="s">
        <v>5817</v>
      </c>
      <c r="D1869" s="54" t="s">
        <v>4648</v>
      </c>
      <c r="F1869" s="54" t="s">
        <v>4393</v>
      </c>
    </row>
    <row r="1870" spans="1:6" hidden="1">
      <c r="A1870" s="1659" t="s">
        <v>5818</v>
      </c>
      <c r="C1870" s="1659" t="s">
        <v>5819</v>
      </c>
      <c r="D1870" s="54" t="s">
        <v>4648</v>
      </c>
      <c r="F1870" s="54" t="s">
        <v>4393</v>
      </c>
    </row>
    <row r="1871" spans="1:6" hidden="1">
      <c r="A1871" s="1659" t="s">
        <v>5820</v>
      </c>
      <c r="C1871" s="1659" t="s">
        <v>5821</v>
      </c>
      <c r="D1871" s="54" t="s">
        <v>4648</v>
      </c>
      <c r="F1871" s="54" t="s">
        <v>4393</v>
      </c>
    </row>
    <row r="1872" spans="1:6" hidden="1">
      <c r="A1872" s="1659" t="s">
        <v>5822</v>
      </c>
      <c r="C1872" s="1659" t="s">
        <v>5823</v>
      </c>
      <c r="D1872" s="54" t="s">
        <v>4648</v>
      </c>
      <c r="F1872" s="54" t="s">
        <v>4393</v>
      </c>
    </row>
    <row r="1873" spans="1:6" hidden="1">
      <c r="A1873" s="1659" t="s">
        <v>5824</v>
      </c>
      <c r="C1873" s="1659" t="s">
        <v>5825</v>
      </c>
      <c r="D1873" s="54" t="s">
        <v>4648</v>
      </c>
      <c r="F1873" s="54" t="s">
        <v>4393</v>
      </c>
    </row>
    <row r="1874" spans="1:6" hidden="1">
      <c r="A1874" s="1659" t="s">
        <v>5826</v>
      </c>
      <c r="C1874" s="1659" t="s">
        <v>5827</v>
      </c>
      <c r="D1874" s="54" t="s">
        <v>4648</v>
      </c>
      <c r="F1874" s="54" t="s">
        <v>4393</v>
      </c>
    </row>
    <row r="1875" spans="1:6" hidden="1">
      <c r="A1875" s="1659" t="s">
        <v>5828</v>
      </c>
      <c r="C1875" s="1659" t="s">
        <v>5829</v>
      </c>
      <c r="D1875" s="54" t="s">
        <v>4648</v>
      </c>
      <c r="F1875" s="54" t="s">
        <v>4393</v>
      </c>
    </row>
    <row r="1876" spans="1:6" hidden="1">
      <c r="A1876" s="1659" t="s">
        <v>5830</v>
      </c>
      <c r="C1876" s="1659" t="s">
        <v>5831</v>
      </c>
      <c r="D1876" s="54" t="s">
        <v>4648</v>
      </c>
      <c r="F1876" s="54" t="s">
        <v>4393</v>
      </c>
    </row>
    <row r="1877" spans="1:6" hidden="1">
      <c r="A1877" s="1659" t="s">
        <v>5832</v>
      </c>
      <c r="C1877" s="1659" t="s">
        <v>5833</v>
      </c>
      <c r="D1877" s="54" t="s">
        <v>4648</v>
      </c>
      <c r="F1877" s="54" t="s">
        <v>4393</v>
      </c>
    </row>
    <row r="1878" spans="1:6" hidden="1">
      <c r="A1878" s="1659" t="s">
        <v>5834</v>
      </c>
      <c r="C1878" s="1659" t="s">
        <v>5835</v>
      </c>
      <c r="D1878" s="54" t="s">
        <v>2248</v>
      </c>
      <c r="F1878" s="54" t="s">
        <v>4393</v>
      </c>
    </row>
    <row r="1879" spans="1:6" hidden="1">
      <c r="A1879" s="1659" t="s">
        <v>5838</v>
      </c>
      <c r="C1879" s="1659" t="s">
        <v>5839</v>
      </c>
      <c r="D1879" s="54" t="s">
        <v>2248</v>
      </c>
      <c r="F1879" s="54" t="s">
        <v>4393</v>
      </c>
    </row>
    <row r="1880" spans="1:6" hidden="1">
      <c r="A1880" s="1659" t="s">
        <v>5840</v>
      </c>
      <c r="C1880" s="1659" t="s">
        <v>5841</v>
      </c>
      <c r="D1880" s="54" t="s">
        <v>2248</v>
      </c>
      <c r="F1880" s="54" t="s">
        <v>4393</v>
      </c>
    </row>
    <row r="1881" spans="1:6" hidden="1">
      <c r="A1881" s="1659" t="s">
        <v>5842</v>
      </c>
      <c r="C1881" s="1659" t="s">
        <v>5843</v>
      </c>
      <c r="D1881" s="54" t="s">
        <v>2248</v>
      </c>
      <c r="F1881" s="54" t="s">
        <v>4393</v>
      </c>
    </row>
    <row r="1882" spans="1:6" hidden="1">
      <c r="A1882" s="1659" t="s">
        <v>5844</v>
      </c>
      <c r="C1882" s="1659" t="s">
        <v>5845</v>
      </c>
      <c r="D1882" s="54" t="s">
        <v>2248</v>
      </c>
      <c r="F1882" s="54" t="s">
        <v>4393</v>
      </c>
    </row>
    <row r="1883" spans="1:6" hidden="1">
      <c r="A1883" s="1659" t="s">
        <v>5846</v>
      </c>
      <c r="C1883" s="1659" t="s">
        <v>5847</v>
      </c>
      <c r="D1883" s="54" t="s">
        <v>2248</v>
      </c>
      <c r="F1883" s="54" t="s">
        <v>4393</v>
      </c>
    </row>
    <row r="1884" spans="1:6" hidden="1">
      <c r="A1884" s="1659" t="s">
        <v>5848</v>
      </c>
      <c r="C1884" s="1659" t="s">
        <v>5849</v>
      </c>
      <c r="D1884" s="54" t="s">
        <v>2248</v>
      </c>
      <c r="F1884" s="54" t="s">
        <v>4393</v>
      </c>
    </row>
    <row r="1885" spans="1:6" hidden="1">
      <c r="A1885" s="1659" t="s">
        <v>5850</v>
      </c>
      <c r="C1885" s="1659" t="s">
        <v>5851</v>
      </c>
      <c r="D1885" s="54" t="s">
        <v>2248</v>
      </c>
      <c r="F1885" s="54" t="s">
        <v>4393</v>
      </c>
    </row>
    <row r="1886" spans="1:6" hidden="1">
      <c r="A1886" s="1659" t="s">
        <v>5852</v>
      </c>
      <c r="C1886" s="1659" t="s">
        <v>5853</v>
      </c>
      <c r="D1886" s="54" t="s">
        <v>2248</v>
      </c>
      <c r="F1886" s="54" t="s">
        <v>4393</v>
      </c>
    </row>
    <row r="1887" spans="1:6" hidden="1">
      <c r="A1887" s="1659" t="s">
        <v>5854</v>
      </c>
      <c r="C1887" s="1659" t="s">
        <v>5855</v>
      </c>
      <c r="D1887" s="54" t="s">
        <v>2248</v>
      </c>
      <c r="F1887" s="54" t="s">
        <v>4393</v>
      </c>
    </row>
    <row r="1888" spans="1:6" hidden="1">
      <c r="A1888" s="1659" t="s">
        <v>5856</v>
      </c>
      <c r="C1888" s="1659" t="s">
        <v>5857</v>
      </c>
      <c r="D1888" s="54" t="s">
        <v>2248</v>
      </c>
      <c r="F1888" s="54" t="s">
        <v>4393</v>
      </c>
    </row>
    <row r="1889" spans="1:6" hidden="1">
      <c r="A1889" s="1659" t="s">
        <v>5858</v>
      </c>
      <c r="C1889" s="1659" t="s">
        <v>5859</v>
      </c>
      <c r="D1889" s="54" t="s">
        <v>2248</v>
      </c>
      <c r="F1889" s="54" t="s">
        <v>4393</v>
      </c>
    </row>
    <row r="1890" spans="1:6" hidden="1">
      <c r="A1890" s="1659" t="s">
        <v>5860</v>
      </c>
      <c r="C1890" s="1659" t="s">
        <v>5861</v>
      </c>
      <c r="D1890" s="54" t="s">
        <v>2248</v>
      </c>
      <c r="F1890" s="54" t="s">
        <v>4393</v>
      </c>
    </row>
    <row r="1891" spans="1:6" hidden="1">
      <c r="A1891" s="1659" t="s">
        <v>5862</v>
      </c>
      <c r="C1891" s="1659" t="s">
        <v>5863</v>
      </c>
      <c r="D1891" s="54" t="s">
        <v>2248</v>
      </c>
      <c r="F1891" s="54" t="s">
        <v>4393</v>
      </c>
    </row>
    <row r="1892" spans="1:6" hidden="1">
      <c r="A1892" s="1659" t="s">
        <v>5864</v>
      </c>
      <c r="C1892" s="1659" t="s">
        <v>5865</v>
      </c>
      <c r="D1892" s="54" t="s">
        <v>2248</v>
      </c>
      <c r="F1892" s="54" t="s">
        <v>4393</v>
      </c>
    </row>
    <row r="1893" spans="1:6" hidden="1">
      <c r="A1893" s="1659" t="s">
        <v>5866</v>
      </c>
      <c r="C1893" s="1659" t="s">
        <v>5867</v>
      </c>
      <c r="D1893" s="54" t="s">
        <v>2248</v>
      </c>
      <c r="F1893" s="54" t="s">
        <v>4393</v>
      </c>
    </row>
    <row r="1894" spans="1:6" hidden="1">
      <c r="A1894" s="1659" t="s">
        <v>5869</v>
      </c>
      <c r="C1894" s="1659" t="s">
        <v>5870</v>
      </c>
      <c r="D1894" s="54" t="s">
        <v>2555</v>
      </c>
      <c r="F1894" s="54" t="s">
        <v>4393</v>
      </c>
    </row>
    <row r="1895" spans="1:6" hidden="1">
      <c r="A1895" s="1659" t="s">
        <v>5871</v>
      </c>
      <c r="C1895" s="1659" t="s">
        <v>5872</v>
      </c>
      <c r="D1895" s="54" t="s">
        <v>2555</v>
      </c>
      <c r="F1895" s="54" t="s">
        <v>4393</v>
      </c>
    </row>
    <row r="1896" spans="1:6" hidden="1">
      <c r="A1896" s="1659" t="s">
        <v>5873</v>
      </c>
      <c r="C1896" s="1659" t="s">
        <v>5874</v>
      </c>
      <c r="D1896" s="54" t="s">
        <v>2555</v>
      </c>
      <c r="F1896" s="54" t="s">
        <v>4393</v>
      </c>
    </row>
    <row r="1897" spans="1:6" hidden="1">
      <c r="A1897" s="1659" t="s">
        <v>5875</v>
      </c>
      <c r="C1897" s="1659" t="s">
        <v>5876</v>
      </c>
      <c r="D1897" s="54" t="s">
        <v>2555</v>
      </c>
      <c r="F1897" s="54" t="s">
        <v>4393</v>
      </c>
    </row>
    <row r="1898" spans="1:6" hidden="1">
      <c r="A1898" s="1659" t="s">
        <v>5877</v>
      </c>
      <c r="C1898" s="1659" t="s">
        <v>5878</v>
      </c>
      <c r="D1898" s="54" t="s">
        <v>2555</v>
      </c>
      <c r="F1898" s="54" t="s">
        <v>4393</v>
      </c>
    </row>
    <row r="1899" spans="1:6" hidden="1">
      <c r="A1899" s="1659" t="s">
        <v>5879</v>
      </c>
      <c r="C1899" s="1659" t="s">
        <v>5880</v>
      </c>
      <c r="D1899" s="54" t="s">
        <v>2555</v>
      </c>
      <c r="F1899" s="54" t="s">
        <v>4393</v>
      </c>
    </row>
    <row r="1900" spans="1:6" hidden="1">
      <c r="A1900" s="1659" t="s">
        <v>5881</v>
      </c>
      <c r="B1900" s="1653" t="s">
        <v>581</v>
      </c>
      <c r="C1900" s="1659" t="s">
        <v>3620</v>
      </c>
      <c r="D1900" s="54" t="s">
        <v>2037</v>
      </c>
      <c r="F1900" s="54" t="s">
        <v>4393</v>
      </c>
    </row>
    <row r="1901" spans="1:6" hidden="1">
      <c r="A1901" s="1659" t="s">
        <v>5882</v>
      </c>
      <c r="B1901" s="1653" t="s">
        <v>773</v>
      </c>
      <c r="C1901" s="1659" t="s">
        <v>3621</v>
      </c>
      <c r="D1901" s="54" t="s">
        <v>2037</v>
      </c>
      <c r="F1901" s="54" t="s">
        <v>4393</v>
      </c>
    </row>
    <row r="1902" spans="1:6" hidden="1">
      <c r="A1902" s="1659" t="s">
        <v>5883</v>
      </c>
      <c r="B1902" s="1653" t="s">
        <v>775</v>
      </c>
      <c r="C1902" s="1659" t="s">
        <v>3622</v>
      </c>
      <c r="D1902" s="54" t="s">
        <v>2037</v>
      </c>
      <c r="F1902" s="54" t="s">
        <v>4393</v>
      </c>
    </row>
    <row r="1903" spans="1:6" hidden="1">
      <c r="A1903" s="1659" t="s">
        <v>5884</v>
      </c>
      <c r="B1903" s="1653" t="s">
        <v>775</v>
      </c>
      <c r="C1903" s="1659" t="s">
        <v>3623</v>
      </c>
      <c r="D1903" s="54" t="s">
        <v>2037</v>
      </c>
      <c r="F1903" s="54" t="s">
        <v>4393</v>
      </c>
    </row>
    <row r="1904" spans="1:6" hidden="1">
      <c r="A1904" s="1659" t="s">
        <v>5885</v>
      </c>
      <c r="B1904" s="1653" t="s">
        <v>775</v>
      </c>
      <c r="C1904" s="1659" t="s">
        <v>3624</v>
      </c>
      <c r="D1904" s="54" t="s">
        <v>2037</v>
      </c>
      <c r="F1904" s="54" t="s">
        <v>4393</v>
      </c>
    </row>
    <row r="1905" spans="1:6" hidden="1">
      <c r="A1905" s="1659" t="s">
        <v>5886</v>
      </c>
      <c r="B1905" s="1653" t="s">
        <v>775</v>
      </c>
      <c r="C1905" s="1659" t="s">
        <v>3625</v>
      </c>
      <c r="D1905" s="54" t="s">
        <v>2037</v>
      </c>
      <c r="F1905" s="54" t="s">
        <v>4393</v>
      </c>
    </row>
    <row r="1906" spans="1:6" hidden="1">
      <c r="A1906" s="1659" t="s">
        <v>5887</v>
      </c>
      <c r="B1906" s="1653" t="s">
        <v>775</v>
      </c>
      <c r="C1906" s="1659" t="s">
        <v>3626</v>
      </c>
      <c r="D1906" s="54" t="s">
        <v>2037</v>
      </c>
      <c r="F1906" s="54" t="s">
        <v>4393</v>
      </c>
    </row>
    <row r="1907" spans="1:6" hidden="1">
      <c r="A1907" s="1659" t="s">
        <v>5888</v>
      </c>
      <c r="C1907" s="1659" t="s">
        <v>5889</v>
      </c>
      <c r="D1907" s="54" t="s">
        <v>2555</v>
      </c>
      <c r="F1907" s="54" t="s">
        <v>4393</v>
      </c>
    </row>
    <row r="1908" spans="1:6" hidden="1">
      <c r="A1908" s="1659">
        <v>3</v>
      </c>
      <c r="B1908" s="1653" t="s">
        <v>5890</v>
      </c>
      <c r="C1908" s="1659">
        <v>9</v>
      </c>
      <c r="D1908" s="54">
        <v>12</v>
      </c>
      <c r="F1908" s="54" t="s">
        <v>4393</v>
      </c>
    </row>
    <row r="1909" spans="1:6" hidden="1">
      <c r="F1909" s="54">
        <v>3000</v>
      </c>
    </row>
    <row r="1910" spans="1:6" hidden="1">
      <c r="A1910" s="1659" t="s">
        <v>5891</v>
      </c>
      <c r="B1910" s="1653" t="s">
        <v>5892</v>
      </c>
      <c r="C1910" s="1659" t="s">
        <v>5893</v>
      </c>
      <c r="D1910" s="54" t="s">
        <v>2555</v>
      </c>
      <c r="F1910" s="54">
        <v>3000</v>
      </c>
    </row>
    <row r="1911" spans="1:6" hidden="1">
      <c r="A1911" s="1659" t="s">
        <v>5894</v>
      </c>
      <c r="B1911" s="1653" t="s">
        <v>5895</v>
      </c>
      <c r="C1911" s="1659" t="s">
        <v>5896</v>
      </c>
      <c r="D1911" s="54" t="s">
        <v>2555</v>
      </c>
      <c r="F1911" s="54" t="s">
        <v>4393</v>
      </c>
    </row>
    <row r="1912" spans="1:6" hidden="1">
      <c r="A1912" s="1659" t="s">
        <v>5897</v>
      </c>
      <c r="B1912" s="1653" t="s">
        <v>5898</v>
      </c>
      <c r="C1912" s="1659" t="s">
        <v>5899</v>
      </c>
      <c r="D1912" s="54" t="s">
        <v>2555</v>
      </c>
      <c r="F1912" s="54" t="s">
        <v>4393</v>
      </c>
    </row>
    <row r="1913" spans="1:6" hidden="1">
      <c r="A1913" s="1659" t="s">
        <v>5900</v>
      </c>
      <c r="B1913" s="1653" t="s">
        <v>5901</v>
      </c>
      <c r="C1913" s="1659" t="s">
        <v>5902</v>
      </c>
      <c r="D1913" s="54" t="s">
        <v>2555</v>
      </c>
      <c r="F1913" s="54" t="s">
        <v>4393</v>
      </c>
    </row>
    <row r="1914" spans="1:6" hidden="1">
      <c r="A1914" s="1659" t="s">
        <v>5903</v>
      </c>
      <c r="B1914" s="1653" t="s">
        <v>5904</v>
      </c>
      <c r="C1914" s="1659" t="s">
        <v>5905</v>
      </c>
      <c r="D1914" s="54" t="s">
        <v>2555</v>
      </c>
      <c r="F1914" s="54" t="s">
        <v>4393</v>
      </c>
    </row>
    <row r="1915" spans="1:6" hidden="1">
      <c r="A1915" s="1659" t="s">
        <v>5906</v>
      </c>
      <c r="B1915" s="1653" t="s">
        <v>5907</v>
      </c>
      <c r="C1915" s="1659" t="s">
        <v>5908</v>
      </c>
      <c r="D1915" s="54" t="s">
        <v>2555</v>
      </c>
      <c r="F1915" s="54" t="s">
        <v>4393</v>
      </c>
    </row>
    <row r="1916" spans="1:6" hidden="1">
      <c r="A1916" s="1659" t="s">
        <v>5909</v>
      </c>
      <c r="B1916" s="1653" t="s">
        <v>5892</v>
      </c>
      <c r="C1916" s="1659" t="s">
        <v>5910</v>
      </c>
      <c r="D1916" s="54" t="s">
        <v>2555</v>
      </c>
      <c r="F1916" s="54">
        <v>3000</v>
      </c>
    </row>
    <row r="1917" spans="1:6" hidden="1">
      <c r="A1917" s="1659" t="s">
        <v>5911</v>
      </c>
      <c r="B1917" s="1653" t="s">
        <v>5895</v>
      </c>
      <c r="C1917" s="1659" t="s">
        <v>5912</v>
      </c>
      <c r="D1917" s="54" t="s">
        <v>2555</v>
      </c>
      <c r="F1917" s="54" t="s">
        <v>4393</v>
      </c>
    </row>
    <row r="1918" spans="1:6" hidden="1">
      <c r="A1918" s="1659" t="s">
        <v>5913</v>
      </c>
      <c r="B1918" s="1653" t="s">
        <v>5898</v>
      </c>
      <c r="C1918" s="1659" t="s">
        <v>5914</v>
      </c>
      <c r="D1918" s="54" t="s">
        <v>2555</v>
      </c>
      <c r="F1918" s="54" t="s">
        <v>4393</v>
      </c>
    </row>
    <row r="1919" spans="1:6" hidden="1">
      <c r="A1919" s="1659" t="s">
        <v>5915</v>
      </c>
      <c r="B1919" s="1653" t="s">
        <v>5901</v>
      </c>
      <c r="C1919" s="1659" t="s">
        <v>5916</v>
      </c>
      <c r="D1919" s="54" t="s">
        <v>2555</v>
      </c>
      <c r="F1919" s="54" t="s">
        <v>4393</v>
      </c>
    </row>
    <row r="1920" spans="1:6" hidden="1">
      <c r="A1920" s="1659" t="s">
        <v>5917</v>
      </c>
      <c r="B1920" s="1653" t="s">
        <v>5904</v>
      </c>
      <c r="C1920" s="1659" t="s">
        <v>5918</v>
      </c>
      <c r="D1920" s="54" t="s">
        <v>2555</v>
      </c>
      <c r="F1920" s="54" t="s">
        <v>4393</v>
      </c>
    </row>
    <row r="1921" spans="1:6" hidden="1">
      <c r="A1921" s="1659" t="s">
        <v>5919</v>
      </c>
      <c r="B1921" s="1653" t="s">
        <v>5907</v>
      </c>
      <c r="C1921" s="1659" t="s">
        <v>5920</v>
      </c>
      <c r="D1921" s="54" t="s">
        <v>2555</v>
      </c>
      <c r="F1921" s="54" t="s">
        <v>4393</v>
      </c>
    </row>
    <row r="1922" spans="1:6" hidden="1">
      <c r="A1922" s="1659" t="s">
        <v>5921</v>
      </c>
      <c r="B1922" s="1653" t="s">
        <v>5922</v>
      </c>
      <c r="C1922" s="1659" t="s">
        <v>5923</v>
      </c>
      <c r="D1922" s="54" t="s">
        <v>2555</v>
      </c>
      <c r="F1922" s="54" t="s">
        <v>4393</v>
      </c>
    </row>
    <row r="1923" spans="1:6" hidden="1">
      <c r="A1923" s="1659" t="s">
        <v>5924</v>
      </c>
      <c r="B1923" s="1653" t="s">
        <v>5925</v>
      </c>
      <c r="C1923" s="1659" t="s">
        <v>5926</v>
      </c>
      <c r="D1923" s="54" t="s">
        <v>2555</v>
      </c>
      <c r="F1923" s="54" t="s">
        <v>4393</v>
      </c>
    </row>
    <row r="1924" spans="1:6" hidden="1">
      <c r="A1924" s="1659" t="s">
        <v>5927</v>
      </c>
      <c r="B1924" s="1653" t="s">
        <v>5928</v>
      </c>
      <c r="C1924" s="1659" t="s">
        <v>5929</v>
      </c>
      <c r="D1924" s="54" t="s">
        <v>4140</v>
      </c>
      <c r="F1924" s="54" t="s">
        <v>4393</v>
      </c>
    </row>
    <row r="1925" spans="1:6" hidden="1">
      <c r="A1925" s="1659" t="s">
        <v>5930</v>
      </c>
      <c r="B1925" s="1653" t="s">
        <v>5922</v>
      </c>
      <c r="C1925" s="1659" t="s">
        <v>5931</v>
      </c>
      <c r="D1925" s="54" t="s">
        <v>2555</v>
      </c>
      <c r="F1925" s="54" t="s">
        <v>4393</v>
      </c>
    </row>
    <row r="1926" spans="1:6" hidden="1">
      <c r="A1926" s="1659" t="s">
        <v>5932</v>
      </c>
      <c r="B1926" s="1653" t="s">
        <v>5925</v>
      </c>
      <c r="C1926" s="1659" t="s">
        <v>5933</v>
      </c>
      <c r="D1926" s="54" t="s">
        <v>2555</v>
      </c>
      <c r="F1926" s="54" t="s">
        <v>4393</v>
      </c>
    </row>
    <row r="1927" spans="1:6" hidden="1">
      <c r="A1927" s="1659" t="s">
        <v>5934</v>
      </c>
      <c r="B1927" s="1653" t="s">
        <v>5928</v>
      </c>
      <c r="C1927" s="1659" t="s">
        <v>5935</v>
      </c>
      <c r="D1927" s="54" t="s">
        <v>2555</v>
      </c>
      <c r="F1927" s="54" t="s">
        <v>4393</v>
      </c>
    </row>
    <row r="1928" spans="1:6" hidden="1">
      <c r="A1928" s="1659" t="s">
        <v>5936</v>
      </c>
      <c r="B1928" s="1653" t="s">
        <v>5928</v>
      </c>
      <c r="C1928" s="1659" t="s">
        <v>5937</v>
      </c>
      <c r="D1928" s="54" t="s">
        <v>4140</v>
      </c>
      <c r="F1928" s="54" t="s">
        <v>4393</v>
      </c>
    </row>
    <row r="1929" spans="1:6" hidden="1">
      <c r="A1929" s="1659" t="s">
        <v>5938</v>
      </c>
      <c r="B1929" s="1653" t="s">
        <v>5928</v>
      </c>
      <c r="C1929" s="1659" t="s">
        <v>5939</v>
      </c>
      <c r="D1929" s="54" t="s">
        <v>4140</v>
      </c>
      <c r="F1929" s="54" t="s">
        <v>4393</v>
      </c>
    </row>
    <row r="1930" spans="1:6" hidden="1">
      <c r="A1930" s="1659" t="s">
        <v>5940</v>
      </c>
      <c r="B1930" s="1653" t="s">
        <v>5941</v>
      </c>
      <c r="C1930" s="1659" t="s">
        <v>5942</v>
      </c>
      <c r="D1930" s="54" t="s">
        <v>3300</v>
      </c>
      <c r="F1930" s="54" t="s">
        <v>4393</v>
      </c>
    </row>
    <row r="1931" spans="1:6" hidden="1">
      <c r="A1931" s="1659" t="s">
        <v>5943</v>
      </c>
      <c r="B1931" s="1653" t="s">
        <v>5944</v>
      </c>
      <c r="C1931" s="1659" t="s">
        <v>5945</v>
      </c>
      <c r="D1931" s="54" t="s">
        <v>3300</v>
      </c>
      <c r="F1931" s="54" t="s">
        <v>4393</v>
      </c>
    </row>
    <row r="1932" spans="1:6" hidden="1">
      <c r="A1932" s="1659" t="s">
        <v>5946</v>
      </c>
      <c r="B1932" s="1653" t="s">
        <v>5588</v>
      </c>
      <c r="C1932" s="1659" t="s">
        <v>5947</v>
      </c>
      <c r="D1932" s="54" t="s">
        <v>3300</v>
      </c>
      <c r="F1932" s="54" t="s">
        <v>4393</v>
      </c>
    </row>
    <row r="1933" spans="1:6" hidden="1">
      <c r="A1933" s="1659" t="s">
        <v>5948</v>
      </c>
      <c r="B1933" s="1653" t="s">
        <v>5589</v>
      </c>
      <c r="C1933" s="1659" t="s">
        <v>5949</v>
      </c>
      <c r="D1933" s="54" t="s">
        <v>3300</v>
      </c>
      <c r="F1933" s="54" t="s">
        <v>4393</v>
      </c>
    </row>
    <row r="1934" spans="1:6" hidden="1">
      <c r="A1934" s="1659" t="s">
        <v>5950</v>
      </c>
      <c r="B1934" s="1653" t="s">
        <v>5590</v>
      </c>
      <c r="C1934" s="1659" t="s">
        <v>5951</v>
      </c>
      <c r="D1934" s="54" t="s">
        <v>3300</v>
      </c>
      <c r="F1934" s="54" t="s">
        <v>4393</v>
      </c>
    </row>
    <row r="1935" spans="1:6" hidden="1">
      <c r="A1935" s="1659" t="s">
        <v>5952</v>
      </c>
      <c r="B1935" s="1653" t="s">
        <v>5591</v>
      </c>
      <c r="C1935" s="1659" t="s">
        <v>5953</v>
      </c>
      <c r="D1935" s="54" t="s">
        <v>3300</v>
      </c>
      <c r="F1935" s="54" t="s">
        <v>4393</v>
      </c>
    </row>
    <row r="1936" spans="1:6" hidden="1">
      <c r="A1936" s="1659" t="s">
        <v>5954</v>
      </c>
      <c r="B1936" s="1653" t="s">
        <v>5592</v>
      </c>
      <c r="C1936" s="1659" t="s">
        <v>5955</v>
      </c>
      <c r="D1936" s="54" t="s">
        <v>3300</v>
      </c>
      <c r="F1936" s="54" t="s">
        <v>4393</v>
      </c>
    </row>
    <row r="1937" spans="1:6" hidden="1">
      <c r="A1937" s="1659" t="s">
        <v>5956</v>
      </c>
      <c r="B1937" s="1653" t="s">
        <v>5593</v>
      </c>
      <c r="C1937" s="1659" t="s">
        <v>5957</v>
      </c>
      <c r="D1937" s="54" t="s">
        <v>3300</v>
      </c>
      <c r="F1937" s="54" t="s">
        <v>4393</v>
      </c>
    </row>
    <row r="1938" spans="1:6" hidden="1">
      <c r="A1938" s="1659" t="s">
        <v>5958</v>
      </c>
      <c r="B1938" s="1653" t="s">
        <v>5582</v>
      </c>
      <c r="C1938" s="1659" t="s">
        <v>5959</v>
      </c>
      <c r="D1938" s="54" t="s">
        <v>3300</v>
      </c>
      <c r="F1938" s="54" t="s">
        <v>4393</v>
      </c>
    </row>
    <row r="1939" spans="1:6" hidden="1">
      <c r="A1939" s="1659" t="s">
        <v>5960</v>
      </c>
      <c r="B1939" s="1653" t="s">
        <v>5583</v>
      </c>
      <c r="C1939" s="1659" t="s">
        <v>5961</v>
      </c>
      <c r="D1939" s="54" t="s">
        <v>3300</v>
      </c>
      <c r="F1939" s="54" t="s">
        <v>4393</v>
      </c>
    </row>
    <row r="1940" spans="1:6" hidden="1">
      <c r="A1940" s="1659" t="s">
        <v>5962</v>
      </c>
      <c r="B1940" s="1653" t="s">
        <v>5584</v>
      </c>
      <c r="C1940" s="1659" t="s">
        <v>5963</v>
      </c>
      <c r="D1940" s="54" t="s">
        <v>3300</v>
      </c>
      <c r="F1940" s="54" t="s">
        <v>4393</v>
      </c>
    </row>
    <row r="1941" spans="1:6" hidden="1">
      <c r="A1941" s="1659" t="s">
        <v>5964</v>
      </c>
      <c r="B1941" s="1653" t="s">
        <v>5585</v>
      </c>
      <c r="C1941" s="1659" t="s">
        <v>5965</v>
      </c>
      <c r="D1941" s="54" t="s">
        <v>3300</v>
      </c>
      <c r="F1941" s="54" t="s">
        <v>4393</v>
      </c>
    </row>
    <row r="1942" spans="1:6" hidden="1">
      <c r="A1942" s="1659" t="s">
        <v>5966</v>
      </c>
      <c r="B1942" s="1653" t="s">
        <v>5967</v>
      </c>
      <c r="C1942" s="1659" t="s">
        <v>5968</v>
      </c>
      <c r="D1942" s="54" t="s">
        <v>3300</v>
      </c>
      <c r="F1942" s="54" t="s">
        <v>4393</v>
      </c>
    </row>
    <row r="1943" spans="1:6" hidden="1">
      <c r="A1943" s="1659" t="s">
        <v>5969</v>
      </c>
      <c r="B1943" s="1653" t="s">
        <v>5970</v>
      </c>
      <c r="C1943" s="1659" t="s">
        <v>5971</v>
      </c>
      <c r="D1943" s="54" t="s">
        <v>3300</v>
      </c>
      <c r="F1943" s="54" t="s">
        <v>4393</v>
      </c>
    </row>
    <row r="1944" spans="1:6" hidden="1">
      <c r="A1944" s="1659" t="s">
        <v>5972</v>
      </c>
      <c r="B1944" s="1653" t="s">
        <v>5600</v>
      </c>
      <c r="C1944" s="1659" t="s">
        <v>5973</v>
      </c>
      <c r="D1944" s="54" t="s">
        <v>2555</v>
      </c>
      <c r="F1944" s="54" t="s">
        <v>4393</v>
      </c>
    </row>
    <row r="1945" spans="1:6" hidden="1">
      <c r="A1945" s="1659" t="s">
        <v>5974</v>
      </c>
      <c r="B1945" s="1653" t="s">
        <v>5598</v>
      </c>
      <c r="C1945" s="1659" t="s">
        <v>5975</v>
      </c>
      <c r="D1945" s="54" t="s">
        <v>2555</v>
      </c>
      <c r="F1945" s="54" t="s">
        <v>4393</v>
      </c>
    </row>
    <row r="1946" spans="1:6" hidden="1">
      <c r="A1946" s="1659" t="s">
        <v>5976</v>
      </c>
      <c r="B1946" s="1653" t="s">
        <v>5601</v>
      </c>
      <c r="C1946" s="1659" t="s">
        <v>5977</v>
      </c>
      <c r="D1946" s="54" t="s">
        <v>2555</v>
      </c>
      <c r="F1946" s="54" t="s">
        <v>4393</v>
      </c>
    </row>
    <row r="1947" spans="1:6" hidden="1">
      <c r="C1947" s="1659" t="s">
        <v>5978</v>
      </c>
      <c r="F1947" s="54">
        <v>3000</v>
      </c>
    </row>
    <row r="1948" spans="1:6" hidden="1">
      <c r="A1948" s="1659" t="s">
        <v>5979</v>
      </c>
      <c r="B1948" s="1653" t="s">
        <v>5980</v>
      </c>
      <c r="C1948" s="1659" t="s">
        <v>5981</v>
      </c>
      <c r="D1948" s="54" t="s">
        <v>2555</v>
      </c>
      <c r="F1948" s="54" t="s">
        <v>4393</v>
      </c>
    </row>
    <row r="1949" spans="1:6" hidden="1">
      <c r="A1949" s="1659" t="s">
        <v>5982</v>
      </c>
      <c r="B1949" s="1653" t="s">
        <v>5980</v>
      </c>
      <c r="C1949" s="1659" t="s">
        <v>5983</v>
      </c>
      <c r="D1949" s="54" t="s">
        <v>2555</v>
      </c>
      <c r="F1949" s="54" t="s">
        <v>4393</v>
      </c>
    </row>
    <row r="1950" spans="1:6" hidden="1">
      <c r="A1950" s="1659" t="s">
        <v>5984</v>
      </c>
      <c r="B1950" s="1653" t="s">
        <v>5985</v>
      </c>
      <c r="C1950" s="1659" t="s">
        <v>5986</v>
      </c>
      <c r="D1950" s="54" t="s">
        <v>2555</v>
      </c>
      <c r="F1950" s="54" t="s">
        <v>4393</v>
      </c>
    </row>
    <row r="1951" spans="1:6" hidden="1">
      <c r="A1951" s="1659" t="s">
        <v>5987</v>
      </c>
      <c r="B1951" s="1653" t="s">
        <v>5561</v>
      </c>
      <c r="C1951" s="1659" t="s">
        <v>5988</v>
      </c>
      <c r="D1951" s="54" t="s">
        <v>2439</v>
      </c>
      <c r="F1951" s="54" t="s">
        <v>4393</v>
      </c>
    </row>
    <row r="1952" spans="1:6" hidden="1">
      <c r="A1952" s="1659" t="s">
        <v>5989</v>
      </c>
      <c r="B1952" s="1653" t="s">
        <v>5990</v>
      </c>
      <c r="C1952" s="1659" t="s">
        <v>5991</v>
      </c>
      <c r="D1952" s="54" t="s">
        <v>2831</v>
      </c>
      <c r="F1952" s="54" t="s">
        <v>4393</v>
      </c>
    </row>
    <row r="1953" spans="1:6" hidden="1">
      <c r="A1953" s="1659" t="s">
        <v>5992</v>
      </c>
      <c r="B1953" s="1653" t="s">
        <v>5993</v>
      </c>
      <c r="C1953" s="1659" t="s">
        <v>5994</v>
      </c>
      <c r="D1953" s="54" t="s">
        <v>2831</v>
      </c>
      <c r="F1953" s="54" t="s">
        <v>4393</v>
      </c>
    </row>
    <row r="1954" spans="1:6" hidden="1">
      <c r="A1954" s="1659" t="s">
        <v>5995</v>
      </c>
      <c r="B1954" s="1653" t="s">
        <v>5996</v>
      </c>
      <c r="C1954" s="1659" t="s">
        <v>5997</v>
      </c>
      <c r="D1954" s="54" t="s">
        <v>2831</v>
      </c>
      <c r="F1954" s="54" t="s">
        <v>4393</v>
      </c>
    </row>
    <row r="1955" spans="1:6" hidden="1">
      <c r="A1955" s="1659" t="s">
        <v>5998</v>
      </c>
      <c r="B1955" s="1653" t="s">
        <v>5999</v>
      </c>
      <c r="C1955" s="1659" t="s">
        <v>6000</v>
      </c>
      <c r="D1955" s="54" t="s">
        <v>2831</v>
      </c>
      <c r="F1955" s="54" t="s">
        <v>4393</v>
      </c>
    </row>
    <row r="1956" spans="1:6" hidden="1">
      <c r="A1956" s="1659" t="s">
        <v>6001</v>
      </c>
      <c r="B1956" s="1653" t="s">
        <v>6002</v>
      </c>
      <c r="C1956" s="1659" t="s">
        <v>6003</v>
      </c>
      <c r="D1956" s="54" t="s">
        <v>1823</v>
      </c>
      <c r="F1956" s="54" t="s">
        <v>4393</v>
      </c>
    </row>
    <row r="1957" spans="1:6" hidden="1">
      <c r="A1957" s="1659" t="s">
        <v>6004</v>
      </c>
      <c r="B1957" s="1653" t="s">
        <v>6005</v>
      </c>
      <c r="C1957" s="1659" t="s">
        <v>6006</v>
      </c>
      <c r="D1957" s="54" t="s">
        <v>1823</v>
      </c>
      <c r="F1957" s="54" t="s">
        <v>4393</v>
      </c>
    </row>
    <row r="1958" spans="1:6" hidden="1">
      <c r="A1958" s="1659" t="s">
        <v>6007</v>
      </c>
      <c r="B1958" s="1653" t="s">
        <v>6008</v>
      </c>
      <c r="C1958" s="1659" t="s">
        <v>6009</v>
      </c>
      <c r="D1958" s="54" t="s">
        <v>1823</v>
      </c>
      <c r="F1958" s="54" t="s">
        <v>4393</v>
      </c>
    </row>
    <row r="1959" spans="1:6" hidden="1">
      <c r="A1959" s="1659" t="s">
        <v>6010</v>
      </c>
      <c r="B1959" s="1653" t="s">
        <v>6011</v>
      </c>
      <c r="C1959" s="1659" t="s">
        <v>6012</v>
      </c>
      <c r="D1959" s="54" t="s">
        <v>1823</v>
      </c>
      <c r="F1959" s="54" t="s">
        <v>4393</v>
      </c>
    </row>
    <row r="1960" spans="1:6" hidden="1">
      <c r="A1960" s="1659" t="s">
        <v>6013</v>
      </c>
      <c r="B1960" s="1653" t="s">
        <v>6014</v>
      </c>
      <c r="C1960" s="1659" t="s">
        <v>6015</v>
      </c>
      <c r="D1960" s="54" t="s">
        <v>1823</v>
      </c>
      <c r="F1960" s="54" t="s">
        <v>4393</v>
      </c>
    </row>
    <row r="1961" spans="1:6" hidden="1">
      <c r="C1961" s="1659" t="s">
        <v>6016</v>
      </c>
      <c r="D1961" s="54" t="s">
        <v>1823</v>
      </c>
      <c r="F1961" s="54">
        <v>3000</v>
      </c>
    </row>
    <row r="1962" spans="1:6" hidden="1">
      <c r="A1962" s="1659" t="s">
        <v>6017</v>
      </c>
      <c r="B1962" s="1653" t="s">
        <v>6018</v>
      </c>
      <c r="C1962" s="1659" t="s">
        <v>6019</v>
      </c>
      <c r="D1962" s="54" t="s">
        <v>1823</v>
      </c>
      <c r="F1962" s="54" t="s">
        <v>4393</v>
      </c>
    </row>
    <row r="1963" spans="1:6" hidden="1">
      <c r="A1963" s="1659" t="s">
        <v>6020</v>
      </c>
      <c r="B1963" s="1653" t="s">
        <v>6021</v>
      </c>
      <c r="C1963" s="1659" t="s">
        <v>6022</v>
      </c>
      <c r="D1963" s="54" t="s">
        <v>1823</v>
      </c>
      <c r="F1963" s="54" t="s">
        <v>4393</v>
      </c>
    </row>
    <row r="1964" spans="1:6" hidden="1">
      <c r="A1964" s="1659" t="s">
        <v>6023</v>
      </c>
      <c r="B1964" s="1653" t="s">
        <v>6024</v>
      </c>
      <c r="C1964" s="1659" t="s">
        <v>6025</v>
      </c>
      <c r="D1964" s="54" t="s">
        <v>1823</v>
      </c>
      <c r="F1964" s="54" t="s">
        <v>4393</v>
      </c>
    </row>
    <row r="1965" spans="1:6" hidden="1">
      <c r="A1965" s="1659" t="s">
        <v>6026</v>
      </c>
      <c r="B1965" s="1653" t="s">
        <v>6027</v>
      </c>
      <c r="C1965" s="1659" t="s">
        <v>6028</v>
      </c>
      <c r="D1965" s="54" t="s">
        <v>1823</v>
      </c>
      <c r="F1965" s="54" t="s">
        <v>4393</v>
      </c>
    </row>
    <row r="1966" spans="1:6" hidden="1">
      <c r="A1966" s="1659" t="s">
        <v>6029</v>
      </c>
      <c r="B1966" s="1653" t="s">
        <v>6030</v>
      </c>
      <c r="C1966" s="1659" t="s">
        <v>6031</v>
      </c>
      <c r="D1966" s="54" t="s">
        <v>1823</v>
      </c>
      <c r="F1966" s="54" t="s">
        <v>4393</v>
      </c>
    </row>
    <row r="1967" spans="1:6" hidden="1">
      <c r="A1967" s="1659" t="s">
        <v>6032</v>
      </c>
      <c r="B1967" s="1653" t="s">
        <v>6033</v>
      </c>
      <c r="C1967" s="1659" t="s">
        <v>6034</v>
      </c>
      <c r="D1967" s="54" t="s">
        <v>1823</v>
      </c>
      <c r="F1967" s="54" t="s">
        <v>4393</v>
      </c>
    </row>
    <row r="1968" spans="1:6" hidden="1">
      <c r="C1968" s="1659" t="s">
        <v>6035</v>
      </c>
      <c r="D1968" s="54" t="s">
        <v>1823</v>
      </c>
      <c r="F1968" s="54">
        <v>3000</v>
      </c>
    </row>
    <row r="1969" spans="1:6" hidden="1">
      <c r="A1969" s="1659" t="s">
        <v>6036</v>
      </c>
      <c r="B1969" s="1653" t="s">
        <v>6037</v>
      </c>
      <c r="C1969" s="1659" t="s">
        <v>6038</v>
      </c>
      <c r="D1969" s="54" t="s">
        <v>1823</v>
      </c>
      <c r="F1969" s="54" t="s">
        <v>4393</v>
      </c>
    </row>
    <row r="1970" spans="1:6" hidden="1">
      <c r="A1970" s="1659" t="s">
        <v>6039</v>
      </c>
      <c r="B1970" s="1653" t="s">
        <v>6040</v>
      </c>
      <c r="C1970" s="1659" t="s">
        <v>6041</v>
      </c>
      <c r="D1970" s="54" t="s">
        <v>1823</v>
      </c>
      <c r="F1970" s="54" t="s">
        <v>4393</v>
      </c>
    </row>
    <row r="1971" spans="1:6" hidden="1">
      <c r="A1971" s="1659" t="s">
        <v>6042</v>
      </c>
      <c r="B1971" s="1653" t="s">
        <v>6043</v>
      </c>
      <c r="C1971" s="1659" t="s">
        <v>6044</v>
      </c>
      <c r="D1971" s="54" t="s">
        <v>1823</v>
      </c>
      <c r="F1971" s="54" t="s">
        <v>4393</v>
      </c>
    </row>
    <row r="1972" spans="1:6" hidden="1">
      <c r="A1972" s="1659" t="s">
        <v>6045</v>
      </c>
      <c r="B1972" s="1653" t="s">
        <v>6046</v>
      </c>
      <c r="C1972" s="1659" t="s">
        <v>6047</v>
      </c>
      <c r="D1972" s="54" t="s">
        <v>1823</v>
      </c>
      <c r="F1972" s="54" t="s">
        <v>4393</v>
      </c>
    </row>
    <row r="1973" spans="1:6" hidden="1">
      <c r="A1973" s="1659" t="s">
        <v>6048</v>
      </c>
      <c r="B1973" s="1653" t="s">
        <v>6049</v>
      </c>
      <c r="C1973" s="1659" t="s">
        <v>6050</v>
      </c>
      <c r="D1973" s="54" t="s">
        <v>1823</v>
      </c>
      <c r="F1973" s="54" t="s">
        <v>4393</v>
      </c>
    </row>
    <row r="1974" spans="1:6" hidden="1">
      <c r="A1974" s="1659" t="s">
        <v>6051</v>
      </c>
      <c r="B1974" s="1653" t="s">
        <v>6052</v>
      </c>
      <c r="C1974" s="1659" t="s">
        <v>6053</v>
      </c>
      <c r="D1974" s="54" t="s">
        <v>1823</v>
      </c>
      <c r="F1974" s="54" t="s">
        <v>4393</v>
      </c>
    </row>
    <row r="1975" spans="1:6" hidden="1">
      <c r="C1975" s="1659" t="s">
        <v>6054</v>
      </c>
      <c r="D1975" s="54" t="s">
        <v>1823</v>
      </c>
      <c r="F1975" s="54">
        <v>3000</v>
      </c>
    </row>
    <row r="1976" spans="1:6" hidden="1">
      <c r="A1976" s="1659" t="s">
        <v>6055</v>
      </c>
      <c r="B1976" s="1653" t="s">
        <v>6056</v>
      </c>
      <c r="C1976" s="1659" t="s">
        <v>6057</v>
      </c>
      <c r="D1976" s="54" t="s">
        <v>1823</v>
      </c>
      <c r="F1976" s="54" t="s">
        <v>4393</v>
      </c>
    </row>
    <row r="1977" spans="1:6" hidden="1">
      <c r="A1977" s="1659" t="s">
        <v>6058</v>
      </c>
      <c r="B1977" s="1653" t="s">
        <v>6059</v>
      </c>
      <c r="C1977" s="1659" t="s">
        <v>6060</v>
      </c>
      <c r="D1977" s="54" t="s">
        <v>1823</v>
      </c>
      <c r="F1977" s="54" t="s">
        <v>4393</v>
      </c>
    </row>
    <row r="1978" spans="1:6" hidden="1">
      <c r="A1978" s="1659" t="s">
        <v>6061</v>
      </c>
      <c r="B1978" s="1653" t="s">
        <v>6062</v>
      </c>
      <c r="C1978" s="1659" t="s">
        <v>6063</v>
      </c>
      <c r="D1978" s="54" t="s">
        <v>1823</v>
      </c>
      <c r="F1978" s="54" t="s">
        <v>4393</v>
      </c>
    </row>
    <row r="1979" spans="1:6" hidden="1">
      <c r="A1979" s="1659" t="s">
        <v>6064</v>
      </c>
      <c r="B1979" s="1653" t="s">
        <v>6065</v>
      </c>
      <c r="C1979" s="1659" t="s">
        <v>6066</v>
      </c>
      <c r="D1979" s="54" t="s">
        <v>1823</v>
      </c>
      <c r="F1979" s="54" t="s">
        <v>4393</v>
      </c>
    </row>
    <row r="1980" spans="1:6" hidden="1">
      <c r="C1980" s="1659" t="s">
        <v>6067</v>
      </c>
      <c r="D1980" s="54" t="s">
        <v>1823</v>
      </c>
      <c r="F1980" s="54">
        <v>3000</v>
      </c>
    </row>
    <row r="1981" spans="1:6" hidden="1">
      <c r="A1981" s="1659" t="s">
        <v>6068</v>
      </c>
      <c r="B1981" s="1653" t="s">
        <v>6069</v>
      </c>
      <c r="C1981" s="1659" t="s">
        <v>6070</v>
      </c>
      <c r="D1981" s="54" t="s">
        <v>1823</v>
      </c>
      <c r="F1981" s="54" t="s">
        <v>4393</v>
      </c>
    </row>
    <row r="1982" spans="1:6" hidden="1">
      <c r="A1982" s="1659" t="s">
        <v>6071</v>
      </c>
      <c r="B1982" s="1653" t="s">
        <v>6072</v>
      </c>
      <c r="C1982" s="1659" t="s">
        <v>6073</v>
      </c>
      <c r="D1982" s="54" t="s">
        <v>1823</v>
      </c>
      <c r="F1982" s="54" t="s">
        <v>4393</v>
      </c>
    </row>
    <row r="1983" spans="1:6" hidden="1">
      <c r="A1983" s="1659" t="s">
        <v>6074</v>
      </c>
      <c r="B1983" s="1653" t="s">
        <v>6075</v>
      </c>
      <c r="C1983" s="1659" t="s">
        <v>6076</v>
      </c>
      <c r="D1983" s="54" t="s">
        <v>1823</v>
      </c>
      <c r="F1983" s="54" t="s">
        <v>4393</v>
      </c>
    </row>
    <row r="1984" spans="1:6" hidden="1">
      <c r="A1984" s="1659" t="s">
        <v>6077</v>
      </c>
      <c r="B1984" s="1653" t="s">
        <v>6078</v>
      </c>
      <c r="C1984" s="1659" t="s">
        <v>6079</v>
      </c>
      <c r="D1984" s="54" t="s">
        <v>1823</v>
      </c>
      <c r="F1984" s="54" t="s">
        <v>4393</v>
      </c>
    </row>
    <row r="1985" spans="1:6" hidden="1">
      <c r="C1985" s="1659" t="s">
        <v>6080</v>
      </c>
      <c r="D1985" s="54" t="s">
        <v>1823</v>
      </c>
      <c r="F1985" s="54">
        <v>3000</v>
      </c>
    </row>
    <row r="1986" spans="1:6" hidden="1">
      <c r="A1986" s="1659" t="s">
        <v>6081</v>
      </c>
      <c r="B1986" s="1653" t="s">
        <v>6018</v>
      </c>
      <c r="C1986" s="1659" t="s">
        <v>6082</v>
      </c>
      <c r="D1986" s="54" t="s">
        <v>1823</v>
      </c>
      <c r="F1986" s="54" t="s">
        <v>4393</v>
      </c>
    </row>
    <row r="1987" spans="1:6" hidden="1">
      <c r="A1987" s="1659" t="s">
        <v>6083</v>
      </c>
      <c r="B1987" s="1653" t="s">
        <v>6018</v>
      </c>
      <c r="C1987" s="1659" t="s">
        <v>6084</v>
      </c>
      <c r="D1987" s="54" t="s">
        <v>1823</v>
      </c>
      <c r="F1987" s="54" t="s">
        <v>4393</v>
      </c>
    </row>
    <row r="1988" spans="1:6" hidden="1">
      <c r="A1988" s="1659" t="s">
        <v>6085</v>
      </c>
      <c r="B1988" s="1653" t="s">
        <v>6018</v>
      </c>
      <c r="C1988" s="1659" t="s">
        <v>6086</v>
      </c>
      <c r="D1988" s="54" t="s">
        <v>1823</v>
      </c>
      <c r="F1988" s="54" t="s">
        <v>4393</v>
      </c>
    </row>
    <row r="1989" spans="1:6" hidden="1">
      <c r="A1989" s="1659" t="s">
        <v>6087</v>
      </c>
      <c r="B1989" s="1653" t="s">
        <v>6018</v>
      </c>
      <c r="C1989" s="1659" t="s">
        <v>6088</v>
      </c>
      <c r="D1989" s="54" t="s">
        <v>1823</v>
      </c>
      <c r="F1989" s="54" t="s">
        <v>4393</v>
      </c>
    </row>
    <row r="1990" spans="1:6" hidden="1">
      <c r="A1990" s="1659" t="s">
        <v>6413</v>
      </c>
      <c r="C1990" s="1659" t="s">
        <v>6236</v>
      </c>
      <c r="D1990" s="54" t="s">
        <v>2385</v>
      </c>
      <c r="F1990" s="54">
        <v>2000</v>
      </c>
    </row>
    <row r="1991" spans="1:6" hidden="1">
      <c r="A1991" s="1659" t="s">
        <v>6414</v>
      </c>
      <c r="C1991" s="1659" t="s">
        <v>6275</v>
      </c>
      <c r="D1991" s="54" t="s">
        <v>2385</v>
      </c>
      <c r="F1991" s="54">
        <v>2000</v>
      </c>
    </row>
    <row r="1992" spans="1:6" hidden="1">
      <c r="A1992" s="1659" t="s">
        <v>6415</v>
      </c>
      <c r="C1992" s="1659" t="s">
        <v>6276</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6464</v>
      </c>
      <c r="C1996" s="1659" t="s">
        <v>4343</v>
      </c>
      <c r="D1996" s="54" t="s">
        <v>2385</v>
      </c>
      <c r="F1996" s="54">
        <v>2000</v>
      </c>
    </row>
    <row r="1997" spans="1:6" hidden="1">
      <c r="C1997" s="1659" t="s">
        <v>4376</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4824</v>
      </c>
      <c r="D2005" s="54" t="s">
        <v>2385</v>
      </c>
    </row>
    <row r="2006" spans="1:6" hidden="1">
      <c r="C2006" s="1659" t="s">
        <v>4825</v>
      </c>
      <c r="D2006" s="54" t="s">
        <v>2385</v>
      </c>
    </row>
    <row r="2007" spans="1:6" hidden="1">
      <c r="C2007" s="1659" t="s">
        <v>3715</v>
      </c>
      <c r="D2007" s="54" t="s">
        <v>2385</v>
      </c>
    </row>
    <row r="2008" spans="1:6" hidden="1">
      <c r="C2008" s="1659" t="s">
        <v>4451</v>
      </c>
      <c r="D2008" s="54" t="s">
        <v>2385</v>
      </c>
    </row>
    <row r="2009" spans="1:6" hidden="1">
      <c r="A2009" s="1659" t="s">
        <v>6465</v>
      </c>
      <c r="C2009" s="1659" t="s">
        <v>4458</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6453</v>
      </c>
      <c r="C2025" s="1659" t="s">
        <v>3714</v>
      </c>
      <c r="D2025" s="54" t="s">
        <v>2385</v>
      </c>
      <c r="F2025" s="54">
        <v>2000</v>
      </c>
    </row>
    <row r="2026" spans="1:6" hidden="1">
      <c r="C2026" s="1659" t="s">
        <v>3735</v>
      </c>
      <c r="D2026" s="54" t="s">
        <v>2385</v>
      </c>
    </row>
    <row r="2027" spans="1:6" hidden="1">
      <c r="C2027" s="1659" t="s">
        <v>4556</v>
      </c>
      <c r="D2027" s="54" t="s">
        <v>2385</v>
      </c>
    </row>
    <row r="2028" spans="1:6" hidden="1">
      <c r="C2028" s="1659" t="s">
        <v>3739</v>
      </c>
      <c r="D2028" s="54" t="s">
        <v>2385</v>
      </c>
    </row>
    <row r="2029" spans="1:6" hidden="1">
      <c r="A2029" s="1659" t="s">
        <v>6443</v>
      </c>
      <c r="C2029" s="1659" t="s">
        <v>3736</v>
      </c>
      <c r="D2029" s="54" t="s">
        <v>2385</v>
      </c>
      <c r="F2029" s="54">
        <v>2000</v>
      </c>
    </row>
    <row r="2030" spans="1:6" hidden="1">
      <c r="C2030" s="1659" t="s">
        <v>4533</v>
      </c>
      <c r="D2030" s="54" t="s">
        <v>2385</v>
      </c>
    </row>
    <row r="2031" spans="1:6" hidden="1">
      <c r="C2031" s="1659" t="s">
        <v>3737</v>
      </c>
      <c r="D2031" s="54" t="s">
        <v>2385</v>
      </c>
    </row>
    <row r="2032" spans="1:6" hidden="1">
      <c r="C2032" s="1659" t="s">
        <v>3738</v>
      </c>
      <c r="D2032" s="54" t="s">
        <v>2385</v>
      </c>
    </row>
    <row r="2033" spans="3:4" hidden="1">
      <c r="C2033" s="1659" t="s">
        <v>4796</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6426</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6448</v>
      </c>
      <c r="C2052" s="1659" t="s">
        <v>3760</v>
      </c>
      <c r="D2052" s="54" t="s">
        <v>2385</v>
      </c>
      <c r="F2052" s="54">
        <v>2000</v>
      </c>
    </row>
    <row r="2053" spans="1:6" hidden="1">
      <c r="A2053" s="1659" t="s">
        <v>6447</v>
      </c>
      <c r="C2053" s="1659" t="s">
        <v>6446</v>
      </c>
      <c r="D2053" s="54" t="s">
        <v>2385</v>
      </c>
      <c r="F2053" s="54">
        <v>2000</v>
      </c>
    </row>
    <row r="2054" spans="1:6">
      <c r="C2054" s="2829"/>
    </row>
  </sheetData>
  <autoFilter ref="A1:J2053">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X1" zoomScale="85" zoomScaleNormal="85" workbookViewId="0">
      <selection activeCell="Y4" sqref="Y4"/>
    </sheetView>
  </sheetViews>
  <sheetFormatPr defaultColWidth="8.88671875" defaultRowHeight="16.5" outlineLevelCol="1"/>
  <cols>
    <col min="1" max="1" width="18.88671875" style="949" hidden="1" customWidth="1" outlineLevel="1"/>
    <col min="2" max="2" width="20.5546875" style="949" hidden="1" customWidth="1" outlineLevel="1"/>
    <col min="3" max="3" width="15.109375" style="1215" hidden="1" customWidth="1" outlineLevel="1"/>
    <col min="4" max="4" width="11.44140625" style="950" hidden="1" customWidth="1" outlineLevel="1"/>
    <col min="5" max="5" width="15.109375" style="1215" hidden="1" customWidth="1" outlineLevel="1"/>
    <col min="6" max="6" width="20.88671875" style="949" hidden="1" customWidth="1" outlineLevel="1"/>
    <col min="7" max="7" width="11.44140625" style="950" hidden="1" customWidth="1" outlineLevel="1"/>
    <col min="8" max="9" width="19" style="950" hidden="1" customWidth="1" outlineLevel="1"/>
    <col min="10" max="10" width="15.109375" style="1215" hidden="1" customWidth="1" outlineLevel="1"/>
    <col min="11" max="11" width="12.77734375" hidden="1" customWidth="1" outlineLevel="1"/>
    <col min="12" max="12" width="8.109375" style="950" hidden="1" customWidth="1" outlineLevel="1"/>
    <col min="13" max="13" width="8.77734375" style="950" hidden="1" customWidth="1" outlineLevel="1"/>
    <col min="14" max="14" width="11.5546875" style="950" hidden="1" customWidth="1" outlineLevel="1"/>
    <col min="15" max="15" width="14.6640625" style="950" hidden="1" customWidth="1" outlineLevel="1"/>
    <col min="16" max="16" width="11.44140625" style="1215" hidden="1" customWidth="1" outlineLevel="1"/>
    <col min="17" max="17" width="18.21875" style="950" hidden="1" customWidth="1" outlineLevel="1"/>
    <col min="18" max="18" width="12.44140625" style="953" hidden="1" customWidth="1" outlineLevel="1"/>
    <col min="19" max="19" width="15.44140625" style="950" hidden="1" customWidth="1" outlineLevel="1"/>
    <col min="20" max="20" width="17.44140625" style="950" hidden="1" customWidth="1" outlineLevel="1"/>
    <col min="21" max="21" width="21" style="949" hidden="1" customWidth="1" outlineLevel="1"/>
    <col min="22" max="22" width="19.6640625" style="949" customWidth="1" collapsed="1"/>
    <col min="23" max="23" width="17.21875" style="949" customWidth="1"/>
    <col min="24" max="24" width="22.6640625" style="949" customWidth="1"/>
    <col min="25" max="25" width="22.6640625" style="1215" customWidth="1"/>
    <col min="26" max="26" width="10.44140625" style="949" customWidth="1"/>
    <col min="27" max="27" width="8.88671875" style="949"/>
    <col min="28" max="30" width="22.6640625" style="949" customWidth="1"/>
    <col min="31" max="31" width="22.6640625" style="949" hidden="1" customWidth="1"/>
    <col min="32" max="37" width="8.88671875" style="949"/>
    <col min="38" max="38" width="9.5546875" style="949" customWidth="1"/>
    <col min="39" max="39" width="8.88671875" style="949"/>
    <col min="40" max="42" width="8.88671875" style="949" customWidth="1" outlineLevel="1"/>
    <col min="43" max="43" width="20.6640625" style="949" customWidth="1" outlineLevel="1"/>
    <col min="44" max="44" width="8.88671875" style="949" customWidth="1" outlineLevel="1"/>
    <col min="45" max="45" width="8.88671875" style="1215" customWidth="1" outlineLevel="1"/>
    <col min="46" max="48" width="8.88671875" style="949" customWidth="1" outlineLevel="1"/>
    <col min="49" max="49" width="38.21875" style="949" customWidth="1" outlineLevel="1"/>
    <col min="50" max="50" width="53.6640625" style="949" customWidth="1"/>
    <col min="51" max="51" width="8.88671875" style="949"/>
    <col min="52" max="59" width="20.44140625" style="949" customWidth="1"/>
    <col min="60" max="60" width="20" style="949" customWidth="1"/>
    <col min="61" max="69" width="18.88671875" style="949" customWidth="1"/>
    <col min="70" max="16384" width="8.88671875" style="949"/>
  </cols>
  <sheetData>
    <row r="1" spans="1:69" s="952" customFormat="1" ht="46.9" customHeight="1" thickTop="1">
      <c r="A1" s="1761" t="s">
        <v>4605</v>
      </c>
      <c r="B1" s="1761" t="s">
        <v>4378</v>
      </c>
      <c r="C1" s="1761" t="s">
        <v>4543</v>
      </c>
      <c r="D1" s="1761" t="s">
        <v>4381</v>
      </c>
      <c r="E1" s="1761" t="s">
        <v>4554</v>
      </c>
      <c r="F1" s="1761" t="s">
        <v>4469</v>
      </c>
      <c r="G1" s="1761" t="s">
        <v>4606</v>
      </c>
      <c r="H1" s="1761" t="s">
        <v>4607</v>
      </c>
      <c r="I1" s="1761" t="s">
        <v>4608</v>
      </c>
      <c r="J1" s="1761" t="s">
        <v>4944</v>
      </c>
      <c r="K1" s="1761" t="s">
        <v>4609</v>
      </c>
      <c r="L1" s="1761" t="s">
        <v>6454</v>
      </c>
      <c r="M1" s="1761" t="s">
        <v>6455</v>
      </c>
      <c r="N1" s="1761" t="s">
        <v>4610</v>
      </c>
      <c r="O1" s="1761" t="s">
        <v>4385</v>
      </c>
      <c r="P1" s="1761" t="s">
        <v>4946</v>
      </c>
      <c r="Q1" s="1761" t="s">
        <v>4382</v>
      </c>
      <c r="R1" s="1761" t="s">
        <v>4383</v>
      </c>
      <c r="S1" s="1761" t="s">
        <v>4384</v>
      </c>
      <c r="T1" s="1761" t="s">
        <v>4380</v>
      </c>
      <c r="U1" s="1761" t="s">
        <v>4611</v>
      </c>
      <c r="V1" s="1761" t="s">
        <v>4612</v>
      </c>
      <c r="W1" s="1761" t="s">
        <v>4173</v>
      </c>
      <c r="X1" s="1761" t="s">
        <v>4942</v>
      </c>
      <c r="Y1" s="1761" t="s">
        <v>4943</v>
      </c>
      <c r="Z1" s="1761" t="s">
        <v>4387</v>
      </c>
      <c r="AA1" s="1761" t="s">
        <v>4388</v>
      </c>
      <c r="AB1" s="1761" t="s">
        <v>4390</v>
      </c>
      <c r="AC1" s="1761" t="s">
        <v>4386</v>
      </c>
      <c r="AD1" s="1761" t="s">
        <v>4389</v>
      </c>
      <c r="AE1" s="1761" t="s">
        <v>4379</v>
      </c>
      <c r="AF1" s="1764" t="s">
        <v>4295</v>
      </c>
      <c r="AG1" s="1765" t="s">
        <v>4613</v>
      </c>
      <c r="AH1" s="1766" t="s">
        <v>4614</v>
      </c>
      <c r="AI1" s="1767" t="s">
        <v>4615</v>
      </c>
      <c r="AJ1" s="1761" t="s">
        <v>4616</v>
      </c>
      <c r="AK1" s="1761" t="s">
        <v>4617</v>
      </c>
      <c r="AL1" s="952" t="s">
        <v>4770</v>
      </c>
      <c r="AM1" s="952" t="s">
        <v>4800</v>
      </c>
      <c r="AN1" s="952" t="s">
        <v>4849</v>
      </c>
      <c r="AO1" s="952" t="s">
        <v>4846</v>
      </c>
      <c r="AP1" s="952" t="s">
        <v>4474</v>
      </c>
      <c r="AQ1" s="952" t="s">
        <v>1064</v>
      </c>
      <c r="AR1" s="952" t="s">
        <v>4848</v>
      </c>
      <c r="AS1" s="1760" t="s">
        <v>4855</v>
      </c>
      <c r="AT1" s="952" t="s">
        <v>4847</v>
      </c>
      <c r="AU1" s="952" t="s">
        <v>4850</v>
      </c>
      <c r="AV1" s="952" t="s">
        <v>4851</v>
      </c>
      <c r="AW1" s="952" t="s">
        <v>4934</v>
      </c>
      <c r="AX1" s="2069" t="s">
        <v>4947</v>
      </c>
      <c r="AY1" s="2070" t="s">
        <v>4948</v>
      </c>
      <c r="AZ1" s="2070" t="s">
        <v>4949</v>
      </c>
      <c r="BA1" s="2070" t="s">
        <v>4950</v>
      </c>
      <c r="BB1" s="2070" t="s">
        <v>4951</v>
      </c>
      <c r="BC1" s="2070" t="s">
        <v>4952</v>
      </c>
      <c r="BD1" s="2070" t="s">
        <v>4953</v>
      </c>
      <c r="BE1" s="2070" t="s">
        <v>4954</v>
      </c>
      <c r="BF1" s="2070" t="s">
        <v>4955</v>
      </c>
      <c r="BG1" s="2070" t="s">
        <v>4956</v>
      </c>
      <c r="BH1" s="2071" t="s">
        <v>4957</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14.5">
      <c r="A2" s="1762" t="s">
        <v>6089</v>
      </c>
      <c r="B2" s="1762" t="s">
        <v>6090</v>
      </c>
      <c r="C2" s="1759" t="s">
        <v>4945</v>
      </c>
      <c r="D2" s="1762" t="s">
        <v>6091</v>
      </c>
      <c r="E2" s="1759" t="s">
        <v>4532</v>
      </c>
      <c r="F2" s="1762" t="s">
        <v>6418</v>
      </c>
      <c r="G2" s="1762" t="s">
        <v>4496</v>
      </c>
      <c r="H2" s="1762" t="s">
        <v>6092</v>
      </c>
      <c r="I2" s="1762" t="s">
        <v>6417</v>
      </c>
      <c r="J2" s="1759" t="s">
        <v>4532</v>
      </c>
      <c r="K2" s="1759" t="s">
        <v>6093</v>
      </c>
      <c r="L2" s="1762" t="s">
        <v>6456</v>
      </c>
      <c r="M2" s="1762" t="s">
        <v>6457</v>
      </c>
      <c r="N2" s="1762" t="s">
        <v>6094</v>
      </c>
      <c r="O2" s="1762" t="s">
        <v>6095</v>
      </c>
      <c r="P2" s="1759" t="s">
        <v>4532</v>
      </c>
      <c r="Q2" s="1759" t="s">
        <v>6434</v>
      </c>
      <c r="R2" s="1762" t="s">
        <v>6096</v>
      </c>
      <c r="S2" s="1760" t="s">
        <v>6097</v>
      </c>
      <c r="T2" s="1762"/>
      <c r="U2" s="1762"/>
      <c r="V2" s="1759" t="s">
        <v>4532</v>
      </c>
      <c r="W2" s="1763" t="s">
        <v>6602</v>
      </c>
      <c r="X2" s="1763" t="s">
        <v>6412</v>
      </c>
      <c r="Y2" s="1763" t="s">
        <v>4173</v>
      </c>
      <c r="Z2" s="1759" t="s">
        <v>6603</v>
      </c>
      <c r="AA2" s="1763" t="str">
        <f>UPPER(Z2)</f>
        <v>XUÂN HÒA</v>
      </c>
      <c r="AB2" s="1762" t="s">
        <v>6604</v>
      </c>
      <c r="AC2" s="1762" t="str">
        <f>UPPER(AB2)</f>
        <v>XÂY DỰNG MỚI TBA 3P-1000KVA CÔNG TY TNHH MTV KỸ THUẬT ĐIỆN VIỆT ANH</v>
      </c>
      <c r="AD2" s="1763" t="str">
        <f>IF(Z2&lt;&gt;0,"Xã "&amp;Z2&amp;" - ","")&amp;"Huyện Xuân Lộc - Tỉnh Đồng Nai"</f>
        <v>Xã Xuân Hòa - Huyện Xuân Lộc - Tỉnh Đồng Nai</v>
      </c>
      <c r="AE2" s="1763" t="str">
        <f>UPPER(AD2)</f>
        <v>XÃ XUÂN HÒA - HUYỆN XUÂN LỘC - TỈNH ĐỒNG NAI</v>
      </c>
      <c r="AF2" s="1768" t="s">
        <v>4618</v>
      </c>
      <c r="AG2" s="1769" t="s">
        <v>4619</v>
      </c>
      <c r="AH2" s="967" t="s">
        <v>4172</v>
      </c>
      <c r="AI2" s="1771"/>
      <c r="AJ2" s="1936" t="s">
        <v>6594</v>
      </c>
      <c r="AK2" s="1936" t="s">
        <v>6459</v>
      </c>
      <c r="AL2" s="2033" t="s">
        <v>6460</v>
      </c>
      <c r="AM2" s="2033" t="s">
        <v>6461</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4958</v>
      </c>
      <c r="AY2" s="2059" t="s">
        <v>6419</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3">
      <c r="A3" s="1762" t="s">
        <v>4911</v>
      </c>
      <c r="B3" s="1762" t="s">
        <v>4912</v>
      </c>
      <c r="C3" s="1759" t="s">
        <v>4532</v>
      </c>
      <c r="D3" s="1762" t="s">
        <v>4913</v>
      </c>
      <c r="E3" s="1759" t="s">
        <v>4532</v>
      </c>
      <c r="F3" s="1762" t="s">
        <v>4914</v>
      </c>
      <c r="G3" s="1762" t="s">
        <v>4915</v>
      </c>
      <c r="H3" s="1762" t="s">
        <v>4916</v>
      </c>
      <c r="I3" s="1762" t="str">
        <f>F3</f>
        <v>………………………</v>
      </c>
      <c r="J3" s="1759" t="s">
        <v>4945</v>
      </c>
      <c r="K3" s="1762" t="s">
        <v>4920</v>
      </c>
      <c r="L3" s="1762"/>
      <c r="M3" s="1762"/>
      <c r="N3" s="1762" t="s">
        <v>4918</v>
      </c>
      <c r="O3" s="1762" t="s">
        <v>4919</v>
      </c>
      <c r="P3" s="1759" t="s">
        <v>4532</v>
      </c>
      <c r="Q3" s="1762" t="s">
        <v>4917</v>
      </c>
      <c r="R3" s="1760"/>
      <c r="S3" s="1760"/>
      <c r="T3" s="966"/>
      <c r="U3" s="966"/>
      <c r="V3" s="1759" t="s">
        <v>4532</v>
      </c>
      <c r="Z3" s="1759" t="s">
        <v>4774</v>
      </c>
      <c r="AB3" s="1762" t="s">
        <v>4775</v>
      </c>
      <c r="AC3" s="1762" t="str">
        <f>UPPER(AB3)</f>
        <v>ĐƯỜNG DÂY TRUNG THẾ &amp; TBA 1 PHA 25KVA - 12,7/0,23 KV HỘ DUY TRƯỜNG</v>
      </c>
      <c r="AH3" s="1770" t="s">
        <v>6433</v>
      </c>
      <c r="AL3" s="1218" t="s">
        <v>4771</v>
      </c>
      <c r="AX3" s="968" t="s">
        <v>4959</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75" thickBot="1">
      <c r="A4" s="941"/>
      <c r="B4" s="941"/>
      <c r="C4" s="1217"/>
      <c r="D4" s="941"/>
      <c r="E4" s="1217"/>
      <c r="F4" s="941"/>
      <c r="G4" s="941"/>
      <c r="H4" s="941"/>
      <c r="I4" s="941"/>
      <c r="J4" s="1217"/>
      <c r="K4" s="952"/>
      <c r="L4" s="952"/>
      <c r="P4" s="1217"/>
      <c r="R4" s="968"/>
      <c r="S4" s="941"/>
      <c r="V4" s="1759" t="s">
        <v>6458</v>
      </c>
      <c r="Z4" s="1759" t="s">
        <v>4799</v>
      </c>
      <c r="AB4" s="1762" t="s">
        <v>4761</v>
      </c>
      <c r="AD4" s="967">
        <v>0</v>
      </c>
      <c r="AH4" s="967" t="s">
        <v>4172</v>
      </c>
      <c r="AL4" s="1218" t="s">
        <v>6416</v>
      </c>
      <c r="AT4" s="1340" t="s">
        <v>4928</v>
      </c>
      <c r="AU4" s="1340" t="s">
        <v>4929</v>
      </c>
      <c r="AV4" s="1340" t="s">
        <v>4930</v>
      </c>
      <c r="AW4" s="2068" t="s">
        <v>4931</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4945</v>
      </c>
      <c r="Z5" s="1759" t="s">
        <v>4921</v>
      </c>
      <c r="AB5" s="968" t="s">
        <v>4882</v>
      </c>
      <c r="AT5" s="2080" t="str">
        <f>AJ2</f>
        <v>270/028</v>
      </c>
      <c r="AU5" s="2050">
        <v>72</v>
      </c>
      <c r="AV5" s="1770" t="s">
        <v>4932</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41"/>
      <c r="B6" s="941"/>
      <c r="C6" s="1217"/>
      <c r="D6" s="941"/>
      <c r="E6" s="1217"/>
      <c r="F6" s="941"/>
      <c r="G6" s="941"/>
      <c r="H6" s="941"/>
      <c r="I6" s="941"/>
      <c r="J6" s="1217"/>
      <c r="K6" s="952"/>
      <c r="L6" s="952"/>
      <c r="M6" s="941"/>
      <c r="N6" s="1217"/>
      <c r="O6" s="952"/>
      <c r="P6" s="1217"/>
      <c r="Q6" s="1217"/>
      <c r="S6" s="941"/>
      <c r="Z6" s="1759" t="s">
        <v>4960</v>
      </c>
      <c r="AT6" s="1770">
        <f>AU5</f>
        <v>72</v>
      </c>
      <c r="AU6" s="2050">
        <v>75</v>
      </c>
      <c r="AV6" s="1770" t="s">
        <v>4933</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15"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6452</v>
      </c>
      <c r="AT7" s="1770">
        <f t="shared" ref="AT7:AT15" si="6">AU6</f>
        <v>75</v>
      </c>
      <c r="AU7" s="2050">
        <v>83</v>
      </c>
      <c r="AV7" s="1770" t="s">
        <v>4932</v>
      </c>
      <c r="AW7" s="2051" t="str">
        <f t="shared" si="5"/>
        <v xml:space="preserve"> - Từ trụ 75 đến trụ 83 đường dây băng qua bên trái đường và đi dọc theo đường hiện hữu.</v>
      </c>
    </row>
    <row r="8" spans="1:69" s="1218" customFormat="1" ht="43.15"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4932</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15"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4932</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70">
        <f t="shared" si="6"/>
        <v>91</v>
      </c>
      <c r="AU10" s="2050"/>
      <c r="AV10" s="1770" t="s">
        <v>4933</v>
      </c>
      <c r="AW10" s="2051" t="str">
        <f t="shared" si="5"/>
        <v/>
      </c>
    </row>
    <row r="11" spans="1:69" ht="43.15" customHeight="1">
      <c r="AT11" s="1770">
        <f t="shared" si="6"/>
        <v>0</v>
      </c>
      <c r="AU11" s="2050"/>
      <c r="AV11" s="1770" t="s">
        <v>4932</v>
      </c>
      <c r="AW11" s="2051" t="str">
        <f t="shared" si="5"/>
        <v/>
      </c>
    </row>
    <row r="12" spans="1:69" ht="43.15" customHeight="1">
      <c r="AT12" s="1770">
        <f t="shared" si="6"/>
        <v>0</v>
      </c>
      <c r="AU12" s="2050"/>
      <c r="AV12" s="1770" t="s">
        <v>4933</v>
      </c>
      <c r="AW12" s="2051" t="str">
        <f t="shared" si="5"/>
        <v/>
      </c>
    </row>
    <row r="13" spans="1:69">
      <c r="AT13" s="1770">
        <f t="shared" si="6"/>
        <v>0</v>
      </c>
      <c r="AU13" s="778"/>
      <c r="AV13" s="1770" t="s">
        <v>4932</v>
      </c>
      <c r="AW13" s="2051" t="str">
        <f t="shared" si="5"/>
        <v/>
      </c>
    </row>
    <row r="14" spans="1:69">
      <c r="AT14" s="1770">
        <f t="shared" si="6"/>
        <v>0</v>
      </c>
      <c r="AU14" s="778"/>
      <c r="AV14" s="1770" t="s">
        <v>4933</v>
      </c>
      <c r="AW14" s="2051" t="str">
        <f t="shared" si="5"/>
        <v/>
      </c>
    </row>
    <row r="15" spans="1:69">
      <c r="AT15" s="1770">
        <f t="shared" si="6"/>
        <v>0</v>
      </c>
      <c r="AU15" s="778"/>
      <c r="AV15" s="1770" t="s">
        <v>4932</v>
      </c>
      <c r="AW15" s="2051" t="str">
        <f t="shared" si="5"/>
        <v/>
      </c>
    </row>
    <row r="16" spans="1:69">
      <c r="AT16" s="778"/>
      <c r="AU16" s="778"/>
      <c r="AV16" s="1770"/>
      <c r="AW16" s="778"/>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3762</v>
      </c>
      <c r="C3" s="87"/>
      <c r="D3" s="87"/>
      <c r="E3" s="87"/>
      <c r="F3" s="88"/>
      <c r="G3" s="89"/>
      <c r="H3" s="90"/>
      <c r="I3" s="90"/>
    </row>
    <row r="4" spans="1:13" ht="15">
      <c r="A4" s="91"/>
      <c r="B4" s="3038" t="s">
        <v>1708</v>
      </c>
      <c r="C4" s="3038" t="s">
        <v>2281</v>
      </c>
      <c r="D4" s="78" t="s">
        <v>2282</v>
      </c>
      <c r="E4" s="78" t="s">
        <v>2283</v>
      </c>
      <c r="F4" s="92">
        <f>pp_NC!GV5</f>
        <v>0</v>
      </c>
      <c r="G4" s="92" t="str">
        <f>'pp3p2m '!ED6</f>
        <v>B</v>
      </c>
      <c r="H4" s="92" t="s">
        <v>1038</v>
      </c>
      <c r="I4" s="92" t="s">
        <v>1038</v>
      </c>
      <c r="J4" s="93"/>
      <c r="K4" s="89"/>
      <c r="L4" s="89"/>
      <c r="M4" s="89"/>
    </row>
    <row r="5" spans="1:13" ht="15">
      <c r="A5" s="79" t="s">
        <v>2284</v>
      </c>
      <c r="B5" s="3039"/>
      <c r="C5" s="3039"/>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5006</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5007</v>
      </c>
      <c r="D116" s="22" t="s">
        <v>5005</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5008</v>
      </c>
      <c r="D119" s="19" t="s">
        <v>2555</v>
      </c>
      <c r="E119" s="17"/>
      <c r="F119" s="4"/>
      <c r="G119" s="8">
        <f t="shared" si="5"/>
        <v>0</v>
      </c>
      <c r="H119" s="4"/>
      <c r="I119" s="4"/>
      <c r="J119" s="4"/>
    </row>
    <row r="120" spans="1:10" s="1" customFormat="1" ht="14.25">
      <c r="A120" s="9" t="str">
        <f>chitiet!B1533</f>
        <v>Nth-T</v>
      </c>
      <c r="B120" s="18">
        <f>IF(E120=0,"",COUNTIF($B$92:$B119,"&gt;0")+1)</f>
        <v>1</v>
      </c>
      <c r="C120" s="21" t="s">
        <v>5009</v>
      </c>
      <c r="D120" s="22" t="s">
        <v>5005</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5010</v>
      </c>
      <c r="D122" s="19" t="s">
        <v>2555</v>
      </c>
      <c r="E122" s="17"/>
      <c r="F122" s="4"/>
      <c r="G122" s="8">
        <f t="shared" si="5"/>
        <v>0</v>
      </c>
      <c r="H122" s="4"/>
      <c r="I122" s="4"/>
      <c r="J122" s="4"/>
    </row>
    <row r="123" spans="1:10" s="1" customFormat="1" ht="14.25">
      <c r="A123" s="9" t="str">
        <f>chitiet!B1536</f>
        <v>BM16300</v>
      </c>
      <c r="B123" s="18">
        <f>IF(E123=0,"",COUNTIF($E$92:$E123,"&gt;0"))</f>
        <v>2</v>
      </c>
      <c r="C123" s="37" t="s">
        <v>4974</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5011</v>
      </c>
      <c r="D125" s="109" t="s">
        <v>5005</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5010</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4975</v>
      </c>
      <c r="D130" s="84" t="s">
        <v>2555</v>
      </c>
      <c r="E130" s="102" t="e">
        <f>E129</f>
        <v>#N/A</v>
      </c>
      <c r="F130" s="91"/>
      <c r="G130" s="103" t="e">
        <f t="shared" si="5"/>
        <v>#N/A</v>
      </c>
      <c r="H130" s="91"/>
      <c r="I130" s="91"/>
      <c r="J130" s="91"/>
    </row>
    <row r="131" spans="1:10" ht="15">
      <c r="A131" s="106" t="str">
        <f>chitiet!B1544</f>
        <v>CSD</v>
      </c>
      <c r="B131" s="100"/>
      <c r="C131" s="101" t="s">
        <v>4976</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4975</v>
      </c>
      <c r="D133" s="19" t="s">
        <v>2555</v>
      </c>
      <c r="E133" s="17"/>
      <c r="F133" s="4"/>
      <c r="G133" s="8">
        <f t="shared" si="5"/>
        <v>0</v>
      </c>
      <c r="H133" s="4"/>
      <c r="I133" s="4"/>
      <c r="J133" s="4"/>
    </row>
    <row r="134" spans="1:10" s="1" customFormat="1" ht="14.25">
      <c r="A134" s="9" t="str">
        <f>chitiet!B1547</f>
        <v>CSDI</v>
      </c>
      <c r="B134" s="18"/>
      <c r="C134" s="16" t="s">
        <v>5040</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4975</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5027</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5010</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4974</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5010</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5010</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3763</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6" t="s">
        <v>3765</v>
      </c>
      <c r="B4" s="3050" t="s">
        <v>3766</v>
      </c>
      <c r="C4" s="3050" t="s">
        <v>4399</v>
      </c>
      <c r="D4" s="3050" t="s">
        <v>3767</v>
      </c>
      <c r="E4" s="3050" t="s">
        <v>3768</v>
      </c>
      <c r="F4" s="3050" t="s">
        <v>3769</v>
      </c>
      <c r="G4" s="3050" t="s">
        <v>3770</v>
      </c>
      <c r="H4" s="3050" t="s">
        <v>3771</v>
      </c>
      <c r="I4" s="3050" t="s">
        <v>3772</v>
      </c>
      <c r="J4" s="3080" t="s">
        <v>3773</v>
      </c>
      <c r="K4" s="3080" t="s">
        <v>3774</v>
      </c>
      <c r="L4" s="3080" t="s">
        <v>3775</v>
      </c>
      <c r="M4" s="3083"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73" t="s">
        <v>3779</v>
      </c>
      <c r="BR4" s="3074"/>
      <c r="BS4" s="3074"/>
      <c r="BT4" s="3074"/>
      <c r="BU4" s="3074"/>
      <c r="BV4" s="3074"/>
      <c r="BW4" s="3074"/>
      <c r="BX4" s="3074"/>
      <c r="BY4" s="3074"/>
      <c r="BZ4" s="3074"/>
      <c r="CA4" s="3074"/>
      <c r="CB4" s="3075"/>
      <c r="CC4" s="3054" t="s">
        <v>2387</v>
      </c>
      <c r="CD4" s="3054" t="s">
        <v>2390</v>
      </c>
      <c r="CE4" s="3054" t="s">
        <v>2393</v>
      </c>
      <c r="CF4" s="3054" t="s">
        <v>2392</v>
      </c>
      <c r="CG4" s="3054" t="s">
        <v>2394</v>
      </c>
      <c r="CH4" s="3054"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71" t="s">
        <v>3781</v>
      </c>
      <c r="DG4" s="3071" t="s">
        <v>3782</v>
      </c>
      <c r="DH4" s="3044" t="s">
        <v>3783</v>
      </c>
      <c r="DI4" s="3044" t="s">
        <v>3784</v>
      </c>
      <c r="DJ4" s="3044" t="s">
        <v>3785</v>
      </c>
      <c r="DK4" s="3044" t="s">
        <v>3786</v>
      </c>
      <c r="DL4" s="3044" t="s">
        <v>3787</v>
      </c>
      <c r="DM4" s="3044" t="s">
        <v>3788</v>
      </c>
      <c r="DN4" s="3044" t="s">
        <v>3789</v>
      </c>
      <c r="DO4" s="3044" t="s">
        <v>3790</v>
      </c>
      <c r="DP4" s="3044" t="s">
        <v>3791</v>
      </c>
      <c r="DQ4" s="3042" t="s">
        <v>1733</v>
      </c>
      <c r="DR4" s="3044" t="s">
        <v>3792</v>
      </c>
      <c r="DS4" s="3042" t="s">
        <v>4087</v>
      </c>
      <c r="DT4" s="3042" t="s">
        <v>3794</v>
      </c>
      <c r="DU4" s="3042" t="s">
        <v>3795</v>
      </c>
      <c r="DV4" s="3042" t="s">
        <v>3796</v>
      </c>
      <c r="DW4" s="3042" t="s">
        <v>3797</v>
      </c>
      <c r="DX4" s="3042" t="s">
        <v>3798</v>
      </c>
      <c r="DY4" s="3042" t="s">
        <v>3799</v>
      </c>
      <c r="DZ4" s="3042" t="s">
        <v>3800</v>
      </c>
      <c r="EA4" s="3042" t="s">
        <v>3801</v>
      </c>
      <c r="EB4" s="3042" t="s">
        <v>3802</v>
      </c>
      <c r="EC4" s="3042" t="s">
        <v>3803</v>
      </c>
      <c r="ED4" s="3046" t="s">
        <v>788</v>
      </c>
      <c r="EE4" s="3048" t="s">
        <v>1405</v>
      </c>
      <c r="EF4" s="3048" t="s">
        <v>1375</v>
      </c>
      <c r="EG4" s="3052" t="s">
        <v>675</v>
      </c>
      <c r="EH4" s="3052" t="s">
        <v>1898</v>
      </c>
      <c r="EI4" s="3052" t="s">
        <v>1129</v>
      </c>
      <c r="EJ4" s="3052" t="s">
        <v>1921</v>
      </c>
      <c r="EK4" s="3052" t="s">
        <v>394</v>
      </c>
      <c r="EL4" s="3052" t="s">
        <v>1912</v>
      </c>
      <c r="EM4" s="3052" t="s">
        <v>630</v>
      </c>
      <c r="EN4" s="3052" t="s">
        <v>629</v>
      </c>
      <c r="EO4" s="3052" t="s">
        <v>631</v>
      </c>
      <c r="EP4" s="3040" t="s">
        <v>3804</v>
      </c>
      <c r="EQ4" s="3040" t="s">
        <v>3805</v>
      </c>
      <c r="ER4" s="3040" t="s">
        <v>3806</v>
      </c>
      <c r="ES4" s="3040" t="s">
        <v>3807</v>
      </c>
      <c r="ET4" s="3054" t="s">
        <v>3808</v>
      </c>
      <c r="EU4" s="3054" t="s">
        <v>3809</v>
      </c>
      <c r="EV4" s="3054" t="s">
        <v>3810</v>
      </c>
      <c r="EW4" s="3054" t="s">
        <v>3811</v>
      </c>
      <c r="EX4" s="3054" t="s">
        <v>3812</v>
      </c>
      <c r="EY4" s="3054" t="s">
        <v>3813</v>
      </c>
      <c r="EZ4" s="3054" t="s">
        <v>3814</v>
      </c>
      <c r="FA4" s="3054" t="s">
        <v>3815</v>
      </c>
      <c r="FB4" s="3040" t="s">
        <v>3816</v>
      </c>
      <c r="FC4" s="3040" t="s">
        <v>3817</v>
      </c>
      <c r="FD4" s="3040" t="s">
        <v>3818</v>
      </c>
      <c r="FE4" s="3040" t="s">
        <v>3819</v>
      </c>
      <c r="FF4" s="3040" t="s">
        <v>3820</v>
      </c>
      <c r="FG4" s="3040" t="s">
        <v>3821</v>
      </c>
      <c r="FH4" s="3040" t="s">
        <v>3822</v>
      </c>
      <c r="FI4" s="3040" t="s">
        <v>3823</v>
      </c>
      <c r="FJ4" s="3040" t="s">
        <v>3824</v>
      </c>
      <c r="FK4" s="3040" t="s">
        <v>3825</v>
      </c>
      <c r="FL4" s="3040" t="s">
        <v>4329</v>
      </c>
      <c r="FM4" s="3040" t="s">
        <v>3826</v>
      </c>
      <c r="FN4" s="3040" t="s">
        <v>3827</v>
      </c>
      <c r="FO4" s="3040" t="s">
        <v>3828</v>
      </c>
      <c r="FP4" s="3040" t="s">
        <v>3829</v>
      </c>
      <c r="FQ4" s="3040" t="s">
        <v>3830</v>
      </c>
      <c r="FR4" s="3054" t="s">
        <v>3831</v>
      </c>
      <c r="FS4" s="3054" t="s">
        <v>3832</v>
      </c>
      <c r="FT4" s="3054" t="s">
        <v>3833</v>
      </c>
      <c r="FU4" s="3058" t="s">
        <v>3834</v>
      </c>
      <c r="FV4" s="3058" t="s">
        <v>3835</v>
      </c>
      <c r="FW4" s="3058" t="s">
        <v>3836</v>
      </c>
      <c r="FX4" s="3058" t="s">
        <v>3837</v>
      </c>
      <c r="FY4" s="3058" t="s">
        <v>3838</v>
      </c>
      <c r="FZ4" s="3058" t="s">
        <v>3839</v>
      </c>
      <c r="GA4" s="3058" t="s">
        <v>3840</v>
      </c>
      <c r="GB4" s="3058" t="s">
        <v>3841</v>
      </c>
      <c r="GC4" s="3058" t="s">
        <v>3842</v>
      </c>
      <c r="GD4" s="3058" t="s">
        <v>3843</v>
      </c>
      <c r="GE4" s="3058" t="s">
        <v>3844</v>
      </c>
      <c r="GF4" s="3058" t="s">
        <v>3845</v>
      </c>
      <c r="GG4" s="3058" t="s">
        <v>3846</v>
      </c>
      <c r="GH4" s="3060" t="s">
        <v>3847</v>
      </c>
      <c r="GI4" s="3060" t="s">
        <v>3848</v>
      </c>
      <c r="GJ4" s="3068" t="s">
        <v>3849</v>
      </c>
      <c r="GK4" s="3068" t="s">
        <v>3850</v>
      </c>
      <c r="GL4" s="3060" t="s">
        <v>3851</v>
      </c>
      <c r="GM4" s="3068" t="s">
        <v>3852</v>
      </c>
      <c r="GN4" s="3068" t="s">
        <v>3853</v>
      </c>
      <c r="GO4" s="3060" t="s">
        <v>3854</v>
      </c>
      <c r="GP4" s="3060" t="s">
        <v>3855</v>
      </c>
      <c r="GQ4" s="3060" t="s">
        <v>3856</v>
      </c>
      <c r="GR4" s="3058" t="s">
        <v>3857</v>
      </c>
      <c r="GS4" s="3058" t="s">
        <v>3671</v>
      </c>
      <c r="GT4" s="3066" t="s">
        <v>3858</v>
      </c>
      <c r="GU4" s="3064"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7"/>
      <c r="B5" s="3051"/>
      <c r="C5" s="3051"/>
      <c r="D5" s="3051"/>
      <c r="E5" s="3051"/>
      <c r="F5" s="3051"/>
      <c r="G5" s="3051"/>
      <c r="H5" s="3051"/>
      <c r="I5" s="3051"/>
      <c r="J5" s="3081"/>
      <c r="K5" s="3082"/>
      <c r="L5" s="3082"/>
      <c r="M5" s="3072"/>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5"/>
      <c r="CD5" s="3055"/>
      <c r="CE5" s="3055"/>
      <c r="CF5" s="3055"/>
      <c r="CG5" s="3055"/>
      <c r="CH5" s="3055"/>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72"/>
      <c r="DG5" s="3072"/>
      <c r="DH5" s="3045"/>
      <c r="DI5" s="3045"/>
      <c r="DJ5" s="3045"/>
      <c r="DK5" s="3045"/>
      <c r="DL5" s="3045"/>
      <c r="DM5" s="3045"/>
      <c r="DN5" s="3045"/>
      <c r="DO5" s="3045"/>
      <c r="DP5" s="3045"/>
      <c r="DQ5" s="3043"/>
      <c r="DR5" s="3045"/>
      <c r="DS5" s="3043"/>
      <c r="DT5" s="3043"/>
      <c r="DU5" s="3043"/>
      <c r="DV5" s="3043"/>
      <c r="DW5" s="3043"/>
      <c r="DX5" s="3043"/>
      <c r="DY5" s="3043"/>
      <c r="DZ5" s="3043"/>
      <c r="EA5" s="3043"/>
      <c r="EB5" s="3043"/>
      <c r="EC5" s="3043"/>
      <c r="ED5" s="3047"/>
      <c r="EE5" s="3049"/>
      <c r="EF5" s="3049"/>
      <c r="EG5" s="3053"/>
      <c r="EH5" s="3053"/>
      <c r="EI5" s="3053"/>
      <c r="EJ5" s="3053"/>
      <c r="EK5" s="3053"/>
      <c r="EL5" s="3053"/>
      <c r="EM5" s="3053"/>
      <c r="EN5" s="3053"/>
      <c r="EO5" s="3053"/>
      <c r="EP5" s="3041"/>
      <c r="EQ5" s="3041"/>
      <c r="ER5" s="3041"/>
      <c r="ES5" s="3041"/>
      <c r="ET5" s="3055"/>
      <c r="EU5" s="3055"/>
      <c r="EV5" s="3055"/>
      <c r="EW5" s="3055"/>
      <c r="EX5" s="3055"/>
      <c r="EY5" s="3055"/>
      <c r="EZ5" s="3055"/>
      <c r="FA5" s="3055"/>
      <c r="FB5" s="3041"/>
      <c r="FC5" s="3041"/>
      <c r="FD5" s="3041"/>
      <c r="FE5" s="3041"/>
      <c r="FF5" s="3041"/>
      <c r="FG5" s="3041"/>
      <c r="FH5" s="3041"/>
      <c r="FI5" s="3041"/>
      <c r="FJ5" s="3041"/>
      <c r="FK5" s="3041"/>
      <c r="FL5" s="3041"/>
      <c r="FM5" s="3041"/>
      <c r="FN5" s="3041"/>
      <c r="FO5" s="3041"/>
      <c r="FP5" s="3041"/>
      <c r="FQ5" s="3041"/>
      <c r="FR5" s="3055"/>
      <c r="FS5" s="3055"/>
      <c r="FT5" s="3055"/>
      <c r="FU5" s="3059"/>
      <c r="FV5" s="3059"/>
      <c r="FW5" s="3059"/>
      <c r="FX5" s="3059"/>
      <c r="FY5" s="3059"/>
      <c r="FZ5" s="3059"/>
      <c r="GA5" s="3059"/>
      <c r="GB5" s="3059"/>
      <c r="GC5" s="3059"/>
      <c r="GD5" s="3059"/>
      <c r="GE5" s="3059"/>
      <c r="GF5" s="3059"/>
      <c r="GG5" s="3059"/>
      <c r="GH5" s="3061"/>
      <c r="GI5" s="3061"/>
      <c r="GJ5" s="3069"/>
      <c r="GK5" s="3069"/>
      <c r="GL5" s="3061"/>
      <c r="GM5" s="3069"/>
      <c r="GN5" s="3069"/>
      <c r="GO5" s="3061"/>
      <c r="GP5" s="3061"/>
      <c r="GQ5" s="3061"/>
      <c r="GR5" s="3059"/>
      <c r="GS5" s="3059"/>
      <c r="GT5" s="3067"/>
      <c r="GU5" s="3065"/>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6"/>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62"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7"/>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3"/>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8"/>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6"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9"/>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7"/>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84" t="s">
        <v>2592</v>
      </c>
      <c r="B184" s="3085"/>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70">
        <f>1.02*D186</f>
        <v>0</v>
      </c>
      <c r="W186" s="3070"/>
      <c r="X186" s="3070"/>
      <c r="Y186" s="3070"/>
      <c r="Z186" s="3070"/>
      <c r="AA186" s="3070"/>
      <c r="AB186" s="3070"/>
      <c r="AC186" s="3070"/>
      <c r="AD186" s="3070"/>
      <c r="AE186" s="3070"/>
      <c r="AF186" s="3070"/>
      <c r="AG186" s="3070"/>
      <c r="AH186" s="3070"/>
      <c r="AI186" s="3070"/>
      <c r="AJ186" s="3070"/>
      <c r="AK186" s="3070"/>
      <c r="AL186" s="3070"/>
      <c r="AM186" s="3070"/>
      <c r="AN186" s="3070"/>
      <c r="AO186" s="3070"/>
      <c r="AP186" s="3070"/>
      <c r="AQ186" s="3070"/>
      <c r="AR186" s="3070"/>
      <c r="AS186" s="3070"/>
      <c r="AT186" s="3070"/>
      <c r="AU186" s="3070"/>
      <c r="AV186" s="3070"/>
      <c r="AW186" s="3070"/>
      <c r="AX186" s="3070"/>
      <c r="AY186" s="3070"/>
      <c r="AZ186" s="3070"/>
      <c r="BA186" s="3070"/>
      <c r="BB186" s="3070"/>
      <c r="BC186" s="3070"/>
      <c r="BD186" s="3070"/>
      <c r="BE186" s="3070"/>
      <c r="BF186" s="3070"/>
      <c r="BG186" s="3070"/>
      <c r="BH186" s="3070"/>
      <c r="BI186" s="3070"/>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70">
        <f>1.02*D187</f>
        <v>0</v>
      </c>
      <c r="W187" s="3070"/>
      <c r="X187" s="3070"/>
      <c r="Y187" s="3070"/>
      <c r="Z187" s="3070"/>
      <c r="AA187" s="3070"/>
      <c r="AB187" s="3070"/>
      <c r="AC187" s="3070"/>
      <c r="AD187" s="3070"/>
      <c r="AE187" s="3070"/>
      <c r="AF187" s="3070"/>
      <c r="AG187" s="3070"/>
      <c r="AH187" s="3070"/>
      <c r="AI187" s="3070"/>
      <c r="AJ187" s="3070"/>
      <c r="AK187" s="3070"/>
      <c r="AL187" s="3070"/>
      <c r="AM187" s="3070"/>
      <c r="AN187" s="3070"/>
      <c r="AO187" s="3070"/>
      <c r="AP187" s="3070"/>
      <c r="AQ187" s="3070"/>
      <c r="AR187" s="3070"/>
      <c r="AS187" s="3070"/>
      <c r="AT187" s="3070"/>
      <c r="AU187" s="3070"/>
      <c r="AV187" s="3070"/>
      <c r="AW187" s="3070"/>
      <c r="AX187" s="3070"/>
      <c r="AY187" s="3070"/>
      <c r="AZ187" s="3070"/>
      <c r="BA187" s="3070"/>
      <c r="BB187" s="3070"/>
      <c r="BC187" s="3070"/>
      <c r="BD187" s="3070"/>
      <c r="BE187" s="3070"/>
      <c r="BF187" s="3070"/>
      <c r="BG187" s="3070"/>
      <c r="BH187" s="3070"/>
      <c r="BI187" s="3070"/>
    </row>
    <row r="188" spans="1:256" ht="18.95" hidden="1" customHeight="1">
      <c r="A188" s="380" t="s">
        <v>841</v>
      </c>
      <c r="B188" s="157" t="s">
        <v>2172</v>
      </c>
      <c r="D188" s="376"/>
      <c r="E188" s="376"/>
      <c r="F188" s="376"/>
      <c r="G188" s="376"/>
      <c r="H188" s="376"/>
      <c r="I188" s="376"/>
      <c r="J188" s="156" t="s">
        <v>1823</v>
      </c>
      <c r="L188" s="381"/>
      <c r="N188" s="380" t="s">
        <v>841</v>
      </c>
      <c r="O188" s="156" t="s">
        <v>2172</v>
      </c>
      <c r="V188" s="3070">
        <f>1.02*D188</f>
        <v>0</v>
      </c>
      <c r="W188" s="3070"/>
      <c r="X188" s="3070"/>
      <c r="Y188" s="3070"/>
      <c r="Z188" s="3070"/>
      <c r="AA188" s="3070"/>
      <c r="AB188" s="3070"/>
      <c r="AC188" s="3070"/>
      <c r="AD188" s="3070"/>
      <c r="AE188" s="3070"/>
      <c r="AF188" s="3070"/>
      <c r="AG188" s="3070"/>
      <c r="AH188" s="3070"/>
      <c r="AI188" s="3070"/>
      <c r="AJ188" s="3070"/>
      <c r="AK188" s="3070"/>
      <c r="AL188" s="3070"/>
      <c r="AM188" s="3070"/>
      <c r="AN188" s="3070"/>
      <c r="AO188" s="3070"/>
      <c r="AP188" s="3070"/>
      <c r="AQ188" s="3070"/>
      <c r="AR188" s="3070"/>
      <c r="AS188" s="3070"/>
      <c r="AT188" s="3070"/>
      <c r="AU188" s="3070"/>
      <c r="AV188" s="3070"/>
      <c r="AW188" s="3070"/>
      <c r="AX188" s="3070"/>
      <c r="AY188" s="3070"/>
      <c r="AZ188" s="3070"/>
      <c r="BA188" s="3070"/>
      <c r="BB188" s="3070"/>
      <c r="BC188" s="3070"/>
      <c r="BD188" s="3070"/>
      <c r="BE188" s="3070"/>
      <c r="BF188" s="3070"/>
      <c r="BG188" s="3070"/>
      <c r="BH188" s="3070"/>
      <c r="BI188" s="3070"/>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4325</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3" t="e">
        <f>#REF!&amp;", "&amp;#REF!</f>
        <v>#REF!</v>
      </c>
      <c r="B4" s="3103"/>
      <c r="C4" s="3103"/>
      <c r="D4" s="3103"/>
      <c r="E4" s="3103"/>
      <c r="F4" s="3103"/>
      <c r="G4" s="3103"/>
      <c r="H4" s="3103"/>
      <c r="I4" s="3103"/>
      <c r="J4" s="3103"/>
      <c r="K4" s="3103"/>
      <c r="L4" s="3103"/>
      <c r="M4" s="3103"/>
      <c r="N4" s="3103"/>
      <c r="O4" s="3103"/>
      <c r="P4" s="3103"/>
      <c r="Q4" s="3103"/>
      <c r="R4" s="3103"/>
      <c r="S4" s="3103"/>
      <c r="T4" s="3103"/>
      <c r="U4" s="3103"/>
      <c r="V4" s="3103"/>
      <c r="W4" s="3103"/>
      <c r="X4" s="3103"/>
      <c r="Y4" s="3103"/>
      <c r="Z4" s="3103"/>
      <c r="AA4" s="3103"/>
      <c r="AB4" s="3103"/>
      <c r="AC4" s="3103"/>
      <c r="AD4" s="3103"/>
      <c r="AE4" s="3103"/>
      <c r="AF4" s="3103"/>
      <c r="AG4" s="3103"/>
      <c r="AH4" s="3103"/>
      <c r="AI4" s="3103"/>
      <c r="AJ4" s="3103"/>
      <c r="AK4" s="3103"/>
      <c r="AL4" s="3103"/>
      <c r="AM4" s="3103"/>
      <c r="AN4" s="3103"/>
      <c r="AO4" s="3103"/>
      <c r="AP4" s="3103"/>
      <c r="AQ4" s="3103"/>
      <c r="AR4" s="3103"/>
      <c r="AS4" s="3103"/>
      <c r="AT4" s="3103"/>
      <c r="AU4" s="3103"/>
      <c r="AV4" s="3103"/>
      <c r="AW4" s="3103"/>
      <c r="AX4" s="3103"/>
      <c r="AY4" s="3103"/>
      <c r="AZ4" s="3103"/>
      <c r="BA4" s="3103"/>
      <c r="BB4" s="3103"/>
      <c r="BC4" s="3103"/>
      <c r="BD4" s="3103"/>
      <c r="BE4" s="3103"/>
      <c r="BF4" s="3103"/>
      <c r="BG4" s="3103"/>
      <c r="BH4" s="3103"/>
      <c r="BI4" s="3103"/>
      <c r="BJ4" s="3103"/>
      <c r="BK4" s="3103"/>
      <c r="BL4" s="3103"/>
      <c r="BM4" s="3103"/>
      <c r="BN4" s="3103"/>
      <c r="BO4" s="3103"/>
      <c r="BP4" s="3103"/>
      <c r="BQ4" s="3103"/>
      <c r="BR4" s="3103"/>
      <c r="BS4" s="3103"/>
      <c r="BT4" s="3103"/>
      <c r="BU4" s="3103"/>
      <c r="BV4" s="3103"/>
      <c r="BW4" s="3103"/>
      <c r="BX4" s="3103"/>
      <c r="BY4" s="3103"/>
      <c r="BZ4" s="3103"/>
      <c r="CA4" s="3103"/>
      <c r="CB4" s="3103"/>
      <c r="CC4" s="3103"/>
      <c r="CD4" s="3103"/>
      <c r="CE4" s="3103"/>
      <c r="CF4" s="3103"/>
      <c r="CG4" s="3103"/>
      <c r="CH4" s="3103"/>
      <c r="CI4" s="3103"/>
      <c r="CJ4" s="3103"/>
      <c r="CK4" s="3103"/>
      <c r="CL4" s="3103"/>
      <c r="CM4" s="3103"/>
      <c r="CN4" s="3103"/>
      <c r="CO4" s="3103"/>
      <c r="CP4" s="3103"/>
      <c r="CQ4" s="3103"/>
      <c r="CR4" s="3103"/>
      <c r="CS4" s="3103"/>
      <c r="CT4" s="3103"/>
      <c r="CU4" s="3103"/>
      <c r="CV4" s="3103"/>
      <c r="CW4" s="3103"/>
      <c r="CX4" s="3103"/>
      <c r="CY4" s="3103"/>
      <c r="CZ4" s="3103"/>
      <c r="DA4" s="3103"/>
      <c r="DB4" s="3103"/>
      <c r="DC4" s="3103"/>
      <c r="DD4" s="3103"/>
      <c r="DE4" s="3103"/>
      <c r="DF4" s="3103"/>
      <c r="DG4" s="3103"/>
      <c r="DH4" s="3103"/>
      <c r="DI4" s="3103"/>
      <c r="DJ4" s="3103"/>
      <c r="DK4" s="3103"/>
      <c r="DL4" s="3103"/>
      <c r="DM4" s="3103"/>
      <c r="DN4" s="3103"/>
      <c r="DO4" s="3103"/>
      <c r="DP4" s="3103"/>
      <c r="DQ4" s="3103"/>
      <c r="DR4" s="3103"/>
      <c r="DS4" s="3103"/>
      <c r="DT4" s="3103"/>
      <c r="DU4" s="3103"/>
      <c r="DV4" s="3103"/>
      <c r="DW4" s="3103"/>
      <c r="DX4" s="3103"/>
      <c r="DY4" s="3103"/>
      <c r="DZ4" s="3103"/>
      <c r="EA4" s="3103"/>
      <c r="EB4" s="3103"/>
      <c r="EC4" s="3103"/>
    </row>
    <row r="5" spans="1:153" ht="34.5" customHeight="1" thickTop="1" thickBot="1">
      <c r="A5" s="3107" t="s">
        <v>3765</v>
      </c>
      <c r="B5" s="3109" t="s">
        <v>3766</v>
      </c>
      <c r="C5" s="3105" t="s">
        <v>3876</v>
      </c>
      <c r="D5" s="3105" t="s">
        <v>3877</v>
      </c>
      <c r="E5" s="3105" t="s">
        <v>3773</v>
      </c>
      <c r="F5" s="3097" t="s">
        <v>3774</v>
      </c>
      <c r="G5" s="3097" t="s">
        <v>3775</v>
      </c>
      <c r="H5" s="3097" t="s">
        <v>3776</v>
      </c>
      <c r="I5" s="3111" t="s">
        <v>2277</v>
      </c>
      <c r="J5" s="3112"/>
      <c r="K5" s="3113"/>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0" t="s">
        <v>2391</v>
      </c>
      <c r="BP5" s="3090" t="s">
        <v>2394</v>
      </c>
      <c r="BQ5" s="3090" t="s">
        <v>2394</v>
      </c>
      <c r="BR5" s="3090"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6" t="s">
        <v>3883</v>
      </c>
      <c r="CO5" s="3096" t="s">
        <v>3884</v>
      </c>
      <c r="CP5" s="3096" t="s">
        <v>3885</v>
      </c>
      <c r="CQ5" s="3092" t="str">
        <f>"Chuoãi "&amp;EF6&amp;" laép vaøo xaø  CÑX "&amp;EF6 &amp; "-X"</f>
        <v>Chuoãi Polymer laép vaøo xaø  CÑX Polymer-X</v>
      </c>
      <c r="CR5" s="3101" t="s">
        <v>3785</v>
      </c>
      <c r="CS5" s="3099" t="s">
        <v>3886</v>
      </c>
      <c r="CT5" s="3099" t="s">
        <v>3887</v>
      </c>
      <c r="CU5" s="3096" t="s">
        <v>3786</v>
      </c>
      <c r="CV5" s="3096" t="s">
        <v>3787</v>
      </c>
      <c r="CW5" s="3096" t="s">
        <v>3788</v>
      </c>
      <c r="CX5" s="3096" t="s">
        <v>3789</v>
      </c>
      <c r="CY5" s="3094" t="s">
        <v>3888</v>
      </c>
      <c r="CZ5" s="3094" t="s">
        <v>3889</v>
      </c>
      <c r="DA5" s="3094" t="s">
        <v>3890</v>
      </c>
      <c r="DB5" s="3099" t="s">
        <v>3891</v>
      </c>
      <c r="DC5" s="3094" t="s">
        <v>3892</v>
      </c>
      <c r="DD5" s="3099" t="s">
        <v>3796</v>
      </c>
      <c r="DE5" s="3094" t="s">
        <v>3893</v>
      </c>
      <c r="DF5" s="3090" t="s">
        <v>3797</v>
      </c>
      <c r="DG5" s="3090" t="s">
        <v>3798</v>
      </c>
      <c r="DH5" s="3090" t="s">
        <v>3799</v>
      </c>
      <c r="DI5" s="3090" t="s">
        <v>3800</v>
      </c>
      <c r="DJ5" s="3090" t="s">
        <v>3801</v>
      </c>
      <c r="DK5" s="3090" t="s">
        <v>3803</v>
      </c>
      <c r="DL5" s="3090" t="s">
        <v>3803</v>
      </c>
      <c r="DM5" s="3090" t="s">
        <v>788</v>
      </c>
      <c r="DN5" s="3090" t="s">
        <v>675</v>
      </c>
      <c r="DO5" s="3090" t="s">
        <v>1898</v>
      </c>
      <c r="DP5" s="3090" t="s">
        <v>1129</v>
      </c>
      <c r="DQ5" s="3090" t="s">
        <v>1921</v>
      </c>
      <c r="DR5" s="3090" t="s">
        <v>394</v>
      </c>
      <c r="DS5" s="3090" t="s">
        <v>1912</v>
      </c>
      <c r="DT5" s="3090" t="s">
        <v>1193</v>
      </c>
      <c r="DU5" s="3090" t="s">
        <v>1194</v>
      </c>
      <c r="DV5" s="414"/>
      <c r="DW5" s="414"/>
      <c r="DX5" s="414"/>
      <c r="DY5" s="414"/>
      <c r="DZ5" s="414"/>
      <c r="EA5" s="394"/>
      <c r="EB5" s="3099" t="s">
        <v>3894</v>
      </c>
      <c r="EC5" s="3088" t="s">
        <v>2599</v>
      </c>
    </row>
    <row r="6" spans="1:153" s="420" customFormat="1" ht="99.75" customHeight="1" thickTop="1">
      <c r="A6" s="3108"/>
      <c r="B6" s="3110"/>
      <c r="C6" s="3106"/>
      <c r="D6" s="3106"/>
      <c r="E6" s="3106"/>
      <c r="F6" s="3098"/>
      <c r="G6" s="3098"/>
      <c r="H6" s="3098"/>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4"/>
      <c r="BP6" s="3114"/>
      <c r="BQ6" s="3114"/>
      <c r="BR6" s="3114"/>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3"/>
      <c r="CO6" s="3093"/>
      <c r="CP6" s="3093"/>
      <c r="CQ6" s="3093"/>
      <c r="CR6" s="3102"/>
      <c r="CS6" s="3100"/>
      <c r="CT6" s="3100"/>
      <c r="CU6" s="3093"/>
      <c r="CV6" s="3093"/>
      <c r="CW6" s="3093"/>
      <c r="CX6" s="3093"/>
      <c r="CY6" s="3095"/>
      <c r="CZ6" s="3095"/>
      <c r="DA6" s="3095"/>
      <c r="DB6" s="3100"/>
      <c r="DC6" s="3095"/>
      <c r="DD6" s="3100"/>
      <c r="DE6" s="3095"/>
      <c r="DF6" s="3091"/>
      <c r="DG6" s="3091"/>
      <c r="DH6" s="3091"/>
      <c r="DI6" s="3091"/>
      <c r="DJ6" s="3091"/>
      <c r="DK6" s="3091"/>
      <c r="DL6" s="3091"/>
      <c r="DM6" s="3091"/>
      <c r="DN6" s="3091"/>
      <c r="DO6" s="3091"/>
      <c r="DP6" s="3091"/>
      <c r="DQ6" s="3091"/>
      <c r="DR6" s="3091"/>
      <c r="DS6" s="3091"/>
      <c r="DT6" s="3091"/>
      <c r="DU6" s="3091"/>
      <c r="DV6" s="397" t="s">
        <v>3897</v>
      </c>
      <c r="DW6" s="397" t="s">
        <v>3898</v>
      </c>
      <c r="DX6" s="397" t="s">
        <v>3899</v>
      </c>
      <c r="DY6" s="397" t="s">
        <v>3900</v>
      </c>
      <c r="DZ6" s="397" t="s">
        <v>3901</v>
      </c>
      <c r="EA6" s="394" t="s">
        <v>3858</v>
      </c>
      <c r="EB6" s="3100"/>
      <c r="EC6" s="3089"/>
      <c r="ED6" s="418" t="s">
        <v>1038</v>
      </c>
      <c r="EE6" s="419" t="s">
        <v>189</v>
      </c>
      <c r="EF6" s="420" t="str">
        <f>IF(EE6="P","Polymer","treo 2 baùt")</f>
        <v>Polymer</v>
      </c>
    </row>
    <row r="7" spans="1:153" ht="18.95"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4" t="s">
        <v>1636</v>
      </c>
      <c r="B99" s="3104"/>
      <c r="C99" s="3104"/>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13"/>
  <sheetViews>
    <sheetView topLeftCell="A19" workbookViewId="0">
      <selection activeCell="C34" sqref="C34"/>
    </sheetView>
  </sheetViews>
  <sheetFormatPr defaultRowHeight="16.5"/>
  <cols>
    <col min="3" max="3" width="19" customWidth="1"/>
    <col min="4" max="4" width="32.109375" customWidth="1"/>
    <col min="6" max="6" width="17" style="1328" customWidth="1"/>
  </cols>
  <sheetData>
    <row r="1" spans="2:7" s="1215" customFormat="1" ht="25.9" customHeight="1">
      <c r="B1" s="1215" t="s">
        <v>1708</v>
      </c>
      <c r="C1" s="1215" t="s">
        <v>2603</v>
      </c>
      <c r="D1" s="1215" t="s">
        <v>6477</v>
      </c>
      <c r="E1" s="1215" t="s">
        <v>6489</v>
      </c>
      <c r="F1" s="1328" t="s">
        <v>512</v>
      </c>
      <c r="G1" s="1215" t="s">
        <v>512</v>
      </c>
    </row>
    <row r="2" spans="2:7">
      <c r="B2">
        <v>1</v>
      </c>
      <c r="C2" t="s">
        <v>4393</v>
      </c>
      <c r="D2" s="1215" t="s">
        <v>6475</v>
      </c>
      <c r="E2" t="s">
        <v>512</v>
      </c>
      <c r="F2" s="1328" t="str">
        <f>IF(LEN(C2)&gt;0,VLOOKUP(C2,DG!A:C,3,0),"")</f>
        <v/>
      </c>
    </row>
    <row r="3" spans="2:7">
      <c r="B3">
        <v>2</v>
      </c>
      <c r="C3" s="1215" t="s">
        <v>4393</v>
      </c>
      <c r="D3" s="1215" t="s">
        <v>6476</v>
      </c>
      <c r="E3" s="1215" t="s">
        <v>512</v>
      </c>
      <c r="F3" s="1328" t="str">
        <f>IF(LEN(C3)&gt;0,VLOOKUP(C3,DG!A:C,3,0),"")</f>
        <v/>
      </c>
      <c r="G3" s="1215"/>
    </row>
    <row r="4" spans="2:7" s="1215" customFormat="1">
      <c r="B4" s="1215">
        <v>3</v>
      </c>
      <c r="C4" s="1215" t="s">
        <v>4393</v>
      </c>
      <c r="D4" s="1215" t="s">
        <v>6478</v>
      </c>
      <c r="E4" s="1215" t="s">
        <v>512</v>
      </c>
      <c r="F4" s="1328" t="str">
        <f>IF(LEN(C4)&gt;0,VLOOKUP(C4,DG!A:C,3,0),"")</f>
        <v/>
      </c>
    </row>
    <row r="5" spans="2:7" s="1215" customFormat="1">
      <c r="B5" s="1215">
        <v>4</v>
      </c>
      <c r="C5" s="1215" t="s">
        <v>4393</v>
      </c>
      <c r="D5" s="1215" t="s">
        <v>6479</v>
      </c>
      <c r="E5" s="1215" t="s">
        <v>512</v>
      </c>
      <c r="F5" s="1328" t="str">
        <f>IF(LEN(C5)&gt;0,VLOOKUP(C5,DG!A:C,3,0),"")</f>
        <v/>
      </c>
    </row>
    <row r="6" spans="2:7">
      <c r="B6" s="1215">
        <v>5</v>
      </c>
      <c r="C6" s="1215" t="s">
        <v>6562</v>
      </c>
      <c r="D6" s="1215" t="s">
        <v>6480</v>
      </c>
      <c r="E6" s="1215" t="s">
        <v>512</v>
      </c>
      <c r="F6" s="1328" t="str">
        <f>IF(LEN(C6)&gt;0,VLOOKUP(C6,DG!A:C,3,0),"")</f>
        <v>Cáp 24KV ACXH 95mm2</v>
      </c>
      <c r="G6" s="1215"/>
    </row>
    <row r="7" spans="2:7">
      <c r="B7" s="1215">
        <v>6</v>
      </c>
      <c r="C7" s="1215" t="s">
        <v>6563</v>
      </c>
      <c r="D7" s="1215" t="s">
        <v>6481</v>
      </c>
      <c r="E7" t="s">
        <v>512</v>
      </c>
      <c r="F7" s="1328" t="str">
        <f>IF(LEN(C7)&gt;0,VLOOKUP(C7,DG!A:C,3,0),"")</f>
        <v>Cáp 24KV ACXH 70mm2</v>
      </c>
      <c r="G7" s="1215"/>
    </row>
    <row r="8" spans="2:7">
      <c r="B8" s="1215">
        <v>7</v>
      </c>
      <c r="C8" s="1215" t="s">
        <v>6482</v>
      </c>
      <c r="D8" s="1215" t="s">
        <v>6482</v>
      </c>
      <c r="E8" t="s">
        <v>512</v>
      </c>
      <c r="F8" s="1328" t="str">
        <f>IF(LEN(C8)&gt;0,VLOOKUP(C8,DG!A:C,3,0),"")</f>
        <v>Cáp đồng bọc 24KV-CXV-25</v>
      </c>
      <c r="G8" s="1215"/>
    </row>
    <row r="9" spans="2:7">
      <c r="B9" s="1215">
        <v>8</v>
      </c>
      <c r="C9" s="1215" t="s">
        <v>6483</v>
      </c>
      <c r="D9" s="1215" t="s">
        <v>6483</v>
      </c>
      <c r="E9" t="s">
        <v>512</v>
      </c>
      <c r="F9" s="1328" t="str">
        <f>IF(LEN(C9)&gt;0,VLOOKUP(C9,DG!A:C,3,0),"")</f>
        <v>Cáp đồng bọc 24KV-CXV-95</v>
      </c>
      <c r="G9" s="1215"/>
    </row>
    <row r="10" spans="2:7">
      <c r="B10" s="1215">
        <v>9</v>
      </c>
      <c r="C10" s="1215" t="s">
        <v>4393</v>
      </c>
      <c r="D10" s="1215" t="s">
        <v>6484</v>
      </c>
      <c r="E10" t="s">
        <v>512</v>
      </c>
      <c r="F10" s="1328" t="str">
        <f>IF(LEN(C10)&gt;0,VLOOKUP(C10,DG!A:C,3,0),"")</f>
        <v/>
      </c>
      <c r="G10" s="1215"/>
    </row>
    <row r="11" spans="2:7">
      <c r="B11" s="1215">
        <v>10</v>
      </c>
      <c r="C11" s="1215" t="s">
        <v>4393</v>
      </c>
      <c r="D11" s="1215" t="s">
        <v>6485</v>
      </c>
      <c r="E11" t="s">
        <v>512</v>
      </c>
      <c r="F11" s="1328" t="str">
        <f>IF(LEN(C11)&gt;0,VLOOKUP(C11,DG!A:C,3,0),"")</f>
        <v/>
      </c>
      <c r="G11" s="1215"/>
    </row>
    <row r="12" spans="2:7">
      <c r="B12" s="1215">
        <v>11</v>
      </c>
      <c r="C12" s="1215" t="s">
        <v>4393</v>
      </c>
      <c r="D12" s="1215" t="s">
        <v>4530</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6486</v>
      </c>
      <c r="D18" s="1215" t="s">
        <v>6486</v>
      </c>
      <c r="E18" t="s">
        <v>512</v>
      </c>
      <c r="F18" s="1328" t="str">
        <f>IF(LEN(C18)&gt;0,VLOOKUP(C18,DG!A:C,3,0),"")</f>
        <v>Móng bê tông trụ đôi 14m</v>
      </c>
      <c r="G18" s="1215"/>
    </row>
    <row r="19" spans="2:7">
      <c r="B19" s="1215">
        <v>18</v>
      </c>
      <c r="C19" s="1215" t="s">
        <v>6529</v>
      </c>
      <c r="D19" s="1215" t="s">
        <v>6487</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4708</v>
      </c>
      <c r="D21" s="1215" t="s">
        <v>4708</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45"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6531</v>
      </c>
      <c r="D30" t="s">
        <v>6488</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6491</v>
      </c>
      <c r="E33" t="s">
        <v>512</v>
      </c>
      <c r="F33" s="1328" t="str">
        <f>IF(LEN(C33)&gt;0,VLOOKUP(C33,DG!A:C,3,0),"")</f>
        <v>Bộ khóa néo dây trung hòa vào trụ ghép</v>
      </c>
      <c r="G33" s="1215"/>
    </row>
    <row r="34" spans="2:7">
      <c r="B34" s="1215">
        <v>32</v>
      </c>
      <c r="C34" s="1215" t="s">
        <v>1622</v>
      </c>
      <c r="D34" t="s">
        <v>6490</v>
      </c>
      <c r="E34" t="s">
        <v>512</v>
      </c>
      <c r="F34" s="1328" t="str">
        <f>IF(LEN(C34)&gt;0,VLOOKUP(C34,DG!A:C,3,0),"")</f>
        <v>Bộ khóa néo dây trung hòa vào trụ đơn</v>
      </c>
      <c r="G34" s="1215"/>
    </row>
    <row r="35" spans="2:7">
      <c r="B35" s="1215">
        <v>34</v>
      </c>
      <c r="C35" s="1215" t="s">
        <v>6508</v>
      </c>
      <c r="D35" t="s">
        <v>6514</v>
      </c>
      <c r="E35" t="s">
        <v>512</v>
      </c>
      <c r="F35" s="1328" t="str">
        <f>IF(LEN(C35)&gt;0,VLOOKUP(C35,DG!A:C,3,0),"")</f>
        <v>Dây buộc đầu sứ cỡ dây 95mm2</v>
      </c>
      <c r="G35" s="1215"/>
    </row>
    <row r="36" spans="2:7">
      <c r="B36" s="1215">
        <v>35</v>
      </c>
      <c r="C36" s="1215" t="s">
        <v>6494</v>
      </c>
      <c r="D36" t="s">
        <v>6501</v>
      </c>
      <c r="E36" t="s">
        <v>512</v>
      </c>
      <c r="F36" s="1328" t="str">
        <f>IF(LEN(C36)&gt;0,VLOOKUP(C36,DG!A:C,3,0),"")</f>
        <v>Dây buộc cổ sứ cỡ dây 95mm2</v>
      </c>
      <c r="G36" s="1215"/>
    </row>
    <row r="37" spans="2:7">
      <c r="B37" s="1215">
        <v>36</v>
      </c>
      <c r="C37" s="1215" t="s">
        <v>6511</v>
      </c>
      <c r="D37" t="s">
        <v>6517</v>
      </c>
      <c r="E37" t="s">
        <v>512</v>
      </c>
      <c r="F37" s="1328" t="str">
        <f>IF(LEN(C37)&gt;0,VLOOKUP(C37,DG!A:C,3,0),"")</f>
        <v>Dây buộc đầu sứ cỡ dây 185mm2</v>
      </c>
      <c r="G37" s="1215"/>
    </row>
    <row r="38" spans="2:7">
      <c r="B38" s="1215">
        <v>37</v>
      </c>
      <c r="C38" s="1215" t="s">
        <v>6497</v>
      </c>
      <c r="D38" t="s">
        <v>6504</v>
      </c>
      <c r="E38" t="s">
        <v>512</v>
      </c>
      <c r="F38" s="1328" t="str">
        <f>IF(LEN(C38)&gt;0,VLOOKUP(C38,DG!A:C,3,0),"")</f>
        <v>Dây buộc cổ sứ cỡ dây 185mm2</v>
      </c>
      <c r="G38" s="1215"/>
    </row>
    <row r="39" spans="2:7">
      <c r="B39" s="1215">
        <v>38</v>
      </c>
      <c r="C39" s="1215" t="s">
        <v>236</v>
      </c>
      <c r="D39" t="s">
        <v>6424</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6521</v>
      </c>
      <c r="D44" t="s">
        <v>6522</v>
      </c>
      <c r="E44" t="s">
        <v>512</v>
      </c>
      <c r="F44" s="1328" t="str">
        <f>IF(LEN(C44)&gt;0,VLOOKUP(C44,DG!A:C,3,0),"")</f>
        <v>Ống nối dây AC-185</v>
      </c>
      <c r="G44" s="1215"/>
    </row>
    <row r="45" spans="2:7">
      <c r="B45" s="1215">
        <v>44</v>
      </c>
      <c r="C45" s="1215" t="s">
        <v>4673</v>
      </c>
      <c r="D45" t="s">
        <v>6099</v>
      </c>
      <c r="E45" t="s">
        <v>512</v>
      </c>
      <c r="F45" s="1328" t="str">
        <f>IF(LEN(C45)&gt;0,VLOOKUP(C45,DG!A:C,3,0),"")</f>
        <v>Ong co nhiệt</v>
      </c>
      <c r="G45" s="1215"/>
    </row>
    <row r="46" spans="2:7">
      <c r="B46" s="1215">
        <v>45</v>
      </c>
      <c r="C46" s="1215" t="s">
        <v>5799</v>
      </c>
      <c r="D46" t="s">
        <v>6100</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4393</v>
      </c>
      <c r="D52" t="s">
        <v>4057</v>
      </c>
      <c r="F52" s="1328" t="str">
        <f>IF(LEN(C52)&gt;0,VLOOKUP(C52,DG!A:C,3,0),"")</f>
        <v/>
      </c>
      <c r="G52" s="1215"/>
    </row>
    <row r="53" spans="2:7">
      <c r="B53" s="1215">
        <v>50</v>
      </c>
      <c r="C53" s="1215" t="s">
        <v>4393</v>
      </c>
      <c r="D53" t="s">
        <v>4058</v>
      </c>
      <c r="F53" s="1328" t="str">
        <f>IF(LEN(C53)&gt;0,VLOOKUP(C53,DG!A:C,3,0),"")</f>
        <v/>
      </c>
      <c r="G53" s="1215"/>
    </row>
    <row r="54" spans="2:7">
      <c r="B54" s="1215">
        <v>51</v>
      </c>
      <c r="C54" s="1215" t="s">
        <v>4393</v>
      </c>
      <c r="D54" t="s">
        <v>4059</v>
      </c>
      <c r="F54" s="1328" t="str">
        <f>IF(LEN(C54)&gt;0,VLOOKUP(C54,DG!A:C,3,0),"")</f>
        <v/>
      </c>
      <c r="G54" s="1215"/>
    </row>
    <row r="55" spans="2:7">
      <c r="B55" s="1215">
        <v>52</v>
      </c>
      <c r="C55" s="1215" t="s">
        <v>4393</v>
      </c>
      <c r="D55" t="s">
        <v>4060</v>
      </c>
      <c r="F55" s="1328" t="str">
        <f>IF(LEN(C55)&gt;0,VLOOKUP(C55,DG!A:C,3,0),"")</f>
        <v/>
      </c>
      <c r="G55" s="1215"/>
    </row>
    <row r="56" spans="2:7" s="1215" customFormat="1">
      <c r="B56" s="1215">
        <v>53</v>
      </c>
      <c r="C56" s="1215" t="s">
        <v>4393</v>
      </c>
      <c r="D56" s="1215" t="s">
        <v>4061</v>
      </c>
      <c r="F56" s="1328" t="str">
        <f>IF(LEN(C56)&gt;0,VLOOKUP(C56,DG!A:C,3,0),"")</f>
        <v/>
      </c>
    </row>
    <row r="57" spans="2:7">
      <c r="B57" s="1215">
        <v>54</v>
      </c>
      <c r="C57" s="1215" t="s">
        <v>4393</v>
      </c>
      <c r="D57" t="s">
        <v>4062</v>
      </c>
      <c r="F57" s="1328" t="str">
        <f>IF(LEN(C57)&gt;0,VLOOKUP(C57,DG!A:C,3,0),"")</f>
        <v/>
      </c>
      <c r="G57" s="1215"/>
    </row>
    <row r="58" spans="2:7">
      <c r="B58" s="1215">
        <v>55</v>
      </c>
      <c r="C58" s="1215" t="s">
        <v>4393</v>
      </c>
      <c r="D58" t="s">
        <v>4063</v>
      </c>
      <c r="F58" s="1328" t="str">
        <f>IF(LEN(C58)&gt;0,VLOOKUP(C58,DG!A:C,3,0),"")</f>
        <v/>
      </c>
      <c r="G58" s="1215"/>
    </row>
    <row r="59" spans="2:7">
      <c r="B59" s="1215">
        <v>56</v>
      </c>
      <c r="C59" s="1215" t="s">
        <v>4393</v>
      </c>
      <c r="D59" t="s">
        <v>4064</v>
      </c>
      <c r="F59" s="1328" t="str">
        <f>IF(LEN(C59)&gt;0,VLOOKUP(C59,DG!A:C,3,0),"")</f>
        <v/>
      </c>
      <c r="G59" s="1215"/>
    </row>
    <row r="60" spans="2:7">
      <c r="B60" s="1215">
        <v>57</v>
      </c>
      <c r="C60" s="1215" t="s">
        <v>4393</v>
      </c>
      <c r="D60" t="s">
        <v>4065</v>
      </c>
      <c r="F60" s="1328" t="str">
        <f>IF(LEN(C60)&gt;0,VLOOKUP(C60,DG!A:C,3,0),"")</f>
        <v/>
      </c>
      <c r="G60" s="1215"/>
    </row>
    <row r="61" spans="2:7">
      <c r="B61" s="1215">
        <v>58</v>
      </c>
      <c r="C61" s="1215" t="s">
        <v>4393</v>
      </c>
      <c r="D61" t="s">
        <v>4066</v>
      </c>
      <c r="F61" s="1328" t="str">
        <f>IF(LEN(C61)&gt;0,VLOOKUP(C61,DG!A:C,3,0),"")</f>
        <v/>
      </c>
      <c r="G61" s="1215"/>
    </row>
    <row r="62" spans="2:7">
      <c r="B62" s="1215">
        <v>59</v>
      </c>
      <c r="C62" s="1215" t="s">
        <v>4393</v>
      </c>
      <c r="D62" t="s">
        <v>4067</v>
      </c>
      <c r="F62" s="1328" t="str">
        <f>IF(LEN(C62)&gt;0,VLOOKUP(C62,DG!A:C,3,0),"")</f>
        <v/>
      </c>
      <c r="G62" s="1215"/>
    </row>
    <row r="63" spans="2:7">
      <c r="B63" s="1215">
        <v>60</v>
      </c>
      <c r="C63" s="1215" t="s">
        <v>4393</v>
      </c>
      <c r="D63" t="s">
        <v>4068</v>
      </c>
      <c r="F63" s="1328" t="str">
        <f>IF(LEN(C63)&gt;0,VLOOKUP(C63,DG!A:C,3,0),"")</f>
        <v/>
      </c>
      <c r="G63" s="1215"/>
    </row>
    <row r="64" spans="2:7">
      <c r="B64" s="1215">
        <v>61</v>
      </c>
      <c r="C64" s="1215" t="s">
        <v>4393</v>
      </c>
      <c r="D64" t="s">
        <v>4069</v>
      </c>
      <c r="F64" s="1328" t="str">
        <f>IF(LEN(C64)&gt;0,VLOOKUP(C64,DG!A:C,3,0),"")</f>
        <v/>
      </c>
      <c r="G64" s="1215"/>
    </row>
    <row r="65" spans="2:7">
      <c r="B65" s="1215">
        <v>62</v>
      </c>
      <c r="C65" s="1215" t="s">
        <v>4393</v>
      </c>
      <c r="D65" t="s">
        <v>4070</v>
      </c>
      <c r="F65" s="1328" t="str">
        <f>IF(LEN(C65)&gt;0,VLOOKUP(C65,DG!A:C,3,0),"")</f>
        <v/>
      </c>
      <c r="G65" s="1215"/>
    </row>
    <row r="66" spans="2:7">
      <c r="B66" s="1215">
        <v>63</v>
      </c>
      <c r="C66" s="1215" t="s">
        <v>4393</v>
      </c>
      <c r="D66" t="s">
        <v>4071</v>
      </c>
      <c r="F66" s="1328" t="str">
        <f>IF(LEN(C66)&gt;0,VLOOKUP(C66,DG!A:C,3,0),"")</f>
        <v/>
      </c>
      <c r="G66" s="1215"/>
    </row>
    <row r="67" spans="2:7">
      <c r="B67" s="1215">
        <v>64</v>
      </c>
      <c r="C67" s="1215" t="s">
        <v>4393</v>
      </c>
      <c r="D67" t="s">
        <v>4072</v>
      </c>
      <c r="F67" s="1328" t="str">
        <f>IF(LEN(C67)&gt;0,VLOOKUP(C67,DG!A:C,3,0),"")</f>
        <v/>
      </c>
      <c r="G67" s="1215"/>
    </row>
    <row r="68" spans="2:7">
      <c r="B68" s="1215">
        <v>65</v>
      </c>
      <c r="C68" s="1215" t="s">
        <v>4393</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4393</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149999999999999" customHeight="1">
      <c r="B110" s="1215">
        <v>107</v>
      </c>
      <c r="C110" s="1215" t="s">
        <v>4393</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4393</v>
      </c>
      <c r="D121" s="1215" t="s">
        <v>2046</v>
      </c>
      <c r="F121" s="1328" t="str">
        <f>IF(LEN(C121)&gt;0,VLOOKUP(C121,DG!A:C,3,0),"")</f>
        <v/>
      </c>
      <c r="G121" s="1215"/>
    </row>
    <row r="122" spans="2:7">
      <c r="B122" s="1215">
        <v>119</v>
      </c>
      <c r="C122" s="1215" t="s">
        <v>4393</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4810</v>
      </c>
      <c r="D131" s="1215" t="s">
        <v>4810</v>
      </c>
      <c r="F131" s="1328" t="str">
        <f>IF(LEN(C131)&gt;0,VLOOKUP(C131,DG!A:C,3,0),"")</f>
        <v>Bộ xà kép L75x75x8 dài 2.2m: X-22K-Đ-C920 lắp trụ đơn</v>
      </c>
      <c r="G131" s="1215"/>
    </row>
    <row r="132" spans="2:7" s="1215" customFormat="1">
      <c r="B132" s="1215">
        <v>129</v>
      </c>
      <c r="C132" s="1215" t="s">
        <v>4811</v>
      </c>
      <c r="D132" s="1215" t="s">
        <v>4811</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4393</v>
      </c>
      <c r="D137" s="1215" t="s">
        <v>894</v>
      </c>
      <c r="F137" s="1328" t="str">
        <f>IF(LEN(C137)&gt;0,VLOOKUP(C137,DG!A:C,3,0),"")</f>
        <v/>
      </c>
    </row>
    <row r="138" spans="2:7" s="1215" customFormat="1">
      <c r="B138" s="1215">
        <v>135</v>
      </c>
      <c r="C138" s="1215" t="s">
        <v>4393</v>
      </c>
      <c r="D138" s="1215" t="s">
        <v>3883</v>
      </c>
      <c r="F138" s="1328" t="str">
        <f>IF(LEN(C138)&gt;0,VLOOKUP(C138,DG!A:C,3,0),"")</f>
        <v/>
      </c>
    </row>
    <row r="139" spans="2:7" s="1215" customFormat="1">
      <c r="B139" s="1215">
        <v>136</v>
      </c>
      <c r="C139" s="1215" t="s">
        <v>4393</v>
      </c>
      <c r="D139" s="1215" t="s">
        <v>3884</v>
      </c>
      <c r="F139" s="1328" t="str">
        <f>IF(LEN(C139)&gt;0,VLOOKUP(C139,DG!A:C,3,0),"")</f>
        <v/>
      </c>
    </row>
    <row r="140" spans="2:7" s="1215" customFormat="1">
      <c r="B140" s="1215">
        <v>137</v>
      </c>
      <c r="C140" s="1215" t="s">
        <v>4393</v>
      </c>
      <c r="D140" s="1215" t="s">
        <v>4074</v>
      </c>
      <c r="F140" s="1328" t="str">
        <f>IF(LEN(C140)&gt;0,VLOOKUP(C140,DG!A:C,3,0),"")</f>
        <v/>
      </c>
    </row>
    <row r="141" spans="2:7" s="1215" customFormat="1">
      <c r="B141" s="1215">
        <v>138</v>
      </c>
      <c r="C141" s="1215" t="s">
        <v>4393</v>
      </c>
      <c r="D141" s="1215" t="s">
        <v>3581</v>
      </c>
      <c r="F141" s="1328" t="str">
        <f>IF(LEN(C141)&gt;0,VLOOKUP(C141,DG!A:C,3,0),"")</f>
        <v/>
      </c>
    </row>
    <row r="142" spans="2:7" s="1215" customFormat="1">
      <c r="B142" s="1215">
        <v>139</v>
      </c>
      <c r="C142" s="1215" t="s">
        <v>4393</v>
      </c>
      <c r="D142" s="1215" t="s">
        <v>4075</v>
      </c>
      <c r="F142" s="1328" t="str">
        <f>IF(LEN(C142)&gt;0,VLOOKUP(C142,DG!A:C,3,0),"")</f>
        <v/>
      </c>
    </row>
    <row r="143" spans="2:7" s="1215" customFormat="1">
      <c r="B143" s="1215">
        <v>140</v>
      </c>
      <c r="C143" s="1215" t="s">
        <v>4393</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6420</v>
      </c>
      <c r="F145" s="1328" t="str">
        <f>IF(LEN(C145)&gt;0,VLOOKUP(C145,DG!A:C,3,0),"")</f>
        <v>Bộ khóa néo dây trung hòa vào xà</v>
      </c>
    </row>
    <row r="146" spans="2:7">
      <c r="B146" s="1215">
        <v>143</v>
      </c>
      <c r="C146" s="1215" t="s">
        <v>4393</v>
      </c>
      <c r="D146" s="1215" t="s">
        <v>4531</v>
      </c>
      <c r="F146" s="1328" t="str">
        <f>IF(LEN(C146)&gt;0,VLOOKUP(C146,DG!A:C,3,0),"")</f>
        <v/>
      </c>
      <c r="G146" s="1215"/>
    </row>
    <row r="147" spans="2:7">
      <c r="B147" s="1215">
        <v>145</v>
      </c>
      <c r="C147" s="1215" t="s">
        <v>6506</v>
      </c>
      <c r="D147" s="1215" t="s">
        <v>6512</v>
      </c>
      <c r="F147" s="1328" t="str">
        <f>IF(LEN(C147)&gt;0,VLOOKUP(C147,DG!A:C,3,0),"")</f>
        <v>Dây buộc đầu sứ cỡ dây 50mm2</v>
      </c>
      <c r="G147" s="1215"/>
    </row>
    <row r="148" spans="2:7">
      <c r="B148" s="1215">
        <v>146</v>
      </c>
      <c r="C148" s="1215" t="s">
        <v>6507</v>
      </c>
      <c r="D148" s="1215" t="s">
        <v>6513</v>
      </c>
      <c r="F148" s="1328" t="str">
        <f>IF(LEN(C148)&gt;0,VLOOKUP(C148,DG!A:C,3,0),"")</f>
        <v>Dây buộc đầu sứ cỡ dây 70mm2</v>
      </c>
      <c r="G148" s="1215"/>
    </row>
    <row r="149" spans="2:7">
      <c r="B149" s="1215">
        <v>147</v>
      </c>
      <c r="C149" s="1215" t="s">
        <v>6509</v>
      </c>
      <c r="D149" s="1215" t="s">
        <v>6515</v>
      </c>
      <c r="F149" s="1328" t="str">
        <f>IF(LEN(C149)&gt;0,VLOOKUP(C149,DG!A:C,3,0),"")</f>
        <v>Dây buộc đầu sứ cỡ dây 120mm2</v>
      </c>
      <c r="G149" s="1215"/>
    </row>
    <row r="150" spans="2:7">
      <c r="B150" s="1215">
        <v>148</v>
      </c>
      <c r="C150" s="1215" t="s">
        <v>6510</v>
      </c>
      <c r="D150" s="1215" t="s">
        <v>6516</v>
      </c>
      <c r="F150" s="1328" t="str">
        <f>IF(LEN(C150)&gt;0,VLOOKUP(C150,DG!A:C,3,0),"")</f>
        <v>Dây buộc đầu sứ cỡ dây 150mm2</v>
      </c>
      <c r="G150" s="1215"/>
    </row>
    <row r="151" spans="2:7">
      <c r="B151" s="1215">
        <v>149</v>
      </c>
      <c r="C151" s="1215" t="s">
        <v>6518</v>
      </c>
      <c r="D151" s="1215" t="s">
        <v>6519</v>
      </c>
      <c r="F151" s="1328" t="e">
        <f>IF(LEN(C151)&gt;0,VLOOKUP(C151,DG!A:C,3,0),"")</f>
        <v>#N/A</v>
      </c>
      <c r="G151" s="1215"/>
    </row>
    <row r="152" spans="2:7">
      <c r="B152" s="1215">
        <v>150</v>
      </c>
      <c r="C152" s="1215" t="s">
        <v>6492</v>
      </c>
      <c r="D152" s="1215" t="s">
        <v>6499</v>
      </c>
      <c r="F152" s="1328" t="str">
        <f>IF(LEN(C152)&gt;0,VLOOKUP(C152,DG!A:C,3,0),"")</f>
        <v>Dây buộc cổ sứ cỡ dây 50mm2</v>
      </c>
      <c r="G152" s="1215"/>
    </row>
    <row r="153" spans="2:7">
      <c r="B153" s="1215">
        <v>151</v>
      </c>
      <c r="C153" s="1215" t="s">
        <v>6493</v>
      </c>
      <c r="D153" s="1215" t="s">
        <v>6500</v>
      </c>
      <c r="F153" s="1328" t="str">
        <f>IF(LEN(C153)&gt;0,VLOOKUP(C153,DG!A:C,3,0),"")</f>
        <v>Dây buộc cổ sứ cỡ dây 70mm2</v>
      </c>
      <c r="G153" s="1215"/>
    </row>
    <row r="154" spans="2:7">
      <c r="B154" s="1215">
        <v>152</v>
      </c>
      <c r="C154" s="1215" t="s">
        <v>6495</v>
      </c>
      <c r="D154" s="1215" t="s">
        <v>6502</v>
      </c>
      <c r="F154" s="1328" t="str">
        <f>IF(LEN(C154)&gt;0,VLOOKUP(C154,DG!A:C,3,0),"")</f>
        <v>Dây buộc cổ sứ cỡ dây 120mm2</v>
      </c>
      <c r="G154" s="1215"/>
    </row>
    <row r="155" spans="2:7">
      <c r="B155" s="1215">
        <v>153</v>
      </c>
      <c r="C155" s="1215" t="s">
        <v>6496</v>
      </c>
      <c r="D155" s="1215" t="s">
        <v>6503</v>
      </c>
      <c r="F155" s="1328" t="str">
        <f>IF(LEN(C155)&gt;0,VLOOKUP(C155,DG!A:C,3,0),"")</f>
        <v>Dây buộc cổ sứ cỡ dây 150mm2</v>
      </c>
      <c r="G155" s="1215"/>
    </row>
    <row r="156" spans="2:7">
      <c r="B156" s="1215">
        <v>154</v>
      </c>
      <c r="C156" s="1215" t="s">
        <v>6498</v>
      </c>
      <c r="D156" s="1215" t="s">
        <v>6505</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6422</v>
      </c>
      <c r="F158" s="1328" t="str">
        <f>IF(LEN(C158)&gt;0,VLOOKUP(C158,DG!A:C,3,0),"")</f>
        <v>Kẹp 2 rãnh cỡ dây 185mm2</v>
      </c>
      <c r="G158" s="1215"/>
    </row>
    <row r="159" spans="2:7">
      <c r="B159" s="1215">
        <v>157</v>
      </c>
      <c r="C159" s="1215" t="s">
        <v>2071</v>
      </c>
      <c r="D159" s="1215" t="s">
        <v>6520</v>
      </c>
      <c r="F159" s="1328" t="str">
        <f>IF(LEN(C159)&gt;0,VLOOKUP(C159,DG!A:C,3,0),"")</f>
        <v>Kẹp 2 rãnh cỡ dây 240 mm2</v>
      </c>
      <c r="G159" s="1215"/>
    </row>
    <row r="160" spans="2:7">
      <c r="B160" s="1215">
        <v>158</v>
      </c>
      <c r="C160" s="1215" t="s">
        <v>4393</v>
      </c>
      <c r="D160" s="1215" t="s">
        <v>4083</v>
      </c>
      <c r="F160" s="1328" t="str">
        <f>IF(LEN(C160)&gt;0,VLOOKUP(C160,DG!A:C,3,0),"")</f>
        <v/>
      </c>
      <c r="G160" s="1215"/>
    </row>
    <row r="161" spans="2:7">
      <c r="B161" s="1215">
        <v>159</v>
      </c>
      <c r="C161" s="1215" t="s">
        <v>4393</v>
      </c>
      <c r="D161" s="1215" t="s">
        <v>4084</v>
      </c>
      <c r="F161" s="1328" t="str">
        <f>IF(LEN(C161)&gt;0,VLOOKUP(C161,DG!A:C,3,0),"")</f>
        <v/>
      </c>
      <c r="G161" s="1215"/>
    </row>
    <row r="162" spans="2:7">
      <c r="B162" s="1215">
        <v>160</v>
      </c>
      <c r="C162" s="1215" t="s">
        <v>4393</v>
      </c>
      <c r="D162" s="1215" t="s">
        <v>4085</v>
      </c>
      <c r="F162" s="1328" t="str">
        <f>IF(LEN(C162)&gt;0,VLOOKUP(C162,DG!A:C,3,0),"")</f>
        <v/>
      </c>
      <c r="G162" s="1215"/>
    </row>
    <row r="163" spans="2:7">
      <c r="B163" s="1215">
        <v>161</v>
      </c>
      <c r="C163" s="1215" t="s">
        <v>4393</v>
      </c>
      <c r="D163" s="1215" t="s">
        <v>4597</v>
      </c>
      <c r="F163" s="1328" t="str">
        <f>IF(LEN(C163)&gt;0,VLOOKUP(C163,DG!A:C,3,0),"")</f>
        <v/>
      </c>
      <c r="G163" s="1215"/>
    </row>
    <row r="164" spans="2:7">
      <c r="B164" s="1215">
        <v>162</v>
      </c>
      <c r="C164" s="1215" t="s">
        <v>4393</v>
      </c>
      <c r="D164" s="1215" t="s">
        <v>1733</v>
      </c>
      <c r="F164" s="1328" t="str">
        <f>IF(LEN(C164)&gt;0,VLOOKUP(C164,DG!A:C,3,0),"")</f>
        <v/>
      </c>
      <c r="G164" s="1215"/>
    </row>
    <row r="165" spans="2:7" s="1215" customFormat="1">
      <c r="B165" s="1215">
        <v>163</v>
      </c>
      <c r="C165" s="1215" t="s">
        <v>4393</v>
      </c>
      <c r="D165" s="1215" t="s">
        <v>4086</v>
      </c>
      <c r="F165" s="1328" t="str">
        <f>IF(LEN(C165)&gt;0,VLOOKUP(C165,DG!A:C,3,0),"")</f>
        <v/>
      </c>
    </row>
    <row r="166" spans="2:7">
      <c r="B166" s="1215">
        <v>164</v>
      </c>
      <c r="C166" s="1215" t="s">
        <v>4393</v>
      </c>
      <c r="D166" s="1215" t="s">
        <v>3792</v>
      </c>
      <c r="F166" s="1328" t="str">
        <f>IF(LEN(C166)&gt;0,VLOOKUP(C166,DG!A:C,3,0),"")</f>
        <v/>
      </c>
      <c r="G166" s="1215"/>
    </row>
    <row r="167" spans="2:7">
      <c r="B167" s="1215">
        <v>165</v>
      </c>
      <c r="C167" s="1215" t="s">
        <v>4393</v>
      </c>
      <c r="D167" s="1215" t="s">
        <v>3794</v>
      </c>
      <c r="F167" s="1328" t="str">
        <f>IF(LEN(C167)&gt;0,VLOOKUP(C167,DG!A:C,3,0),"")</f>
        <v/>
      </c>
      <c r="G167" s="1215"/>
    </row>
    <row r="168" spans="2:7">
      <c r="B168" s="1215">
        <v>166</v>
      </c>
      <c r="C168" s="1215" t="s">
        <v>4393</v>
      </c>
      <c r="D168" s="1215" t="s">
        <v>3795</v>
      </c>
      <c r="F168" s="1328" t="str">
        <f>IF(LEN(C168)&gt;0,VLOOKUP(C168,DG!A:C,3,0),"")</f>
        <v/>
      </c>
      <c r="G168" s="1215"/>
    </row>
    <row r="169" spans="2:7">
      <c r="B169" s="1215">
        <v>167</v>
      </c>
      <c r="C169" s="1215" t="s">
        <v>4393</v>
      </c>
      <c r="D169" s="1215" t="s">
        <v>4089</v>
      </c>
      <c r="F169" s="1328" t="str">
        <f>IF(LEN(C169)&gt;0,VLOOKUP(C169,DG!A:C,3,0),"")</f>
        <v/>
      </c>
      <c r="G169" s="1215"/>
    </row>
    <row r="170" spans="2:7">
      <c r="B170" s="1215">
        <v>168</v>
      </c>
      <c r="C170" s="1215" t="s">
        <v>4393</v>
      </c>
      <c r="D170" s="1215" t="s">
        <v>4090</v>
      </c>
      <c r="F170" s="1328" t="str">
        <f>IF(LEN(C170)&gt;0,VLOOKUP(C170,DG!A:C,3,0),"")</f>
        <v/>
      </c>
      <c r="G170" s="1215"/>
    </row>
    <row r="171" spans="2:7">
      <c r="B171" s="1215">
        <v>169</v>
      </c>
      <c r="C171" s="1215" t="s">
        <v>4393</v>
      </c>
      <c r="D171" s="1215" t="s">
        <v>6098</v>
      </c>
      <c r="F171" s="1328" t="str">
        <f>IF(LEN(C171)&gt;0,VLOOKUP(C171,DG!A:C,3,0),"")</f>
        <v/>
      </c>
      <c r="G171" s="1215"/>
    </row>
    <row r="172" spans="2:7">
      <c r="B172" s="1215">
        <v>170</v>
      </c>
      <c r="C172" s="1215" t="s">
        <v>4393</v>
      </c>
      <c r="D172" s="1215" t="s">
        <v>3799</v>
      </c>
      <c r="F172" s="1328" t="str">
        <f>IF(LEN(C172)&gt;0,VLOOKUP(C172,DG!A:C,3,0),"")</f>
        <v/>
      </c>
      <c r="G172" s="1215"/>
    </row>
    <row r="173" spans="2:7">
      <c r="B173" s="1215">
        <v>171</v>
      </c>
      <c r="C173" s="1215" t="s">
        <v>4393</v>
      </c>
      <c r="D173" s="1215" t="s">
        <v>3800</v>
      </c>
      <c r="F173" s="1328" t="str">
        <f>IF(LEN(C173)&gt;0,VLOOKUP(C173,DG!A:C,3,0),"")</f>
        <v/>
      </c>
      <c r="G173" s="1215"/>
    </row>
    <row r="174" spans="2:7">
      <c r="B174" s="1215">
        <v>172</v>
      </c>
      <c r="C174" s="1215" t="s">
        <v>4393</v>
      </c>
      <c r="D174" s="1215" t="s">
        <v>3801</v>
      </c>
      <c r="F174" s="1328" t="str">
        <f>IF(LEN(C174)&gt;0,VLOOKUP(C174,DG!A:C,3,0),"")</f>
        <v/>
      </c>
      <c r="G174" s="1215"/>
    </row>
    <row r="175" spans="2:7">
      <c r="B175" s="1215">
        <v>173</v>
      </c>
      <c r="C175" s="1215" t="s">
        <v>4393</v>
      </c>
      <c r="D175" s="1215" t="s">
        <v>3802</v>
      </c>
      <c r="F175" s="1328" t="str">
        <f>IF(LEN(C175)&gt;0,VLOOKUP(C175,DG!A:C,3,0),"")</f>
        <v/>
      </c>
      <c r="G175" s="1215"/>
    </row>
    <row r="176" spans="2:7">
      <c r="B176" s="1215">
        <v>174</v>
      </c>
      <c r="C176" s="1215" t="s">
        <v>4393</v>
      </c>
      <c r="D176" t="s">
        <v>3803</v>
      </c>
      <c r="F176" s="1328" t="str">
        <f>IF(LEN(C176)&gt;0,VLOOKUP(C176,DG!A:C,3,0),"")</f>
        <v/>
      </c>
      <c r="G176" s="1215"/>
    </row>
    <row r="177" spans="2:7">
      <c r="B177" s="1215">
        <v>175</v>
      </c>
      <c r="C177" s="1215" t="s">
        <v>4393</v>
      </c>
      <c r="D177" s="1215" t="s">
        <v>4629</v>
      </c>
      <c r="F177" s="1328" t="str">
        <f>IF(LEN(C177)&gt;0,VLOOKUP(C177,DG!A:C,3,0),"")</f>
        <v/>
      </c>
      <c r="G177" s="1215"/>
    </row>
    <row r="178" spans="2:7">
      <c r="B178" s="1215">
        <v>176</v>
      </c>
      <c r="C178" s="1215" t="s">
        <v>4393</v>
      </c>
      <c r="D178" s="1215" t="s">
        <v>4630</v>
      </c>
      <c r="F178" s="1328" t="str">
        <f>IF(LEN(C178)&gt;0,VLOOKUP(C178,DG!A:C,3,0),"")</f>
        <v/>
      </c>
      <c r="G178" s="1215"/>
    </row>
    <row r="179" spans="2:7">
      <c r="B179" s="1215">
        <v>177</v>
      </c>
      <c r="C179" s="1215" t="s">
        <v>4393</v>
      </c>
      <c r="D179" s="1215" t="s">
        <v>4758</v>
      </c>
      <c r="F179" s="1328" t="str">
        <f>IF(LEN(C179)&gt;0,VLOOKUP(C179,DG!A:C,3,0),"")</f>
        <v/>
      </c>
      <c r="G179" s="1215"/>
    </row>
    <row r="180" spans="2:7">
      <c r="B180" s="1215">
        <v>178</v>
      </c>
      <c r="C180" s="1215" t="s">
        <v>4393</v>
      </c>
      <c r="D180" s="1215" t="s">
        <v>4759</v>
      </c>
      <c r="F180" s="1328" t="str">
        <f>IF(LEN(C180)&gt;0,VLOOKUP(C180,DG!A:C,3,0),"")</f>
        <v/>
      </c>
      <c r="G180" s="1215"/>
    </row>
    <row r="181" spans="2:7" s="1215" customFormat="1">
      <c r="B181" s="1215">
        <v>179</v>
      </c>
      <c r="C181" s="1215" t="s">
        <v>4393</v>
      </c>
      <c r="D181" s="1215" t="s">
        <v>1730</v>
      </c>
      <c r="F181" s="1328" t="str">
        <f>IF(LEN(C181)&gt;0,VLOOKUP(C181,DG!A:C,3,0),"")</f>
        <v/>
      </c>
    </row>
    <row r="182" spans="2:7">
      <c r="B182" s="1215">
        <v>180</v>
      </c>
      <c r="C182" s="1215" t="s">
        <v>4393</v>
      </c>
      <c r="D182" s="1215" t="s">
        <v>1375</v>
      </c>
      <c r="F182" s="1328" t="str">
        <f>IF(LEN(C182)&gt;0,VLOOKUP(C182,DG!A:C,3,0),"")</f>
        <v/>
      </c>
      <c r="G182" s="1215"/>
    </row>
    <row r="183" spans="2:7">
      <c r="B183" s="1215">
        <v>181</v>
      </c>
      <c r="C183" s="1215" t="s">
        <v>4393</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4393</v>
      </c>
      <c r="D187" s="1215" t="s">
        <v>2546</v>
      </c>
      <c r="F187" s="1328" t="str">
        <f>IF(LEN(C187)&gt;0,VLOOKUP(C187,DG!A:C,3,0),"")</f>
        <v/>
      </c>
      <c r="G187" s="1215"/>
    </row>
    <row r="188" spans="2:7">
      <c r="B188" s="1215">
        <v>186</v>
      </c>
      <c r="C188" s="1215" t="s">
        <v>4393</v>
      </c>
      <c r="D188" s="1215" t="s">
        <v>4091</v>
      </c>
      <c r="F188" s="1328" t="str">
        <f>IF(LEN(C188)&gt;0,VLOOKUP(C188,DG!A:C,3,0),"")</f>
        <v/>
      </c>
      <c r="G188" s="1215"/>
    </row>
    <row r="189" spans="2:7">
      <c r="B189" s="1215">
        <v>187</v>
      </c>
      <c r="C189" s="1215" t="s">
        <v>4393</v>
      </c>
      <c r="D189" s="1215" t="s">
        <v>4092</v>
      </c>
      <c r="F189" s="1328" t="str">
        <f>IF(LEN(C189)&gt;0,VLOOKUP(C189,DG!A:C,3,0),"")</f>
        <v/>
      </c>
      <c r="G189" s="1215"/>
    </row>
    <row r="190" spans="2:7">
      <c r="B190" s="1215">
        <v>188</v>
      </c>
      <c r="C190" s="1215" t="s">
        <v>4393</v>
      </c>
      <c r="D190" s="1215" t="s">
        <v>4093</v>
      </c>
      <c r="F190" s="1328" t="str">
        <f>IF(LEN(C190)&gt;0,VLOOKUP(C190,DG!A:C,3,0),"")</f>
        <v/>
      </c>
      <c r="G190" s="1215"/>
    </row>
    <row r="191" spans="2:7">
      <c r="B191" s="1215">
        <v>189</v>
      </c>
      <c r="C191" s="1215" t="s">
        <v>4393</v>
      </c>
      <c r="D191" s="1215" t="s">
        <v>4094</v>
      </c>
      <c r="F191" s="1328" t="str">
        <f>IF(LEN(C191)&gt;0,VLOOKUP(C191,DG!A:C,3,0),"")</f>
        <v/>
      </c>
      <c r="G191" s="1215"/>
    </row>
    <row r="192" spans="2:7">
      <c r="B192" s="1215">
        <v>190</v>
      </c>
      <c r="C192" s="1215" t="s">
        <v>4393</v>
      </c>
      <c r="D192" s="1215" t="s">
        <v>4095</v>
      </c>
      <c r="F192" s="1328" t="str">
        <f>IF(LEN(C192)&gt;0,VLOOKUP(C192,DG!A:C,3,0),"")</f>
        <v/>
      </c>
      <c r="G192" s="1215"/>
    </row>
    <row r="193" spans="2:7">
      <c r="B193" s="1215">
        <v>191</v>
      </c>
      <c r="C193" s="1215" t="s">
        <v>4393</v>
      </c>
      <c r="D193" s="1215" t="s">
        <v>3899</v>
      </c>
      <c r="F193" s="1328" t="str">
        <f>IF(LEN(C193)&gt;0,VLOOKUP(C193,DG!A:C,3,0),"")</f>
        <v/>
      </c>
      <c r="G193" s="1215"/>
    </row>
    <row r="194" spans="2:7">
      <c r="B194" s="1215">
        <v>192</v>
      </c>
      <c r="C194" s="1215" t="s">
        <v>4393</v>
      </c>
      <c r="D194" s="1215" t="s">
        <v>4096</v>
      </c>
      <c r="F194" s="1328" t="str">
        <f>IF(LEN(C194)&gt;0,VLOOKUP(C194,DG!A:C,3,0),"")</f>
        <v/>
      </c>
      <c r="G194" s="1215"/>
    </row>
    <row r="195" spans="2:7">
      <c r="B195" s="1215">
        <v>193</v>
      </c>
      <c r="C195" s="1215" t="s">
        <v>4393</v>
      </c>
      <c r="D195" s="1215" t="s">
        <v>4097</v>
      </c>
      <c r="F195" s="1328" t="str">
        <f>IF(LEN(C195)&gt;0,VLOOKUP(C195,DG!A:C,3,0),"")</f>
        <v/>
      </c>
      <c r="G195" s="1215"/>
    </row>
    <row r="196" spans="2:7">
      <c r="B196" s="1215">
        <v>194</v>
      </c>
      <c r="C196" s="1215" t="s">
        <v>4393</v>
      </c>
      <c r="D196" s="1215" t="s">
        <v>4098</v>
      </c>
      <c r="F196" s="1328" t="str">
        <f>IF(LEN(C196)&gt;0,VLOOKUP(C196,DG!A:C,3,0),"")</f>
        <v/>
      </c>
      <c r="G196" s="1215"/>
    </row>
    <row r="197" spans="2:7">
      <c r="B197" s="1215">
        <v>195</v>
      </c>
      <c r="C197" s="1215" t="s">
        <v>4393</v>
      </c>
      <c r="D197" s="1215" t="s">
        <v>4099</v>
      </c>
      <c r="F197" s="1328" t="str">
        <f>IF(LEN(C197)&gt;0,VLOOKUP(C197,DG!A:C,3,0),"")</f>
        <v/>
      </c>
      <c r="G197" s="1215"/>
    </row>
    <row r="198" spans="2:7">
      <c r="B198" s="1215">
        <v>196</v>
      </c>
      <c r="C198" s="1215" t="s">
        <v>4393</v>
      </c>
      <c r="D198" s="1215" t="s">
        <v>4100</v>
      </c>
      <c r="F198" s="1328" t="str">
        <f>IF(LEN(C198)&gt;0,VLOOKUP(C198,DG!A:C,3,0),"")</f>
        <v/>
      </c>
      <c r="G198" s="1215"/>
    </row>
    <row r="199" spans="2:7">
      <c r="B199" s="1215">
        <v>197</v>
      </c>
      <c r="C199" s="1215" t="s">
        <v>4393</v>
      </c>
      <c r="D199" s="1215" t="s">
        <v>4101</v>
      </c>
      <c r="F199" s="1328" t="str">
        <f>IF(LEN(C199)&gt;0,VLOOKUP(C199,DG!A:C,3,0),"")</f>
        <v/>
      </c>
      <c r="G199" s="1215"/>
    </row>
    <row r="200" spans="2:7">
      <c r="B200" s="1215">
        <v>198</v>
      </c>
      <c r="C200" s="1215" t="s">
        <v>4393</v>
      </c>
      <c r="D200" s="1215" t="s">
        <v>4102</v>
      </c>
      <c r="F200" s="1328" t="str">
        <f>IF(LEN(C200)&gt;0,VLOOKUP(C200,DG!A:C,3,0),"")</f>
        <v/>
      </c>
      <c r="G200" s="1215"/>
    </row>
    <row r="201" spans="2:7">
      <c r="B201" s="1215">
        <v>199</v>
      </c>
      <c r="C201" s="1215" t="s">
        <v>4393</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4393</v>
      </c>
      <c r="D204" s="1215" t="s">
        <v>4104</v>
      </c>
      <c r="F204" s="1328" t="str">
        <f>IF(LEN(C204)&gt;0,VLOOKUP(C204,DG!A:C,3,0),"")</f>
        <v/>
      </c>
      <c r="G204" s="1215"/>
    </row>
    <row r="205" spans="2:7">
      <c r="B205" s="1215">
        <v>203</v>
      </c>
      <c r="C205" s="1215" t="s">
        <v>4393</v>
      </c>
      <c r="D205" s="1215" t="s">
        <v>4105</v>
      </c>
      <c r="F205" s="1328" t="str">
        <f>IF(LEN(C205)&gt;0,VLOOKUP(C205,DG!A:C,3,0),"")</f>
        <v/>
      </c>
      <c r="G205" s="1215"/>
    </row>
    <row r="206" spans="2:7">
      <c r="B206" s="1215">
        <v>204</v>
      </c>
      <c r="C206" s="1215" t="s">
        <v>4393</v>
      </c>
      <c r="D206" s="1215" t="s">
        <v>4106</v>
      </c>
      <c r="F206" s="1328" t="str">
        <f>IF(LEN(C206)&gt;0,VLOOKUP(C206,DG!A:C,3,0),"")</f>
        <v/>
      </c>
      <c r="G206" s="1215"/>
    </row>
    <row r="207" spans="2:7">
      <c r="B207" s="1215">
        <v>205</v>
      </c>
      <c r="C207" s="1215" t="s">
        <v>4393</v>
      </c>
      <c r="D207" s="1215" t="s">
        <v>4107</v>
      </c>
      <c r="F207" s="1328" t="str">
        <f>IF(LEN(C207)&gt;0,VLOOKUP(C207,DG!A:C,3,0),"")</f>
        <v/>
      </c>
      <c r="G207" s="1215"/>
    </row>
    <row r="208" spans="2:7">
      <c r="B208" s="1215">
        <v>206</v>
      </c>
      <c r="C208" s="1215" t="s">
        <v>4393</v>
      </c>
      <c r="D208" s="1215" t="s">
        <v>3829</v>
      </c>
      <c r="F208" s="1328" t="str">
        <f>IF(LEN(C208)&gt;0,VLOOKUP(C208,DG!A:C,3,0),"")</f>
        <v/>
      </c>
      <c r="G208" s="1215"/>
    </row>
    <row r="209" spans="2:7">
      <c r="B209" s="1215">
        <v>207</v>
      </c>
      <c r="C209" s="1215" t="s">
        <v>4393</v>
      </c>
      <c r="D209" s="1215" t="s">
        <v>4108</v>
      </c>
      <c r="F209" s="1328" t="str">
        <f>IF(LEN(C209)&gt;0,VLOOKUP(C209,DG!A:C,3,0),"")</f>
        <v/>
      </c>
      <c r="G209" s="1215"/>
    </row>
    <row r="210" spans="2:7">
      <c r="B210" s="1215">
        <v>208</v>
      </c>
      <c r="C210" s="1215" t="s">
        <v>4393</v>
      </c>
      <c r="D210" s="1215" t="s">
        <v>4109</v>
      </c>
      <c r="F210" s="1328" t="str">
        <f>IF(LEN(C210)&gt;0,VLOOKUP(C210,DG!A:C,3,0),"")</f>
        <v/>
      </c>
      <c r="G210" s="1215"/>
    </row>
    <row r="211" spans="2:7">
      <c r="B211" s="1215">
        <v>209</v>
      </c>
      <c r="C211" s="1215" t="s">
        <v>4393</v>
      </c>
      <c r="D211" s="1215" t="s">
        <v>4110</v>
      </c>
      <c r="F211" s="1328" t="str">
        <f>IF(LEN(C211)&gt;0,VLOOKUP(C211,DG!A:C,3,0),"")</f>
        <v/>
      </c>
      <c r="G211" s="1215"/>
    </row>
    <row r="212" spans="2:7">
      <c r="B212" s="1215">
        <v>210</v>
      </c>
      <c r="C212" s="1215" t="s">
        <v>4393</v>
      </c>
      <c r="D212" s="1215" t="s">
        <v>4111</v>
      </c>
      <c r="F212" s="1328" t="str">
        <f>IF(LEN(C212)&gt;0,VLOOKUP(C212,DG!A:C,3,0),"")</f>
        <v/>
      </c>
      <c r="G212" s="1215"/>
    </row>
    <row r="213" spans="2:7">
      <c r="B213" s="1215">
        <v>211</v>
      </c>
      <c r="C213" s="1215" t="s">
        <v>4393</v>
      </c>
      <c r="D213" s="1215" t="s">
        <v>4112</v>
      </c>
      <c r="F213" s="1328" t="str">
        <f>IF(LEN(C213)&gt;0,VLOOKUP(C213,DG!A:C,3,0),"")</f>
        <v/>
      </c>
      <c r="G213" s="1215"/>
    </row>
  </sheetData>
  <autoFilter ref="B1:G214"/>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9" customWidth="1"/>
    <col min="2" max="2" width="5.109375" style="1489" customWidth="1"/>
    <col min="3" max="3" width="6.88671875" style="1489" customWidth="1"/>
    <col min="4" max="4" width="6" style="1489" customWidth="1"/>
    <col min="5" max="6" width="3.88671875" style="1489" customWidth="1"/>
    <col min="7" max="7" width="4.6640625" style="1490" customWidth="1"/>
    <col min="8" max="8" width="5.6640625" style="1489" customWidth="1"/>
    <col min="9" max="18" width="4.77734375" style="1489" customWidth="1"/>
    <col min="19" max="19" width="5.5546875" style="1489" customWidth="1"/>
    <col min="20" max="20" width="5.21875" style="1489" customWidth="1"/>
    <col min="21" max="21" width="4.77734375" style="1489" customWidth="1"/>
    <col min="22" max="22" width="6.6640625" style="1489" customWidth="1"/>
    <col min="23" max="41" width="4.77734375" style="1489" customWidth="1"/>
    <col min="42" max="42" width="5.44140625" style="1489" customWidth="1"/>
    <col min="43" max="43" width="8.77734375" style="1489" customWidth="1"/>
    <col min="44" max="44" width="5.21875" style="1489" customWidth="1"/>
    <col min="45" max="47" width="8.77734375" style="1489" customWidth="1"/>
    <col min="48" max="54" width="4.77734375" style="1489" customWidth="1"/>
    <col min="55" max="57" width="4.77734375" style="1491" customWidth="1"/>
    <col min="58" max="65" width="4.77734375" style="1489" customWidth="1"/>
    <col min="66" max="66" width="6.77734375" style="1489" customWidth="1"/>
    <col min="67" max="71" width="4.77734375" style="1489" customWidth="1"/>
    <col min="72" max="72" width="3.88671875" style="1489" customWidth="1"/>
    <col min="73" max="81" width="4.77734375" style="1489" customWidth="1"/>
    <col min="82" max="101" width="4.33203125" style="1489" customWidth="1"/>
    <col min="102" max="102" width="7.77734375" style="1492" customWidth="1"/>
    <col min="103" max="16384" width="8.88671875" style="1489"/>
  </cols>
  <sheetData>
    <row r="1" spans="1:262" s="1958" customFormat="1" ht="81" customHeight="1" outlineLevel="1">
      <c r="B1" s="1958" t="s">
        <v>4718</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4708</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95" customHeight="1" outlineLevel="1">
      <c r="A2" s="1489" t="s">
        <v>4377</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95"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5"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15" customHeight="1">
      <c r="A6" s="3115" t="str">
        <f>chitiet!E7</f>
        <v>Công trình: Xây Dựng mới TBA 3P-1000kVA Công ty TNHH MTV Kỹ thuật điện Việt Anh</v>
      </c>
      <c r="B6" s="3115"/>
      <c r="C6" s="3115"/>
      <c r="D6" s="3115"/>
      <c r="E6" s="3115"/>
      <c r="F6" s="3115"/>
      <c r="G6" s="3115"/>
      <c r="H6" s="3115"/>
      <c r="I6" s="3115"/>
      <c r="J6" s="3115"/>
      <c r="K6" s="3115"/>
      <c r="L6" s="3115"/>
      <c r="M6" s="3115"/>
      <c r="N6" s="3115"/>
      <c r="O6" s="3115"/>
      <c r="P6" s="3115"/>
      <c r="Q6" s="3115"/>
      <c r="R6" s="3115"/>
      <c r="S6" s="3115"/>
      <c r="T6" s="3115"/>
      <c r="U6" s="3115"/>
      <c r="V6" s="3115"/>
      <c r="W6" s="3115"/>
      <c r="X6" s="3115"/>
      <c r="Y6" s="3115"/>
      <c r="Z6" s="3115"/>
      <c r="AA6" s="3115"/>
      <c r="AB6" s="3115"/>
      <c r="AC6" s="3115"/>
      <c r="AD6" s="3115"/>
      <c r="AE6" s="3115"/>
      <c r="AF6" s="3115"/>
      <c r="AG6" s="3115"/>
      <c r="AH6" s="3115"/>
      <c r="AI6" s="3115"/>
      <c r="AJ6" s="3115"/>
      <c r="AK6" s="3115"/>
      <c r="AL6" s="3115"/>
      <c r="AM6" s="3115"/>
      <c r="AN6" s="3115"/>
      <c r="AO6" s="3115"/>
      <c r="AP6" s="3115"/>
      <c r="AQ6" s="3115"/>
      <c r="AR6" s="3115"/>
      <c r="AS6" s="3115"/>
      <c r="AT6" s="3115"/>
      <c r="AU6" s="3115"/>
      <c r="AV6" s="3115"/>
      <c r="AW6" s="3115"/>
      <c r="AX6" s="3115"/>
      <c r="AY6" s="3115"/>
      <c r="AZ6" s="3115"/>
      <c r="BA6" s="3115"/>
      <c r="BB6" s="3115"/>
      <c r="BC6" s="3115"/>
      <c r="BD6" s="3115"/>
      <c r="BE6" s="3115"/>
      <c r="BF6" s="3115"/>
      <c r="BG6" s="3115"/>
      <c r="BH6" s="3115"/>
      <c r="BI6" s="3115"/>
      <c r="BJ6" s="3115"/>
      <c r="BK6" s="3115"/>
      <c r="BL6" s="3115"/>
      <c r="BM6" s="3115"/>
      <c r="BN6" s="3115"/>
      <c r="BO6" s="3115"/>
      <c r="BP6" s="3115"/>
      <c r="BQ6" s="3115"/>
      <c r="BR6" s="3115"/>
      <c r="BS6" s="3115"/>
      <c r="BT6" s="3115"/>
      <c r="BU6" s="3115"/>
      <c r="BV6" s="3115"/>
      <c r="BW6" s="3115"/>
      <c r="BX6" s="3115"/>
      <c r="BY6" s="3115"/>
      <c r="BZ6" s="3115"/>
      <c r="CA6" s="3115"/>
      <c r="CB6" s="3115"/>
      <c r="CC6" s="3115"/>
      <c r="CD6" s="3115"/>
      <c r="CE6" s="3115"/>
      <c r="CF6" s="3115"/>
      <c r="CG6" s="3115"/>
      <c r="CH6" s="3115"/>
      <c r="CI6" s="3115"/>
      <c r="CJ6" s="3115"/>
      <c r="CK6" s="3115"/>
      <c r="CL6" s="3115"/>
      <c r="CM6" s="3115"/>
      <c r="CN6" s="3115"/>
      <c r="CO6" s="3115"/>
      <c r="CP6" s="3115"/>
      <c r="CQ6" s="3115"/>
      <c r="CR6" s="3115"/>
      <c r="CS6" s="3115"/>
      <c r="CT6" s="3115"/>
      <c r="CU6" s="3115"/>
      <c r="CV6" s="3115"/>
      <c r="CW6" s="3115"/>
      <c r="CX6" s="3115"/>
    </row>
    <row r="7" spans="1:262" s="1494" customFormat="1" ht="31.15" customHeight="1" thickBot="1">
      <c r="A7" s="3115" t="str">
        <f>chitiet!E8</f>
        <v>Địa điểm: Xã Xuân Hòa - Huyện Xuân Lộc - Tỉnh Đồng Nai</v>
      </c>
      <c r="B7" s="3115"/>
      <c r="C7" s="3103"/>
      <c r="D7" s="3115"/>
      <c r="E7" s="3103"/>
      <c r="F7" s="3103"/>
      <c r="G7" s="3103"/>
      <c r="H7" s="3115"/>
      <c r="I7" s="3103"/>
      <c r="J7" s="3115"/>
      <c r="K7" s="3103"/>
      <c r="L7" s="3115"/>
      <c r="M7" s="3115"/>
      <c r="N7" s="3103"/>
      <c r="O7" s="3103"/>
      <c r="P7" s="3103"/>
      <c r="Q7" s="3103"/>
      <c r="R7" s="3103"/>
      <c r="S7" s="3115"/>
      <c r="T7" s="3103"/>
      <c r="U7" s="3103"/>
      <c r="V7" s="3103"/>
      <c r="W7" s="3115"/>
      <c r="X7" s="3103"/>
      <c r="Y7" s="3103"/>
      <c r="Z7" s="3103"/>
      <c r="AA7" s="3103"/>
      <c r="AB7" s="3103"/>
      <c r="AC7" s="3103"/>
      <c r="AD7" s="3103"/>
      <c r="AE7" s="3103"/>
      <c r="AF7" s="3103"/>
      <c r="AG7" s="3103"/>
      <c r="AH7" s="3103"/>
      <c r="AI7" s="3103"/>
      <c r="AJ7" s="3103"/>
      <c r="AK7" s="3103"/>
      <c r="AL7" s="3103"/>
      <c r="AM7" s="3103"/>
      <c r="AN7" s="3115"/>
      <c r="AO7" s="3115"/>
      <c r="AP7" s="3103"/>
      <c r="AQ7" s="3103"/>
      <c r="AR7" s="3103"/>
      <c r="AS7" s="3103"/>
      <c r="AT7" s="3103"/>
      <c r="AU7" s="3103"/>
      <c r="AV7" s="3103"/>
      <c r="AW7" s="3115"/>
      <c r="AX7" s="3115"/>
      <c r="AY7" s="3103"/>
      <c r="AZ7" s="3103"/>
      <c r="BA7" s="3103"/>
      <c r="BB7" s="3103"/>
      <c r="BC7" s="3103"/>
      <c r="BD7" s="3115"/>
      <c r="BE7" s="3103"/>
      <c r="BF7" s="3103"/>
      <c r="BG7" s="3103"/>
      <c r="BH7" s="3103"/>
      <c r="BI7" s="3103"/>
      <c r="BJ7" s="3103"/>
      <c r="BK7" s="3103"/>
      <c r="BL7" s="3103"/>
      <c r="BM7" s="3115"/>
      <c r="BN7" s="3103"/>
      <c r="BO7" s="3115"/>
      <c r="BP7" s="3115"/>
      <c r="BQ7" s="3103"/>
      <c r="BR7" s="3103"/>
      <c r="BS7" s="3103"/>
      <c r="BT7" s="3115"/>
      <c r="BU7" s="3115"/>
      <c r="BV7" s="3115"/>
      <c r="BW7" s="3115"/>
      <c r="BX7" s="3115"/>
      <c r="BY7" s="3103"/>
      <c r="BZ7" s="3115"/>
      <c r="CA7" s="3115"/>
      <c r="CB7" s="3115"/>
      <c r="CC7" s="3115"/>
      <c r="CD7" s="3103"/>
      <c r="CE7" s="3103"/>
      <c r="CF7" s="3103"/>
      <c r="CG7" s="3103"/>
      <c r="CH7" s="3103"/>
      <c r="CI7" s="3103"/>
      <c r="CJ7" s="3103"/>
      <c r="CK7" s="3103"/>
      <c r="CL7" s="3103"/>
      <c r="CM7" s="3103"/>
      <c r="CN7" s="3103"/>
      <c r="CO7" s="3103"/>
      <c r="CP7" s="3103"/>
      <c r="CQ7" s="3103"/>
      <c r="CR7" s="3115"/>
      <c r="CS7" s="3115"/>
      <c r="CT7" s="3115"/>
      <c r="CU7" s="3115"/>
      <c r="CV7" s="3115"/>
      <c r="CW7" s="3115"/>
      <c r="CX7" s="3115"/>
    </row>
    <row r="8" spans="1:262" s="529" customFormat="1" ht="29.45" customHeight="1" thickTop="1">
      <c r="A8" s="3116" t="s">
        <v>3765</v>
      </c>
      <c r="B8" s="3116" t="s">
        <v>3766</v>
      </c>
      <c r="C8" s="3147" t="s">
        <v>3905</v>
      </c>
      <c r="D8" s="3116" t="s">
        <v>3906</v>
      </c>
      <c r="E8" s="3149" t="s">
        <v>3773</v>
      </c>
      <c r="F8" s="3124" t="s">
        <v>3774</v>
      </c>
      <c r="G8" s="3150" t="s">
        <v>3907</v>
      </c>
      <c r="H8" s="3116" t="s">
        <v>3776</v>
      </c>
      <c r="I8" s="3137" t="s">
        <v>2277</v>
      </c>
      <c r="J8" s="3138"/>
      <c r="K8" s="3137"/>
      <c r="L8" s="3138"/>
      <c r="M8" s="3139"/>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6" t="s">
        <v>2390</v>
      </c>
      <c r="BD8" s="3116" t="s">
        <v>2392</v>
      </c>
      <c r="BE8" s="3131" t="s">
        <v>2394</v>
      </c>
      <c r="BF8" s="511"/>
      <c r="BG8" s="528"/>
      <c r="BH8" s="528"/>
      <c r="BI8" s="528"/>
      <c r="BJ8" s="511" t="s">
        <v>3780</v>
      </c>
      <c r="BK8" s="528"/>
      <c r="BL8" s="562"/>
      <c r="BM8" s="3143" t="s">
        <v>4535</v>
      </c>
      <c r="BN8" s="1939"/>
      <c r="BO8" s="3133" t="s">
        <v>3781</v>
      </c>
      <c r="BP8" s="3133" t="s">
        <v>3782</v>
      </c>
      <c r="BQ8" s="3141" t="s">
        <v>3909</v>
      </c>
      <c r="BR8" s="3135" t="s">
        <v>3910</v>
      </c>
      <c r="BS8" s="3140" t="s">
        <v>3885</v>
      </c>
      <c r="BT8" s="3118" t="s">
        <v>3911</v>
      </c>
      <c r="BU8" s="3116" t="s">
        <v>3912</v>
      </c>
      <c r="BV8" s="3120" t="s">
        <v>3913</v>
      </c>
      <c r="BW8" s="3118" t="s">
        <v>3914</v>
      </c>
      <c r="BX8" s="3116" t="s">
        <v>3786</v>
      </c>
      <c r="BY8" s="3129" t="s">
        <v>3788</v>
      </c>
      <c r="BZ8" s="3116" t="s">
        <v>3915</v>
      </c>
      <c r="CA8" s="3116" t="s">
        <v>4777</v>
      </c>
      <c r="CB8" s="3116" t="s">
        <v>3791</v>
      </c>
      <c r="CC8" s="3116" t="s">
        <v>2873</v>
      </c>
      <c r="CD8" s="3131" t="s">
        <v>2874</v>
      </c>
      <c r="CE8" s="3124" t="s">
        <v>2875</v>
      </c>
      <c r="CF8" s="3124" t="s">
        <v>2876</v>
      </c>
      <c r="CG8" s="3124" t="s">
        <v>2877</v>
      </c>
      <c r="CH8" s="3124" t="s">
        <v>2878</v>
      </c>
      <c r="CI8" s="3124" t="s">
        <v>2879</v>
      </c>
      <c r="CJ8" s="3124" t="s">
        <v>3798</v>
      </c>
      <c r="CK8" s="3124" t="s">
        <v>3799</v>
      </c>
      <c r="CL8" s="3124" t="s">
        <v>3800</v>
      </c>
      <c r="CM8" s="3124" t="s">
        <v>3801</v>
      </c>
      <c r="CN8" s="3124" t="s">
        <v>3802</v>
      </c>
      <c r="CO8" s="3124" t="s">
        <v>3803</v>
      </c>
      <c r="CP8" s="3124" t="s">
        <v>4726</v>
      </c>
      <c r="CQ8" s="3126" t="s">
        <v>3916</v>
      </c>
      <c r="CR8" s="3116" t="s">
        <v>421</v>
      </c>
      <c r="CS8" s="3120" t="s">
        <v>4731</v>
      </c>
      <c r="CT8" s="3116" t="s">
        <v>368</v>
      </c>
      <c r="CU8" s="3116" t="s">
        <v>369</v>
      </c>
      <c r="CV8" s="3118" t="s">
        <v>4729</v>
      </c>
      <c r="CW8" s="3118" t="s">
        <v>3917</v>
      </c>
      <c r="CX8" s="3122" t="s">
        <v>2599</v>
      </c>
    </row>
    <row r="9" spans="1:262" s="529" customFormat="1" ht="117" customHeight="1">
      <c r="A9" s="3116"/>
      <c r="B9" s="3116"/>
      <c r="C9" s="3148"/>
      <c r="D9" s="3116"/>
      <c r="E9" s="3120"/>
      <c r="F9" s="3146"/>
      <c r="G9" s="3151"/>
      <c r="H9" s="3116"/>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45"/>
      <c r="BD9" s="3116"/>
      <c r="BE9" s="3132"/>
      <c r="BF9" s="1487" t="s">
        <v>2291</v>
      </c>
      <c r="BG9" s="1487" t="s">
        <v>909</v>
      </c>
      <c r="BH9" s="1487" t="s">
        <v>2296</v>
      </c>
      <c r="BI9" s="1487" t="s">
        <v>910</v>
      </c>
      <c r="BJ9" s="1487" t="s">
        <v>2293</v>
      </c>
      <c r="BK9" s="1487" t="s">
        <v>2119</v>
      </c>
      <c r="BL9" s="1804" t="s">
        <v>2297</v>
      </c>
      <c r="BM9" s="3144"/>
      <c r="BN9" s="1931" t="s">
        <v>344</v>
      </c>
      <c r="BO9" s="3117"/>
      <c r="BP9" s="3117"/>
      <c r="BQ9" s="3142"/>
      <c r="BR9" s="3136"/>
      <c r="BS9" s="3127"/>
      <c r="BT9" s="3119"/>
      <c r="BU9" s="3117"/>
      <c r="BV9" s="3121"/>
      <c r="BW9" s="3119"/>
      <c r="BX9" s="3117"/>
      <c r="BY9" s="3130"/>
      <c r="BZ9" s="3117"/>
      <c r="CA9" s="3117"/>
      <c r="CB9" s="3117"/>
      <c r="CC9" s="3117"/>
      <c r="CD9" s="3134"/>
      <c r="CE9" s="3125"/>
      <c r="CF9" s="3125"/>
      <c r="CG9" s="3125"/>
      <c r="CH9" s="3125"/>
      <c r="CI9" s="3125"/>
      <c r="CJ9" s="3125"/>
      <c r="CK9" s="3125"/>
      <c r="CL9" s="3125"/>
      <c r="CM9" s="3125"/>
      <c r="CN9" s="3125"/>
      <c r="CO9" s="3125"/>
      <c r="CP9" s="3125"/>
      <c r="CQ9" s="3127"/>
      <c r="CR9" s="3117"/>
      <c r="CS9" s="3121"/>
      <c r="CT9" s="3117"/>
      <c r="CU9" s="3117"/>
      <c r="CV9" s="3119"/>
      <c r="CW9" s="3119"/>
      <c r="CX9" s="3123"/>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15" customHeight="1">
      <c r="A11" s="1849" t="s">
        <v>4776</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9" t="s">
        <v>4747</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9" t="s">
        <v>4748</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9" t="s">
        <v>4749</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9" t="s">
        <v>4750</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15" hidden="1" customHeight="1">
      <c r="A23" s="1849" t="s">
        <v>4751</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9" t="s">
        <v>4752</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9" t="s">
        <v>4753</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9" t="s">
        <v>4555</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9" t="s">
        <v>4754</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8">
        <f>D94</f>
        <v>0</v>
      </c>
      <c r="M98" s="3128"/>
      <c r="N98" s="3128"/>
      <c r="O98" s="3128"/>
      <c r="P98" s="3128"/>
      <c r="Q98" s="3128"/>
      <c r="R98" s="3128"/>
      <c r="S98" s="3128"/>
      <c r="T98" s="3128"/>
      <c r="U98" s="3128"/>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7" t="s">
        <v>360</v>
      </c>
      <c r="B101" s="1498"/>
      <c r="C101" s="1508">
        <f>D94</f>
        <v>0</v>
      </c>
      <c r="D101" s="1508">
        <f>D94</f>
        <v>0</v>
      </c>
      <c r="E101" s="1500" t="s">
        <v>1823</v>
      </c>
      <c r="F101" s="1498"/>
      <c r="G101" s="1509"/>
      <c r="H101" s="1502"/>
      <c r="I101" s="1498"/>
      <c r="J101" s="1503">
        <f>B101*1.03</f>
        <v>0</v>
      </c>
      <c r="K101" s="1503"/>
      <c r="L101" s="3128">
        <f>D94</f>
        <v>0</v>
      </c>
      <c r="M101" s="3128"/>
      <c r="N101" s="3128"/>
      <c r="O101" s="3128"/>
      <c r="P101" s="3128"/>
      <c r="Q101" s="3128"/>
      <c r="R101" s="3128"/>
      <c r="S101" s="3128"/>
      <c r="T101" s="3128"/>
      <c r="U101" s="3128"/>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6" t="s">
        <v>3920</v>
      </c>
      <c r="B4" s="3158" t="s">
        <v>3921</v>
      </c>
      <c r="C4" s="3158" t="s">
        <v>3766</v>
      </c>
      <c r="D4" s="3124" t="s">
        <v>2021</v>
      </c>
      <c r="E4" s="3124" t="s">
        <v>507</v>
      </c>
      <c r="F4" s="3124" t="s">
        <v>505</v>
      </c>
      <c r="G4" s="3124" t="s">
        <v>830</v>
      </c>
      <c r="H4" s="3124" t="s">
        <v>506</v>
      </c>
      <c r="I4" s="3124" t="s">
        <v>1149</v>
      </c>
      <c r="J4" s="3124" t="s">
        <v>3774</v>
      </c>
      <c r="K4" s="3124" t="s">
        <v>3907</v>
      </c>
      <c r="L4" s="3170" t="s">
        <v>3922</v>
      </c>
      <c r="M4" s="3172" t="s">
        <v>2277</v>
      </c>
      <c r="N4" s="3137"/>
      <c r="O4" s="3137"/>
      <c r="P4" s="3137"/>
      <c r="Q4" s="3137"/>
      <c r="R4" s="3173" t="s">
        <v>3878</v>
      </c>
      <c r="S4" s="3174"/>
      <c r="T4" s="3174"/>
      <c r="U4" s="3174"/>
      <c r="V4" s="3174"/>
      <c r="W4" s="3174"/>
      <c r="X4" s="3174"/>
      <c r="Y4" s="3174"/>
      <c r="Z4" s="549" t="s">
        <v>2595</v>
      </c>
      <c r="AA4" s="560"/>
      <c r="AB4" s="560"/>
      <c r="AC4" s="561"/>
      <c r="AD4" s="3124" t="s">
        <v>3923</v>
      </c>
      <c r="AE4" s="3124" t="s">
        <v>2384</v>
      </c>
      <c r="AF4" s="3124" t="s">
        <v>2387</v>
      </c>
      <c r="AG4" s="3124" t="s">
        <v>2390</v>
      </c>
      <c r="AH4" s="3124" t="s">
        <v>2391</v>
      </c>
      <c r="AI4" s="3167" t="s">
        <v>3924</v>
      </c>
      <c r="AJ4" s="562" t="s">
        <v>2175</v>
      </c>
      <c r="AK4" s="563"/>
      <c r="AL4" s="3161" t="s">
        <v>3925</v>
      </c>
      <c r="AM4" s="3161" t="s">
        <v>3926</v>
      </c>
      <c r="AN4" s="3161" t="s">
        <v>3927</v>
      </c>
      <c r="AO4" s="3161" t="s">
        <v>3928</v>
      </c>
      <c r="AP4" s="3161" t="s">
        <v>3929</v>
      </c>
      <c r="AQ4" s="3161" t="s">
        <v>3930</v>
      </c>
      <c r="AR4" s="3163" t="s">
        <v>3931</v>
      </c>
      <c r="AS4" s="3164"/>
      <c r="AT4" s="3164"/>
      <c r="AU4" s="3164"/>
      <c r="AV4" s="3164"/>
      <c r="AW4" s="3165"/>
      <c r="AX4" s="3166" t="s">
        <v>3932</v>
      </c>
      <c r="AY4" s="3166"/>
      <c r="AZ4" s="3166"/>
      <c r="BA4" s="3166"/>
      <c r="BB4" s="550" t="s">
        <v>3933</v>
      </c>
      <c r="BC4" s="564"/>
      <c r="BD4" s="550"/>
      <c r="BE4" s="551" t="s">
        <v>2594</v>
      </c>
      <c r="BF4" s="564"/>
      <c r="BG4" s="550"/>
      <c r="BH4" s="3161" t="s">
        <v>3934</v>
      </c>
      <c r="BI4" s="3161" t="s">
        <v>3935</v>
      </c>
      <c r="BJ4" s="3161" t="s">
        <v>3936</v>
      </c>
      <c r="BK4" s="3161" t="s">
        <v>2843</v>
      </c>
      <c r="BL4" s="3158" t="s">
        <v>3937</v>
      </c>
      <c r="BM4" s="3158" t="s">
        <v>3938</v>
      </c>
      <c r="BN4" s="3159" t="s">
        <v>2599</v>
      </c>
    </row>
    <row r="5" spans="1:209" s="529" customFormat="1" ht="142.5" customHeight="1">
      <c r="A5" s="3157"/>
      <c r="B5" s="3116"/>
      <c r="C5" s="3116"/>
      <c r="D5" s="3146"/>
      <c r="E5" s="3146"/>
      <c r="F5" s="3146"/>
      <c r="G5" s="3146"/>
      <c r="H5" s="3146"/>
      <c r="I5" s="3146"/>
      <c r="J5" s="3146"/>
      <c r="K5" s="3146"/>
      <c r="L5" s="3171"/>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6"/>
      <c r="AE5" s="3146"/>
      <c r="AF5" s="3146"/>
      <c r="AG5" s="3146"/>
      <c r="AH5" s="3146"/>
      <c r="AI5" s="3168"/>
      <c r="AJ5" s="553" t="s">
        <v>3943</v>
      </c>
      <c r="AK5" s="553" t="s">
        <v>3944</v>
      </c>
      <c r="AL5" s="3144"/>
      <c r="AM5" s="3144"/>
      <c r="AN5" s="3144"/>
      <c r="AO5" s="3144"/>
      <c r="AP5" s="3144"/>
      <c r="AQ5" s="3144"/>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4"/>
      <c r="BI5" s="3144"/>
      <c r="BJ5" s="3144"/>
      <c r="BK5" s="3144"/>
      <c r="BL5" s="3162"/>
      <c r="BM5" s="3162"/>
      <c r="BN5" s="3160"/>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52" t="s">
        <v>3961</v>
      </c>
      <c r="B35" s="3153"/>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52" t="s">
        <v>3961</v>
      </c>
      <c r="B67" s="3153"/>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54" t="s">
        <v>3903</v>
      </c>
      <c r="B69" s="3155"/>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9" t="s">
        <v>3962</v>
      </c>
      <c r="B71" s="3169"/>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9" t="s">
        <v>3963</v>
      </c>
      <c r="B72" s="3169"/>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9" t="s">
        <v>3964</v>
      </c>
      <c r="B73" s="3169"/>
      <c r="C73" s="628">
        <f>E69</f>
        <v>0</v>
      </c>
      <c r="D73" s="629"/>
      <c r="E73" s="629"/>
      <c r="F73" s="629"/>
      <c r="G73" s="629"/>
      <c r="H73" s="629"/>
      <c r="R73" s="630"/>
      <c r="U73" s="624"/>
      <c r="W73" s="624"/>
      <c r="AE73" s="517"/>
      <c r="AF73" s="517"/>
      <c r="AG73" s="517"/>
      <c r="AH73" s="517"/>
    </row>
    <row r="74" spans="1:209" ht="18.95" customHeight="1">
      <c r="A74" s="3169" t="s">
        <v>3965</v>
      </c>
      <c r="B74" s="3169"/>
      <c r="C74" s="628">
        <f>F69</f>
        <v>0</v>
      </c>
      <c r="D74" s="629"/>
      <c r="E74" s="629"/>
      <c r="F74" s="629"/>
      <c r="G74" s="629"/>
      <c r="H74" s="629"/>
      <c r="R74" s="630"/>
      <c r="U74" s="624"/>
      <c r="W74" s="624"/>
      <c r="AE74" s="517"/>
      <c r="AF74" s="517"/>
      <c r="AG74" s="517"/>
      <c r="AH74" s="517"/>
    </row>
    <row r="75" spans="1:209" ht="18.95" customHeight="1">
      <c r="A75" s="3169" t="s">
        <v>3966</v>
      </c>
      <c r="B75" s="3169"/>
      <c r="C75" s="628">
        <f>G69</f>
        <v>0</v>
      </c>
      <c r="D75" s="629"/>
      <c r="E75" s="629"/>
      <c r="F75" s="629"/>
      <c r="G75" s="629"/>
      <c r="H75" s="629"/>
      <c r="R75" s="630"/>
      <c r="U75" s="624"/>
      <c r="W75" s="624"/>
      <c r="AE75" s="517"/>
      <c r="AF75" s="517"/>
      <c r="AG75" s="517"/>
      <c r="AH75" s="517"/>
    </row>
    <row r="76" spans="1:209" ht="18.95" customHeight="1">
      <c r="A76" s="3169" t="s">
        <v>3967</v>
      </c>
      <c r="B76" s="3169"/>
      <c r="C76" s="626">
        <f>H69</f>
        <v>0</v>
      </c>
      <c r="D76" s="623"/>
      <c r="E76" s="623"/>
      <c r="F76" s="623"/>
      <c r="G76" s="623"/>
      <c r="H76" s="623"/>
      <c r="K76" s="631"/>
      <c r="M76" s="537"/>
      <c r="N76" s="537"/>
      <c r="O76" s="537"/>
      <c r="R76" s="632"/>
      <c r="U76" s="624"/>
      <c r="W76" s="624"/>
      <c r="AE76" s="517"/>
      <c r="AF76" s="517"/>
      <c r="AG76" s="517"/>
      <c r="AH76" s="517"/>
    </row>
    <row r="77" spans="1:209" ht="18.95" customHeight="1">
      <c r="A77" s="3169" t="s">
        <v>3968</v>
      </c>
      <c r="B77" s="3169"/>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3969</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5012</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4481</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5013</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5014</v>
      </c>
      <c r="D84" s="84" t="s">
        <v>2555</v>
      </c>
      <c r="E84" s="132">
        <v>0</v>
      </c>
      <c r="F84" s="91"/>
      <c r="G84" s="99">
        <f t="shared" si="3"/>
        <v>0</v>
      </c>
      <c r="H84" s="91"/>
      <c r="I84" s="91"/>
      <c r="J84" s="91"/>
    </row>
    <row r="85" spans="1:10" ht="15">
      <c r="A85" s="106" t="str">
        <f>chitiet!B2126</f>
        <v>GIP70-70</v>
      </c>
      <c r="B85" s="128" t="str">
        <f>IF(E85=0,"",COUNTIF($E$68:$E85,"&gt;0"))</f>
        <v/>
      </c>
      <c r="C85" s="101" t="s">
        <v>5015</v>
      </c>
      <c r="D85" s="84" t="s">
        <v>2555</v>
      </c>
      <c r="E85" s="132">
        <v>0</v>
      </c>
      <c r="F85" s="91"/>
      <c r="G85" s="99">
        <f>IF(E85&lt;&gt;0,1,0)</f>
        <v>0</v>
      </c>
      <c r="H85" s="91"/>
      <c r="I85" s="91"/>
      <c r="J85" s="91"/>
    </row>
    <row r="86" spans="1:10" s="1" customFormat="1" ht="14.25" hidden="1">
      <c r="A86" s="9" t="str">
        <f>chitiet!B2127</f>
        <v>GIP95-70</v>
      </c>
      <c r="B86" s="28" t="str">
        <f>IF(E86=0,"",COUNTIF($E$68:$E86,"&gt;0"))</f>
        <v/>
      </c>
      <c r="C86" s="16" t="s">
        <v>5016</v>
      </c>
      <c r="D86" s="19" t="s">
        <v>2555</v>
      </c>
      <c r="E86" s="24">
        <v>0</v>
      </c>
      <c r="F86" s="4"/>
      <c r="G86" s="7">
        <f t="shared" si="3"/>
        <v>0</v>
      </c>
      <c r="H86" s="4"/>
      <c r="I86" s="4"/>
      <c r="J86" s="4"/>
    </row>
    <row r="87" spans="1:10" s="1" customFormat="1" ht="14.25" hidden="1">
      <c r="A87" s="9" t="str">
        <f>chitiet!B2128</f>
        <v>GIP150-70</v>
      </c>
      <c r="B87" s="28" t="str">
        <f>IF(E87=0,"",COUNTIF($E$68:$E87,"&gt;0"))</f>
        <v/>
      </c>
      <c r="C87" s="16" t="s">
        <v>5017</v>
      </c>
      <c r="D87" s="19" t="s">
        <v>2555</v>
      </c>
      <c r="E87" s="24">
        <v>0</v>
      </c>
      <c r="F87" s="4"/>
      <c r="G87" s="7">
        <f>IF(E87&lt;&gt;0,1,0)</f>
        <v>0</v>
      </c>
      <c r="H87" s="4"/>
      <c r="I87" s="4"/>
      <c r="J87" s="4"/>
    </row>
    <row r="88" spans="1:10" s="1" customFormat="1" ht="14.25" hidden="1">
      <c r="A88" s="9" t="str">
        <f>chitiet!B2129</f>
        <v>GIP95-150</v>
      </c>
      <c r="B88" s="28" t="str">
        <f>IF(E88=0,"",COUNTIF($E$68:$E88,"&gt;0"))</f>
        <v/>
      </c>
      <c r="C88" s="16" t="s">
        <v>5018</v>
      </c>
      <c r="D88" s="19" t="s">
        <v>2555</v>
      </c>
      <c r="E88" s="24">
        <v>0</v>
      </c>
      <c r="F88" s="4"/>
      <c r="G88" s="7">
        <f t="shared" si="3"/>
        <v>0</v>
      </c>
      <c r="H88" s="4"/>
      <c r="I88" s="4"/>
      <c r="J88" s="4"/>
    </row>
    <row r="89" spans="1:10" s="1" customFormat="1" ht="14.25" hidden="1">
      <c r="A89" s="9" t="str">
        <f>chitiet!B2132</f>
        <v>GIP95-50</v>
      </c>
      <c r="B89" s="28" t="str">
        <f>IF(E89=0,"",COUNTIF($E$68:$E89,"&gt;0"))</f>
        <v/>
      </c>
      <c r="C89" s="16" t="s">
        <v>5019</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5020</v>
      </c>
      <c r="D92" s="19" t="s">
        <v>2555</v>
      </c>
      <c r="E92" s="24">
        <v>0</v>
      </c>
      <c r="F92" s="4"/>
      <c r="G92" s="7">
        <f t="shared" si="3"/>
        <v>0</v>
      </c>
      <c r="H92" s="4"/>
      <c r="I92" s="4"/>
      <c r="J92" s="4"/>
    </row>
    <row r="93" spans="1:10" ht="15">
      <c r="A93" s="106" t="str">
        <f>chitiet!B2139</f>
        <v>HOP9C</v>
      </c>
      <c r="B93" s="128" t="str">
        <f>IF(E93=0,"",COUNTIF($E$68:$E93,"&gt;0"))</f>
        <v/>
      </c>
      <c r="C93" s="101" t="s">
        <v>5021</v>
      </c>
      <c r="D93" s="84" t="s">
        <v>2555</v>
      </c>
      <c r="E93" s="132">
        <v>0</v>
      </c>
      <c r="F93" s="91"/>
      <c r="G93" s="99">
        <f t="shared" si="3"/>
        <v>0</v>
      </c>
      <c r="H93" s="91"/>
      <c r="I93" s="91"/>
      <c r="J93" s="91"/>
    </row>
    <row r="94" spans="1:10" s="1" customFormat="1" ht="14.25" hidden="1">
      <c r="A94" s="9" t="str">
        <f>chitiet!B2137</f>
        <v>HOP6C</v>
      </c>
      <c r="B94" s="28" t="str">
        <f>IF(E94=0,"",COUNTIF($E$68:$E94,"&gt;0"))</f>
        <v/>
      </c>
      <c r="C94" s="16" t="s">
        <v>5022</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4874</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4760</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3987</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3943</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5003</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5004</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5023</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4980</v>
      </c>
      <c r="D126" s="84" t="s">
        <v>2439</v>
      </c>
      <c r="E126" s="132">
        <v>0</v>
      </c>
      <c r="F126" s="91"/>
      <c r="G126" s="99">
        <f t="shared" si="3"/>
        <v>0</v>
      </c>
      <c r="H126" s="91"/>
      <c r="I126" s="91"/>
      <c r="J126" s="91"/>
    </row>
    <row r="127" spans="1:10" ht="15">
      <c r="A127" s="106" t="str">
        <f>chitiet!B2177</f>
        <v>BMoc16250</v>
      </c>
      <c r="B127" s="128" t="str">
        <f>IF(E127=0,"",COUNTIF($E$68:$E127,"&gt;0"))</f>
        <v/>
      </c>
      <c r="C127" s="101" t="s">
        <v>4979</v>
      </c>
      <c r="D127" s="84" t="s">
        <v>2439</v>
      </c>
      <c r="E127" s="132">
        <v>0</v>
      </c>
      <c r="F127" s="91"/>
      <c r="G127" s="99">
        <f t="shared" si="3"/>
        <v>0</v>
      </c>
      <c r="H127" s="91"/>
      <c r="I127" s="91"/>
      <c r="J127" s="91"/>
    </row>
    <row r="128" spans="1:10" ht="15" hidden="1">
      <c r="A128" s="106" t="str">
        <f>chitiet!B2178</f>
        <v>BMoc16300</v>
      </c>
      <c r="B128" s="128" t="str">
        <f>IF(E128=0,"",COUNTIF($E$68:$E128,"&gt;0"))</f>
        <v/>
      </c>
      <c r="C128" s="101" t="s">
        <v>4980</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5035</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5002</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6" t="s">
        <v>3920</v>
      </c>
      <c r="B4" s="3158" t="s">
        <v>3971</v>
      </c>
      <c r="C4" s="3158" t="s">
        <v>3766</v>
      </c>
      <c r="D4" s="3124" t="s">
        <v>3972</v>
      </c>
      <c r="E4" s="3124" t="s">
        <v>3973</v>
      </c>
      <c r="F4" s="3124" t="s">
        <v>2021</v>
      </c>
      <c r="G4" s="3124" t="s">
        <v>2202</v>
      </c>
      <c r="H4" s="3124" t="s">
        <v>116</v>
      </c>
      <c r="I4" s="3124" t="s">
        <v>1151</v>
      </c>
      <c r="J4" s="3124" t="s">
        <v>1150</v>
      </c>
      <c r="K4" s="3124" t="s">
        <v>1149</v>
      </c>
      <c r="L4" s="3124" t="s">
        <v>2262</v>
      </c>
      <c r="M4" s="3124" t="s">
        <v>2261</v>
      </c>
      <c r="N4" s="3124" t="s">
        <v>2260</v>
      </c>
      <c r="O4" s="3124" t="s">
        <v>3774</v>
      </c>
      <c r="P4" s="3124" t="s">
        <v>3907</v>
      </c>
      <c r="Q4" s="3170" t="s">
        <v>3776</v>
      </c>
      <c r="R4" s="3172" t="s">
        <v>3974</v>
      </c>
      <c r="S4" s="3137"/>
      <c r="T4" s="3137"/>
      <c r="U4" s="3177"/>
      <c r="V4" s="3173" t="s">
        <v>3878</v>
      </c>
      <c r="W4" s="3174"/>
      <c r="X4" s="3174"/>
      <c r="Y4" s="3174"/>
      <c r="Z4" s="3174"/>
      <c r="AA4" s="3174"/>
      <c r="AB4" s="3174"/>
      <c r="AC4" s="3174"/>
      <c r="AD4" s="3174"/>
      <c r="AE4" s="3174"/>
      <c r="AF4" s="3174"/>
      <c r="AG4" s="3174"/>
      <c r="AH4" s="3174"/>
      <c r="AI4" s="3174"/>
      <c r="AJ4" s="3174"/>
      <c r="AK4" s="3174"/>
      <c r="AL4" s="3174"/>
      <c r="AM4" s="3174"/>
      <c r="AN4" s="3174"/>
      <c r="AO4" s="3174"/>
      <c r="AP4" s="3174"/>
      <c r="AQ4" s="3174"/>
      <c r="AR4" s="3174"/>
      <c r="AS4" s="3174"/>
      <c r="AT4" s="3174"/>
      <c r="AU4" s="3178"/>
      <c r="AV4" s="648"/>
      <c r="AW4" s="511" t="s">
        <v>3975</v>
      </c>
      <c r="AX4" s="648"/>
      <c r="AY4" s="648"/>
      <c r="AZ4" s="648"/>
      <c r="BA4" s="528"/>
      <c r="BB4" s="648"/>
      <c r="BC4" s="528"/>
      <c r="BD4" s="648"/>
      <c r="BE4" s="648"/>
      <c r="BF4" s="636" t="s">
        <v>3881</v>
      </c>
      <c r="BG4" s="648"/>
      <c r="BH4" s="648"/>
      <c r="BI4" s="648"/>
      <c r="BJ4" s="648"/>
      <c r="BK4" s="648"/>
      <c r="BL4" s="648"/>
      <c r="BM4" s="648"/>
      <c r="BN4" s="648"/>
      <c r="BO4" s="648"/>
      <c r="BP4" s="3124" t="s">
        <v>2384</v>
      </c>
      <c r="BQ4" s="3124" t="s">
        <v>2389</v>
      </c>
      <c r="BR4" s="3124" t="s">
        <v>2388</v>
      </c>
      <c r="BS4" s="3124" t="s">
        <v>2387</v>
      </c>
      <c r="BT4" s="3124" t="s">
        <v>3976</v>
      </c>
      <c r="BU4" s="3124" t="s">
        <v>3977</v>
      </c>
      <c r="BV4" s="3167" t="s">
        <v>3924</v>
      </c>
      <c r="BW4" s="562" t="s">
        <v>3978</v>
      </c>
      <c r="BX4" s="649"/>
      <c r="BY4" s="649"/>
      <c r="BZ4" s="563"/>
      <c r="CA4" s="3175" t="s">
        <v>3979</v>
      </c>
      <c r="CB4" s="3175" t="s">
        <v>3926</v>
      </c>
      <c r="CC4" s="3180" t="s">
        <v>3931</v>
      </c>
      <c r="CD4" s="3181"/>
      <c r="CE4" s="3181"/>
      <c r="CF4" s="3181"/>
      <c r="CG4" s="3181"/>
      <c r="CH4" s="3181"/>
      <c r="CI4" s="3181"/>
      <c r="CJ4" s="3181"/>
      <c r="CK4" s="3181"/>
      <c r="CL4" s="650" t="s">
        <v>475</v>
      </c>
      <c r="CM4" s="651"/>
      <c r="CN4" s="3161" t="s">
        <v>3980</v>
      </c>
      <c r="CO4" s="3161" t="s">
        <v>3934</v>
      </c>
      <c r="CP4" s="3161" t="s">
        <v>3935</v>
      </c>
      <c r="CQ4" s="3161" t="s">
        <v>3936</v>
      </c>
      <c r="CR4" s="3161" t="s">
        <v>2843</v>
      </c>
      <c r="CS4" s="3158" t="s">
        <v>3937</v>
      </c>
      <c r="CT4" s="3158" t="s">
        <v>3981</v>
      </c>
      <c r="CU4" s="3158" t="s">
        <v>3398</v>
      </c>
      <c r="CV4" s="3158" t="s">
        <v>3982</v>
      </c>
      <c r="CW4" s="3158" t="s">
        <v>3983</v>
      </c>
      <c r="CX4" s="3179" t="s">
        <v>3984</v>
      </c>
      <c r="CY4" s="3159" t="s">
        <v>2599</v>
      </c>
    </row>
    <row r="5" spans="1:234" s="529" customFormat="1" ht="142.5" customHeight="1">
      <c r="A5" s="3157"/>
      <c r="B5" s="3116"/>
      <c r="C5" s="3116"/>
      <c r="D5" s="3146"/>
      <c r="E5" s="3146"/>
      <c r="F5" s="3146"/>
      <c r="G5" s="3146"/>
      <c r="H5" s="3146"/>
      <c r="I5" s="3146"/>
      <c r="J5" s="3146"/>
      <c r="K5" s="3146"/>
      <c r="L5" s="3146"/>
      <c r="M5" s="3146"/>
      <c r="N5" s="3146"/>
      <c r="O5" s="3146"/>
      <c r="P5" s="3146"/>
      <c r="Q5" s="3171"/>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6"/>
      <c r="BQ5" s="3146"/>
      <c r="BR5" s="3146"/>
      <c r="BS5" s="3146"/>
      <c r="BT5" s="3146"/>
      <c r="BU5" s="3146"/>
      <c r="BV5" s="3168"/>
      <c r="BW5" s="553" t="s">
        <v>3986</v>
      </c>
      <c r="BX5" s="553" t="s">
        <v>3987</v>
      </c>
      <c r="BY5" s="553" t="s">
        <v>2034</v>
      </c>
      <c r="BZ5" s="553" t="s">
        <v>1447</v>
      </c>
      <c r="CA5" s="3176"/>
      <c r="CB5" s="3176"/>
      <c r="CC5" s="554" t="s">
        <v>3945</v>
      </c>
      <c r="CD5" s="554" t="s">
        <v>3988</v>
      </c>
      <c r="CE5" s="554" t="s">
        <v>3946</v>
      </c>
      <c r="CF5" s="554" t="s">
        <v>3989</v>
      </c>
      <c r="CG5" s="554" t="s">
        <v>3990</v>
      </c>
      <c r="CH5" s="554" t="s">
        <v>3947</v>
      </c>
      <c r="CI5" s="554" t="s">
        <v>3948</v>
      </c>
      <c r="CJ5" s="554" t="s">
        <v>3991</v>
      </c>
      <c r="CK5" s="554" t="s">
        <v>3992</v>
      </c>
      <c r="CL5" s="554" t="s">
        <v>3993</v>
      </c>
      <c r="CM5" s="554" t="s">
        <v>3994</v>
      </c>
      <c r="CN5" s="3144"/>
      <c r="CO5" s="3144"/>
      <c r="CP5" s="3144"/>
      <c r="CQ5" s="3144"/>
      <c r="CR5" s="3144"/>
      <c r="CS5" s="3162"/>
      <c r="CT5" s="3162"/>
      <c r="CU5" s="3162"/>
      <c r="CV5" s="3162"/>
      <c r="CW5" s="3162"/>
      <c r="CX5" s="3123"/>
      <c r="CY5" s="3160"/>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9" t="s">
        <v>3962</v>
      </c>
      <c r="B316" s="3169"/>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9" t="s">
        <v>4040</v>
      </c>
      <c r="B317" s="3169"/>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9" t="s">
        <v>3964</v>
      </c>
      <c r="B318" s="3169"/>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9" t="s">
        <v>4041</v>
      </c>
      <c r="B319" s="3169"/>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9" t="s">
        <v>4042</v>
      </c>
      <c r="B320" s="3169"/>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9" t="s">
        <v>3968</v>
      </c>
      <c r="B321" s="3169"/>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4044</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C358" sqref="C358"/>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90"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7" t="s">
        <v>3920</v>
      </c>
      <c r="B4" s="3189" t="s">
        <v>3971</v>
      </c>
      <c r="C4" s="3189" t="s">
        <v>3766</v>
      </c>
      <c r="D4" s="3182" t="s">
        <v>1034</v>
      </c>
      <c r="E4" s="3182" t="s">
        <v>187</v>
      </c>
      <c r="F4" s="3182" t="s">
        <v>2021</v>
      </c>
      <c r="G4" s="3182" t="s">
        <v>2202</v>
      </c>
      <c r="H4" s="3182" t="s">
        <v>116</v>
      </c>
      <c r="I4" s="3182" t="s">
        <v>1151</v>
      </c>
      <c r="J4" s="3182" t="s">
        <v>1150</v>
      </c>
      <c r="K4" s="3182" t="s">
        <v>1149</v>
      </c>
      <c r="L4" s="3182" t="s">
        <v>2262</v>
      </c>
      <c r="M4" s="3182" t="s">
        <v>2261</v>
      </c>
      <c r="N4" s="3182" t="s">
        <v>2260</v>
      </c>
      <c r="O4" s="3182" t="s">
        <v>3774</v>
      </c>
      <c r="P4" s="3182" t="s">
        <v>3907</v>
      </c>
      <c r="Q4" s="3182" t="s">
        <v>3776</v>
      </c>
      <c r="R4" s="3184" t="s">
        <v>3974</v>
      </c>
      <c r="S4" s="3185"/>
      <c r="T4" s="3185"/>
      <c r="U4" s="3185"/>
      <c r="V4" s="3186"/>
      <c r="W4" s="3184" t="s">
        <v>3878</v>
      </c>
      <c r="X4" s="3185"/>
      <c r="Y4" s="3185"/>
      <c r="Z4" s="3185"/>
      <c r="AA4" s="3185"/>
      <c r="AB4" s="3185"/>
      <c r="AC4" s="3185"/>
      <c r="AD4" s="3185"/>
      <c r="AE4" s="3185"/>
      <c r="AF4" s="3185"/>
      <c r="AG4" s="3185"/>
      <c r="AH4" s="3185"/>
      <c r="AI4" s="3185"/>
      <c r="AJ4" s="3185"/>
      <c r="AK4" s="3185"/>
      <c r="AL4" s="3185"/>
      <c r="AM4" s="3185"/>
      <c r="AN4" s="3185"/>
      <c r="AO4" s="3185"/>
      <c r="AP4" s="3185"/>
      <c r="AQ4" s="3185"/>
      <c r="AR4" s="3185"/>
      <c r="AS4" s="3185"/>
      <c r="AT4" s="3185"/>
      <c r="AU4" s="3185"/>
      <c r="AV4" s="3186"/>
      <c r="AW4" s="909"/>
      <c r="AX4" s="912" t="s">
        <v>3778</v>
      </c>
      <c r="AY4" s="909"/>
      <c r="AZ4" s="909"/>
      <c r="BA4" s="909"/>
      <c r="BB4" s="909"/>
      <c r="BC4" s="909"/>
      <c r="BD4" s="909"/>
      <c r="BE4" s="909"/>
      <c r="BF4" s="909"/>
      <c r="BG4" s="909" t="s">
        <v>3881</v>
      </c>
      <c r="BH4" s="636"/>
      <c r="BI4" s="636"/>
      <c r="BJ4" s="636"/>
      <c r="BK4" s="636"/>
      <c r="BL4" s="636"/>
      <c r="BM4" s="636"/>
      <c r="BN4" s="636"/>
      <c r="BO4" s="636"/>
      <c r="BP4" s="636"/>
      <c r="BQ4" s="3182" t="s">
        <v>2384</v>
      </c>
      <c r="BR4" s="3182" t="s">
        <v>2389</v>
      </c>
      <c r="BS4" s="3182" t="s">
        <v>4550</v>
      </c>
      <c r="BT4" s="3182" t="s">
        <v>2384</v>
      </c>
      <c r="BU4" s="3182" t="s">
        <v>2390</v>
      </c>
      <c r="BV4" s="3182" t="s">
        <v>2391</v>
      </c>
      <c r="BW4" s="3189" t="s">
        <v>3924</v>
      </c>
      <c r="BX4" s="549" t="s">
        <v>2175</v>
      </c>
      <c r="BY4" s="560"/>
      <c r="BZ4" s="560"/>
      <c r="CA4" s="561"/>
      <c r="CB4" s="3194" t="s">
        <v>3979</v>
      </c>
      <c r="CC4" s="3194" t="s">
        <v>3926</v>
      </c>
      <c r="CD4" s="3194" t="s">
        <v>3927</v>
      </c>
      <c r="CE4" s="3194" t="s">
        <v>3928</v>
      </c>
      <c r="CF4" s="3194" t="s">
        <v>3929</v>
      </c>
      <c r="CG4" s="3194" t="s">
        <v>4046</v>
      </c>
      <c r="CH4" s="3191" t="s">
        <v>3931</v>
      </c>
      <c r="CI4" s="3192"/>
      <c r="CJ4" s="3192"/>
      <c r="CK4" s="3192"/>
      <c r="CL4" s="3192"/>
      <c r="CM4" s="3192"/>
      <c r="CN4" s="3192"/>
      <c r="CO4" s="3192"/>
      <c r="CP4" s="3192"/>
      <c r="CQ4" s="3192"/>
      <c r="CR4" s="3192"/>
      <c r="CS4" s="3192"/>
      <c r="CT4" s="3192"/>
      <c r="CU4" s="3193"/>
      <c r="CV4" s="3191" t="s">
        <v>3932</v>
      </c>
      <c r="CW4" s="3192"/>
      <c r="CX4" s="3192"/>
      <c r="CY4" s="3192"/>
      <c r="CZ4" s="3193"/>
      <c r="DA4" s="3191" t="s">
        <v>3933</v>
      </c>
      <c r="DB4" s="3192"/>
      <c r="DC4" s="3192"/>
      <c r="DD4" s="3193"/>
      <c r="DE4" s="3191" t="s">
        <v>2594</v>
      </c>
      <c r="DF4" s="3192"/>
      <c r="DG4" s="3192"/>
      <c r="DH4" s="3193"/>
      <c r="DI4" s="3191" t="s">
        <v>475</v>
      </c>
      <c r="DJ4" s="3193"/>
      <c r="DK4" s="3194" t="s">
        <v>3980</v>
      </c>
      <c r="DL4" s="3194" t="s">
        <v>3934</v>
      </c>
      <c r="DM4" s="3194" t="s">
        <v>3935</v>
      </c>
      <c r="DN4" s="3194" t="s">
        <v>3936</v>
      </c>
      <c r="DO4" s="3194" t="s">
        <v>2843</v>
      </c>
      <c r="DP4" s="3189" t="s">
        <v>4047</v>
      </c>
      <c r="DQ4" s="3189" t="s">
        <v>4546</v>
      </c>
      <c r="DR4" s="3189" t="s">
        <v>4547</v>
      </c>
      <c r="DS4" s="3189" t="s">
        <v>4548</v>
      </c>
      <c r="DT4" s="3189" t="s">
        <v>3983</v>
      </c>
      <c r="DU4" s="3189" t="s">
        <v>4129</v>
      </c>
      <c r="DV4" s="3187" t="s">
        <v>2599</v>
      </c>
    </row>
    <row r="5" spans="1:256" s="529" customFormat="1" ht="96.75">
      <c r="A5" s="3198"/>
      <c r="B5" s="3199"/>
      <c r="C5" s="3199"/>
      <c r="D5" s="3183"/>
      <c r="E5" s="3183"/>
      <c r="F5" s="3183"/>
      <c r="G5" s="3183"/>
      <c r="H5" s="3183"/>
      <c r="I5" s="3183"/>
      <c r="J5" s="3183"/>
      <c r="K5" s="3183"/>
      <c r="L5" s="3183"/>
      <c r="M5" s="3183"/>
      <c r="N5" s="3183"/>
      <c r="O5" s="3183"/>
      <c r="P5" s="3183"/>
      <c r="Q5" s="3183"/>
      <c r="R5" s="792" t="s">
        <v>301</v>
      </c>
      <c r="S5" s="792" t="s">
        <v>232</v>
      </c>
      <c r="T5" s="792" t="s">
        <v>185</v>
      </c>
      <c r="U5" s="792" t="s">
        <v>300</v>
      </c>
      <c r="V5" s="910" t="s">
        <v>4318</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3"/>
      <c r="BR5" s="3183"/>
      <c r="BS5" s="3183"/>
      <c r="BT5" s="3183"/>
      <c r="BU5" s="3183"/>
      <c r="BV5" s="3183"/>
      <c r="BW5" s="3190"/>
      <c r="BX5" s="792" t="s">
        <v>3986</v>
      </c>
      <c r="BY5" s="792" t="s">
        <v>3987</v>
      </c>
      <c r="BZ5" s="792" t="s">
        <v>3943</v>
      </c>
      <c r="CA5" s="792" t="s">
        <v>4544</v>
      </c>
      <c r="CB5" s="3195"/>
      <c r="CC5" s="3195"/>
      <c r="CD5" s="3195"/>
      <c r="CE5" s="3195"/>
      <c r="CF5" s="3195"/>
      <c r="CG5" s="3195"/>
      <c r="CH5" s="781" t="s">
        <v>3945</v>
      </c>
      <c r="CI5" s="781" t="s">
        <v>3950</v>
      </c>
      <c r="CJ5" s="781" t="s">
        <v>3946</v>
      </c>
      <c r="CK5" s="781" t="s">
        <v>3989</v>
      </c>
      <c r="CL5" s="781" t="s">
        <v>3990</v>
      </c>
      <c r="CM5" s="781" t="s">
        <v>4319</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4291</v>
      </c>
      <c r="CZ5" s="781" t="s">
        <v>3954</v>
      </c>
      <c r="DA5" s="781" t="s">
        <v>4051</v>
      </c>
      <c r="DB5" s="781" t="s">
        <v>4052</v>
      </c>
      <c r="DC5" s="781" t="s">
        <v>3957</v>
      </c>
      <c r="DD5" s="781" t="s">
        <v>3956</v>
      </c>
      <c r="DE5" s="781" t="s">
        <v>4053</v>
      </c>
      <c r="DF5" s="781" t="s">
        <v>4054</v>
      </c>
      <c r="DG5" s="781" t="s">
        <v>3960</v>
      </c>
      <c r="DH5" s="781" t="s">
        <v>3959</v>
      </c>
      <c r="DI5" s="781" t="s">
        <v>4130</v>
      </c>
      <c r="DJ5" s="781" t="s">
        <v>4545</v>
      </c>
      <c r="DK5" s="3195"/>
      <c r="DL5" s="3195"/>
      <c r="DM5" s="3195"/>
      <c r="DN5" s="3195"/>
      <c r="DO5" s="3195"/>
      <c r="DP5" s="3190"/>
      <c r="DQ5" s="3190"/>
      <c r="DR5" s="3190"/>
      <c r="DS5" s="3190"/>
      <c r="DT5" s="3190"/>
      <c r="DU5" s="3190"/>
      <c r="DV5" s="3188"/>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7" t="s">
        <v>4750</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5">
      <c r="A9" s="1542" t="s">
        <v>4883</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5">
      <c r="A10" s="1542" t="s">
        <v>4884</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5">
      <c r="A11" s="1542" t="s">
        <v>4885</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5">
      <c r="A12" s="1542" t="s">
        <v>4886</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5">
      <c r="A13" s="1542" t="s">
        <v>4887</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5">
      <c r="A14" s="1542" t="s">
        <v>4888</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5">
      <c r="A15" s="1542" t="s">
        <v>4889</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5">
      <c r="A16" s="1542" t="s">
        <v>4890</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5">
      <c r="A17" s="1542" t="s">
        <v>4891</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5">
      <c r="A18" s="1542" t="s">
        <v>4892</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5">
      <c r="A19" s="1542" t="s">
        <v>4893</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5">
      <c r="A20" s="1542" t="s">
        <v>4894</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5">
      <c r="A21" s="1542" t="s">
        <v>4895</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5">
      <c r="A22" s="1542" t="s">
        <v>4896</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42" t="s">
        <v>4897</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42" t="s">
        <v>4898</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5">
      <c r="A25" s="1542" t="s">
        <v>4899</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5"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5"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5"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5"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5"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5"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5"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5"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5"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5"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5"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5"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5"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5"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5"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5"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5"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5"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5"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5"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5"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5"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5"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5"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5"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5"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5"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5"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5"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5"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5"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5"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5"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5"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5"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5"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5"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5"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5"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5"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5"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5"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5"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5"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5"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5"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5"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5"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5"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5"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5"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5"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5"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5"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5"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5"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5"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5"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5"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5"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5"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5"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5"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5"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5"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5"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5"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5"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5"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5"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5"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5"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5"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5"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5"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5"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5"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5"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5"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5"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5"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5"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5"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5"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5"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5"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5"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5"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5"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5"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5"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5"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5"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5"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5"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5"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5"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5"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5"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5"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5"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5"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5"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5"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5"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5"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5"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5"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5"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5"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5"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5"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5"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5"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95" hidden="1" customHeight="1">
      <c r="A343" s="3196" t="s">
        <v>4131</v>
      </c>
      <c r="B343" s="3196"/>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95" hidden="1" customHeight="1">
      <c r="A344" s="3196" t="s">
        <v>4132</v>
      </c>
      <c r="B344" s="3196"/>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95" hidden="1" customHeight="1">
      <c r="A345" s="3196" t="s">
        <v>4133</v>
      </c>
      <c r="B345" s="3196"/>
      <c r="C345" s="803"/>
      <c r="D345" s="804"/>
      <c r="E345" s="804"/>
      <c r="F345" s="804"/>
      <c r="G345" s="804"/>
      <c r="H345" s="804"/>
      <c r="I345" s="804"/>
      <c r="J345" s="804"/>
      <c r="W345" s="805"/>
      <c r="AB345" s="797"/>
      <c r="AD345" s="797"/>
      <c r="AE345" s="806"/>
      <c r="AF345" s="796"/>
      <c r="AG345" s="796"/>
      <c r="DV345" s="799"/>
    </row>
    <row r="346" spans="1:256" s="795" customFormat="1" ht="18.95" hidden="1" customHeight="1">
      <c r="A346" s="3196" t="s">
        <v>4134</v>
      </c>
      <c r="B346" s="3196"/>
      <c r="C346" s="803"/>
      <c r="D346" s="804"/>
      <c r="E346" s="804"/>
      <c r="F346" s="804"/>
      <c r="G346" s="804"/>
      <c r="H346" s="804"/>
      <c r="I346" s="804"/>
      <c r="J346" s="804"/>
      <c r="W346" s="805"/>
      <c r="AB346" s="797"/>
      <c r="AD346" s="797"/>
      <c r="AE346" s="806"/>
      <c r="AF346" s="796"/>
      <c r="AG346" s="796"/>
      <c r="DV346" s="799"/>
      <c r="DX346" s="799"/>
      <c r="DZ346" s="799"/>
    </row>
    <row r="347" spans="1:256" s="795" customFormat="1" ht="18.95" hidden="1" customHeight="1">
      <c r="A347" s="3196" t="s">
        <v>4135</v>
      </c>
      <c r="B347" s="3196"/>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95" hidden="1" customHeight="1">
      <c r="A348" s="3196" t="s">
        <v>4136</v>
      </c>
      <c r="B348" s="3196"/>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95"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95" hidden="1" customHeight="1">
      <c r="A350" s="812" t="s">
        <v>4138</v>
      </c>
      <c r="C350" s="803"/>
      <c r="DV350" s="799"/>
      <c r="IR350" s="800"/>
      <c r="IS350" s="800"/>
      <c r="IT350" s="800"/>
      <c r="IU350" s="800"/>
      <c r="IV350" s="800"/>
    </row>
    <row r="351" spans="1:256" ht="18.95" customHeight="1">
      <c r="Q351" s="900"/>
      <c r="BQ351" s="517"/>
      <c r="BR351" s="517"/>
      <c r="BS351" s="517"/>
      <c r="BT351" s="517"/>
      <c r="BU351" s="517"/>
      <c r="BV351" s="517"/>
      <c r="DV351" s="857"/>
    </row>
    <row r="352" spans="1:256" ht="18.95" customHeight="1">
      <c r="Q352" s="819"/>
      <c r="BQ352" s="517"/>
      <c r="BR352" s="517"/>
      <c r="BS352" s="517"/>
      <c r="BT352" s="517"/>
      <c r="BU352" s="517"/>
      <c r="BV352" s="517"/>
      <c r="DV352" s="818"/>
    </row>
    <row r="353" spans="10:256" ht="18.95" customHeight="1">
      <c r="Q353" s="819"/>
      <c r="BQ353" s="517"/>
      <c r="BR353" s="517"/>
      <c r="BS353" s="517"/>
      <c r="BT353" s="517"/>
      <c r="BU353" s="517"/>
      <c r="BV353" s="517"/>
      <c r="DV353" s="818"/>
    </row>
    <row r="354" spans="10:256" ht="18.95" customHeight="1">
      <c r="Q354" s="819"/>
      <c r="BQ354" s="517"/>
      <c r="BR354" s="517"/>
      <c r="BS354" s="517"/>
      <c r="BT354" s="517"/>
      <c r="BU354" s="517"/>
      <c r="BV354" s="517"/>
      <c r="DV354" s="818"/>
    </row>
    <row r="355" spans="10:256" ht="18.95" customHeight="1">
      <c r="Q355" s="819"/>
      <c r="BQ355" s="517"/>
      <c r="BR355" s="517"/>
      <c r="BS355" s="517"/>
      <c r="BT355" s="517"/>
      <c r="BU355" s="517"/>
      <c r="BV355" s="517"/>
      <c r="DV355" s="818"/>
      <c r="IR355" s="529"/>
      <c r="IS355" s="529"/>
      <c r="IT355" s="529"/>
      <c r="IU355" s="529"/>
      <c r="IV355" s="529"/>
    </row>
    <row r="356" spans="10:256" ht="18.95" customHeight="1">
      <c r="Q356" s="898"/>
      <c r="BQ356" s="517"/>
      <c r="BR356" s="517"/>
      <c r="BS356" s="517"/>
      <c r="BT356" s="517"/>
      <c r="BU356" s="517"/>
      <c r="BV356" s="517"/>
      <c r="DV356" s="817"/>
    </row>
    <row r="357" spans="10:256" ht="18.95" customHeight="1">
      <c r="BQ357" s="517"/>
      <c r="BR357" s="517"/>
      <c r="BS357" s="517"/>
      <c r="BT357" s="517"/>
      <c r="BU357" s="517"/>
      <c r="BV357" s="517"/>
    </row>
    <row r="358" spans="10:256" ht="18.95" customHeight="1">
      <c r="J358" s="819"/>
      <c r="BQ358" s="517"/>
      <c r="BR358" s="517"/>
      <c r="BS358" s="517"/>
      <c r="BT358" s="517"/>
      <c r="BU358" s="517"/>
      <c r="BV358" s="517"/>
      <c r="DI358" s="818"/>
    </row>
    <row r="359" spans="10:256" ht="18.95" customHeight="1">
      <c r="J359" s="899"/>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W446"/>
  <sheetViews>
    <sheetView showZeros="0" topLeftCell="A40" zoomScale="85" zoomScaleNormal="85" workbookViewId="0">
      <selection activeCell="P101" sqref="P101"/>
    </sheetView>
  </sheetViews>
  <sheetFormatPr defaultColWidth="4.5546875" defaultRowHeight="25.15" customHeight="1" outlineLevelRow="2"/>
  <cols>
    <col min="1" max="2" width="5.88671875" style="753" customWidth="1"/>
    <col min="3" max="4" width="4.5546875" style="755"/>
    <col min="5" max="6" width="5.109375" style="755" customWidth="1"/>
    <col min="7" max="8" width="4.5546875" style="755"/>
    <col min="9" max="9" width="5.21875" style="3010" customWidth="1"/>
    <col min="10" max="10" width="4.5546875" style="3010"/>
    <col min="11" max="17" width="4.5546875" style="755"/>
    <col min="18" max="19" width="4.5546875" style="756"/>
    <col min="20" max="21" width="4.5546875" style="753"/>
    <col min="22" max="22" width="4.5546875" style="458"/>
    <col min="23" max="29" width="4.5546875" style="753"/>
    <col min="30" max="47" width="4.5546875" style="458"/>
  </cols>
  <sheetData>
    <row r="1" spans="1:49" ht="25.1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15" customHeight="1" outlineLevel="2">
      <c r="A2" s="753" t="s">
        <v>4377</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1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15" customHeight="1" outlineLevel="2"/>
    <row r="5" spans="1:49" ht="25.1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15" customHeight="1" outlineLevel="1">
      <c r="A6" s="510" t="str">
        <f>CT_tram!D20</f>
        <v>Công trình: Xây Dựng mới TBA 3P-1000kVA Công ty TNHH MTV Kỹ thuật điện Việt Anh</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15" customHeight="1" outlineLevel="1">
      <c r="A7" s="647" t="str">
        <f>CT_tram!D21</f>
        <v>Địa điểm: Xã Xuân Hòa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15" hidden="1" customHeight="1" outlineLevel="1">
      <c r="A8" s="1797" t="s">
        <v>4393</v>
      </c>
      <c r="B8" s="1797" t="s">
        <v>4393</v>
      </c>
      <c r="C8" s="1797" t="s">
        <v>4393</v>
      </c>
      <c r="D8" s="1797" t="s">
        <v>4393</v>
      </c>
      <c r="E8" s="1797" t="s">
        <v>6566</v>
      </c>
      <c r="F8" s="1797" t="s">
        <v>6567</v>
      </c>
      <c r="G8" s="1797" t="s">
        <v>6482</v>
      </c>
      <c r="H8" s="1797" t="s">
        <v>6483</v>
      </c>
      <c r="I8" s="3011" t="s">
        <v>4393</v>
      </c>
      <c r="J8" s="3011" t="s">
        <v>4393</v>
      </c>
      <c r="K8" s="1797" t="s">
        <v>4393</v>
      </c>
      <c r="L8" s="1797" t="s">
        <v>301</v>
      </c>
      <c r="M8" s="1797" t="s">
        <v>302</v>
      </c>
      <c r="N8" s="1797" t="s">
        <v>219</v>
      </c>
      <c r="O8" s="1797" t="s">
        <v>2306</v>
      </c>
      <c r="P8" s="1797" t="s">
        <v>2307</v>
      </c>
      <c r="Q8" s="1797" t="s">
        <v>6486</v>
      </c>
      <c r="R8" s="1797" t="s">
        <v>6529</v>
      </c>
      <c r="S8" s="1797" t="s">
        <v>2235</v>
      </c>
      <c r="T8" s="1797" t="s">
        <v>4708</v>
      </c>
      <c r="U8" s="1797" t="s">
        <v>2293</v>
      </c>
      <c r="V8" s="1797" t="s">
        <v>2119</v>
      </c>
      <c r="W8" s="1797" t="s">
        <v>2292</v>
      </c>
      <c r="X8" s="1797" t="s">
        <v>893</v>
      </c>
      <c r="Y8" s="1797" t="s">
        <v>2295</v>
      </c>
      <c r="Z8" s="1797" t="s">
        <v>533</v>
      </c>
      <c r="AA8" s="1797" t="s">
        <v>2504</v>
      </c>
      <c r="AB8" s="1797" t="s">
        <v>2515</v>
      </c>
      <c r="AC8" s="1797" t="s">
        <v>6531</v>
      </c>
      <c r="AD8" s="1797" t="s">
        <v>2499</v>
      </c>
      <c r="AE8" s="1797" t="s">
        <v>2534</v>
      </c>
      <c r="AF8" s="1797" t="s">
        <v>534</v>
      </c>
      <c r="AG8" s="1797" t="s">
        <v>1622</v>
      </c>
      <c r="AH8" s="1797" t="s">
        <v>6508</v>
      </c>
      <c r="AI8" s="1797" t="s">
        <v>6494</v>
      </c>
      <c r="AJ8" s="1797" t="s">
        <v>236</v>
      </c>
      <c r="AK8" s="1797" t="s">
        <v>1049</v>
      </c>
      <c r="AL8" s="1797" t="s">
        <v>1580</v>
      </c>
      <c r="AM8" s="1797" t="s">
        <v>240</v>
      </c>
      <c r="AN8" s="1797" t="s">
        <v>6521</v>
      </c>
      <c r="AO8" s="1797" t="s">
        <v>4673</v>
      </c>
      <c r="AP8" s="1797" t="s">
        <v>5799</v>
      </c>
      <c r="AQ8" s="1797" t="s">
        <v>1652</v>
      </c>
      <c r="AR8" s="1797" t="s">
        <v>2184</v>
      </c>
      <c r="AS8" s="1797" t="s">
        <v>788</v>
      </c>
      <c r="AT8" s="1797" t="s">
        <v>1373</v>
      </c>
      <c r="AU8" s="1797"/>
      <c r="AV8" s="1455"/>
      <c r="AW8" s="1451"/>
    </row>
    <row r="9" spans="1:49" s="1378" customFormat="1" ht="196.15" customHeight="1">
      <c r="A9" s="3012" t="s">
        <v>6475</v>
      </c>
      <c r="B9" s="3012" t="s">
        <v>6476</v>
      </c>
      <c r="C9" s="3012" t="s">
        <v>6478</v>
      </c>
      <c r="D9" s="3012" t="s">
        <v>6479</v>
      </c>
      <c r="E9" s="3012" t="s">
        <v>6480</v>
      </c>
      <c r="F9" s="3012" t="s">
        <v>6481</v>
      </c>
      <c r="G9" s="3012" t="s">
        <v>6482</v>
      </c>
      <c r="H9" s="3012" t="s">
        <v>6483</v>
      </c>
      <c r="I9" s="3012" t="s">
        <v>6484</v>
      </c>
      <c r="J9" s="3012" t="s">
        <v>6485</v>
      </c>
      <c r="K9" s="3012" t="s">
        <v>4530</v>
      </c>
      <c r="L9" s="3012" t="s">
        <v>301</v>
      </c>
      <c r="M9" s="3012" t="s">
        <v>302</v>
      </c>
      <c r="N9" s="3012" t="s">
        <v>219</v>
      </c>
      <c r="O9" s="3012" t="s">
        <v>2306</v>
      </c>
      <c r="P9" s="3012" t="s">
        <v>2307</v>
      </c>
      <c r="Q9" s="3012" t="s">
        <v>6486</v>
      </c>
      <c r="R9" s="3012" t="s">
        <v>6487</v>
      </c>
      <c r="S9" s="3012" t="s">
        <v>2392</v>
      </c>
      <c r="T9" s="3012" t="s">
        <v>4708</v>
      </c>
      <c r="U9" s="3012" t="s">
        <v>2293</v>
      </c>
      <c r="V9" s="3012" t="s">
        <v>2119</v>
      </c>
      <c r="W9" s="3012" t="s">
        <v>2292</v>
      </c>
      <c r="X9" s="3012" t="s">
        <v>893</v>
      </c>
      <c r="Y9" s="3012" t="s">
        <v>2295</v>
      </c>
      <c r="Z9" s="3012" t="s">
        <v>533</v>
      </c>
      <c r="AA9" s="3012" t="s">
        <v>3885</v>
      </c>
      <c r="AB9" s="3012" t="s">
        <v>4073</v>
      </c>
      <c r="AC9" s="3012" t="s">
        <v>6488</v>
      </c>
      <c r="AD9" s="3012" t="s">
        <v>3786</v>
      </c>
      <c r="AE9" s="3012" t="s">
        <v>4076</v>
      </c>
      <c r="AF9" s="3012" t="s">
        <v>6574</v>
      </c>
      <c r="AG9" s="3012" t="s">
        <v>6575</v>
      </c>
      <c r="AH9" s="3012" t="s">
        <v>6514</v>
      </c>
      <c r="AI9" s="3012" t="s">
        <v>6501</v>
      </c>
      <c r="AJ9" s="3012" t="s">
        <v>6424</v>
      </c>
      <c r="AK9" s="3012" t="s">
        <v>406</v>
      </c>
      <c r="AL9" s="3012" t="s">
        <v>3793</v>
      </c>
      <c r="AM9" s="3012" t="s">
        <v>4087</v>
      </c>
      <c r="AN9" s="3012" t="s">
        <v>6522</v>
      </c>
      <c r="AO9" s="3012" t="s">
        <v>6099</v>
      </c>
      <c r="AP9" s="3012" t="s">
        <v>6100</v>
      </c>
      <c r="AQ9" s="3012" t="s">
        <v>1898</v>
      </c>
      <c r="AR9" s="3012" t="s">
        <v>1912</v>
      </c>
      <c r="AS9" s="3012" t="s">
        <v>788</v>
      </c>
      <c r="AT9" s="3012" t="s">
        <v>1193</v>
      </c>
      <c r="AU9" s="3012" t="s">
        <v>4170</v>
      </c>
    </row>
    <row r="10" spans="1:49" ht="25.15" customHeight="1">
      <c r="A10" s="2947" t="s">
        <v>6549</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1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15" customHeight="1">
      <c r="A12" s="3001">
        <v>1</v>
      </c>
      <c r="B12" s="3001">
        <v>1</v>
      </c>
      <c r="C12" s="2992">
        <v>35</v>
      </c>
      <c r="D12" s="2994">
        <v>35</v>
      </c>
      <c r="E12" s="2994">
        <f>E11+D12</f>
        <v>35</v>
      </c>
      <c r="F12" s="2994"/>
      <c r="G12" s="2994"/>
      <c r="H12" s="2994"/>
      <c r="I12" s="3013" t="s">
        <v>4317</v>
      </c>
      <c r="J12" s="3013" t="s">
        <v>4317</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1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15" customHeight="1">
      <c r="A14" s="3001">
        <v>3</v>
      </c>
      <c r="B14" s="3001">
        <v>3</v>
      </c>
      <c r="C14" s="2992">
        <v>42.8</v>
      </c>
      <c r="D14" s="2994">
        <v>42.8</v>
      </c>
      <c r="E14" s="2994">
        <f t="shared" si="7"/>
        <v>119.8</v>
      </c>
      <c r="F14" s="2994"/>
      <c r="G14" s="2994"/>
      <c r="H14" s="2994"/>
      <c r="I14" s="3013" t="s">
        <v>6568</v>
      </c>
      <c r="J14" s="3013" t="s">
        <v>6568</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15" customHeight="1">
      <c r="A15" s="3001">
        <v>4</v>
      </c>
      <c r="B15" s="3001">
        <v>4</v>
      </c>
      <c r="C15" s="2992">
        <v>53.1</v>
      </c>
      <c r="D15" s="2994">
        <v>37.700000000000003</v>
      </c>
      <c r="E15" s="2994">
        <f t="shared" si="7"/>
        <v>157.5</v>
      </c>
      <c r="F15" s="2994"/>
      <c r="G15" s="2994"/>
      <c r="H15" s="2994"/>
      <c r="I15" s="3013" t="s">
        <v>6569</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15" customHeight="1">
      <c r="A16" s="3001"/>
      <c r="B16" s="3001" t="s">
        <v>6550</v>
      </c>
      <c r="C16" s="2994"/>
      <c r="D16" s="2994">
        <v>40</v>
      </c>
      <c r="E16" s="2994">
        <f t="shared" si="7"/>
        <v>197.5</v>
      </c>
      <c r="F16" s="2994"/>
      <c r="G16" s="2994">
        <v>10</v>
      </c>
      <c r="H16" s="2994">
        <v>15</v>
      </c>
      <c r="I16" s="3013"/>
      <c r="J16" s="3013" t="s">
        <v>6570</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15" customHeight="1">
      <c r="A17" s="3001">
        <v>5</v>
      </c>
      <c r="B17" s="3001">
        <v>5</v>
      </c>
      <c r="C17" s="2994">
        <v>64.599999999999994</v>
      </c>
      <c r="D17" s="2994">
        <v>40</v>
      </c>
      <c r="E17" s="2994">
        <f t="shared" si="7"/>
        <v>237.5</v>
      </c>
      <c r="F17" s="2994"/>
      <c r="G17" s="2994"/>
      <c r="H17" s="2994"/>
      <c r="I17" s="3013" t="s">
        <v>4317</v>
      </c>
      <c r="J17" s="3013" t="s">
        <v>4317</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15" customHeight="1">
      <c r="A18" s="3001">
        <v>6</v>
      </c>
      <c r="B18" s="3001">
        <v>6</v>
      </c>
      <c r="C18" s="2994">
        <v>50</v>
      </c>
      <c r="D18" s="2994">
        <v>50</v>
      </c>
      <c r="E18" s="2994">
        <f t="shared" si="7"/>
        <v>287.5</v>
      </c>
      <c r="F18" s="2994"/>
      <c r="G18" s="2994"/>
      <c r="H18" s="2994"/>
      <c r="I18" s="3013" t="s">
        <v>4317</v>
      </c>
      <c r="J18" s="3013" t="s">
        <v>4317</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1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15" customHeight="1">
      <c r="A20" s="3001" t="s">
        <v>6535</v>
      </c>
      <c r="B20" s="3001" t="s">
        <v>6535</v>
      </c>
      <c r="C20" s="2994">
        <v>45</v>
      </c>
      <c r="D20" s="2994">
        <v>45</v>
      </c>
      <c r="E20" s="2994">
        <f t="shared" si="7"/>
        <v>382.5</v>
      </c>
      <c r="F20" s="2994"/>
      <c r="G20" s="2994"/>
      <c r="H20" s="2994"/>
      <c r="I20" s="3013" t="s">
        <v>6569</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15" customHeight="1">
      <c r="A21" s="3001" t="s">
        <v>6536</v>
      </c>
      <c r="B21" s="3001" t="s">
        <v>6536</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15" customHeight="1">
      <c r="A22" s="3001" t="s">
        <v>6537</v>
      </c>
      <c r="B22" s="3001" t="s">
        <v>6537</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15" customHeight="1">
      <c r="A23" s="3001" t="s">
        <v>6538</v>
      </c>
      <c r="B23" s="3001" t="s">
        <v>6538</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15" customHeight="1">
      <c r="A24" s="3001" t="s">
        <v>6539</v>
      </c>
      <c r="B24" s="3001" t="s">
        <v>6539</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15" customHeight="1">
      <c r="A25" s="3001" t="s">
        <v>6540</v>
      </c>
      <c r="B25" s="3001" t="s">
        <v>6540</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15" customHeight="1">
      <c r="A26" s="3001"/>
      <c r="B26" s="3001" t="s">
        <v>6551</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15" customHeight="1">
      <c r="A27" s="3001" t="s">
        <v>6541</v>
      </c>
      <c r="B27" s="3001" t="s">
        <v>6541</v>
      </c>
      <c r="C27" s="2994">
        <v>53.2</v>
      </c>
      <c r="D27" s="2994">
        <v>26.2</v>
      </c>
      <c r="E27" s="2994">
        <f t="shared" si="7"/>
        <v>660.7</v>
      </c>
      <c r="F27" s="2994"/>
      <c r="G27" s="2994"/>
      <c r="H27" s="2994"/>
      <c r="I27" s="3013" t="s">
        <v>6568</v>
      </c>
      <c r="J27" s="3013" t="s">
        <v>6568</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15" customHeight="1">
      <c r="A28" s="3001" t="s">
        <v>6542</v>
      </c>
      <c r="B28" s="3001" t="s">
        <v>6542</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15" customHeight="1">
      <c r="A29" s="3001" t="s">
        <v>6543</v>
      </c>
      <c r="B29" s="3001" t="s">
        <v>6543</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15" customHeight="1">
      <c r="A30" s="3001" t="s">
        <v>6544</v>
      </c>
      <c r="B30" s="3001" t="s">
        <v>6544</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15" customHeight="1">
      <c r="A31" s="3001" t="s">
        <v>6545</v>
      </c>
      <c r="B31" s="3001" t="s">
        <v>6545</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15" customHeight="1">
      <c r="A32" s="3001" t="s">
        <v>6546</v>
      </c>
      <c r="B32" s="3001" t="s">
        <v>6546</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15" customHeight="1">
      <c r="A33" s="3001" t="s">
        <v>6547</v>
      </c>
      <c r="B33" s="3001" t="s">
        <v>6547</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15" customHeight="1">
      <c r="A34" s="3001" t="s">
        <v>6548</v>
      </c>
      <c r="B34" s="3001" t="s">
        <v>6548</v>
      </c>
      <c r="C34" s="2994">
        <v>40</v>
      </c>
      <c r="D34" s="2994">
        <v>40</v>
      </c>
      <c r="E34" s="2994">
        <f t="shared" si="7"/>
        <v>970.7</v>
      </c>
      <c r="F34" s="2994"/>
      <c r="G34" s="2994"/>
      <c r="H34" s="2994"/>
      <c r="I34" s="3013" t="s">
        <v>6568</v>
      </c>
      <c r="J34" s="3013" t="s">
        <v>6568</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15" customHeight="1">
      <c r="A35" s="3002" t="s">
        <v>6552</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15" customHeight="1">
      <c r="A36" s="3003" t="s">
        <v>6553</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15" customHeight="1">
      <c r="A37" s="3001" t="s">
        <v>6548</v>
      </c>
      <c r="B37" s="3001" t="s">
        <v>6548</v>
      </c>
      <c r="C37" s="2994"/>
      <c r="D37" s="2994"/>
      <c r="E37" s="2994"/>
      <c r="F37" s="2994"/>
      <c r="G37" s="2994"/>
      <c r="H37" s="2994"/>
      <c r="I37" s="3013" t="s">
        <v>6568</v>
      </c>
      <c r="J37" s="3013" t="s">
        <v>6568</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15" customHeight="1">
      <c r="A38" s="3001" t="s">
        <v>6554</v>
      </c>
      <c r="B38" s="3001" t="s">
        <v>6554</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15" customHeight="1">
      <c r="A39" s="3001"/>
      <c r="B39" s="3001" t="s">
        <v>6559</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15" customHeight="1">
      <c r="A40" s="3001" t="s">
        <v>6555</v>
      </c>
      <c r="B40" s="3001" t="s">
        <v>6555</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15" customHeight="1">
      <c r="A41" s="3001" t="s">
        <v>6556</v>
      </c>
      <c r="B41" s="3001" t="s">
        <v>6556</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15" customHeight="1">
      <c r="A42" s="3001" t="s">
        <v>6557</v>
      </c>
      <c r="B42" s="3001" t="s">
        <v>6557</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15" customHeight="1">
      <c r="A43" s="3001" t="s">
        <v>6558</v>
      </c>
      <c r="B43" s="3001" t="s">
        <v>6558</v>
      </c>
      <c r="C43" s="2994">
        <v>45</v>
      </c>
      <c r="D43" s="2994">
        <v>45</v>
      </c>
      <c r="E43" s="2994"/>
      <c r="F43" s="2994">
        <f t="shared" si="12"/>
        <v>225</v>
      </c>
      <c r="G43" s="2994"/>
      <c r="H43" s="2994"/>
      <c r="I43" s="3013" t="s">
        <v>4317</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15" customHeight="1">
      <c r="A44" s="3002" t="s">
        <v>6560</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15" customHeight="1">
      <c r="A45" s="3003" t="s">
        <v>6596</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15" customHeight="1">
      <c r="A46" s="3001" t="s">
        <v>6558</v>
      </c>
      <c r="B46" s="3001" t="s">
        <v>6558</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15" customHeight="1">
      <c r="A47" s="3000"/>
      <c r="B47" s="3001" t="s">
        <v>6535</v>
      </c>
      <c r="C47" s="2994"/>
      <c r="D47" s="2994">
        <v>34</v>
      </c>
      <c r="E47" s="2994"/>
      <c r="F47" s="2994">
        <f>F46+D47</f>
        <v>34</v>
      </c>
      <c r="G47" s="2994"/>
      <c r="H47" s="2994"/>
      <c r="I47" s="3013"/>
      <c r="J47" s="3013" t="s">
        <v>6568</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15" customHeight="1">
      <c r="A48" s="3004"/>
      <c r="B48" s="3001" t="s">
        <v>6536</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15" customHeight="1">
      <c r="A49" s="3004"/>
      <c r="B49" s="3001" t="s">
        <v>6537</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15" customHeight="1">
      <c r="A50" s="3004"/>
      <c r="B50" s="3001" t="s">
        <v>6538</v>
      </c>
      <c r="C50" s="2994"/>
      <c r="D50" s="2994">
        <v>30</v>
      </c>
      <c r="E50" s="2994"/>
      <c r="F50" s="2994">
        <f t="shared" si="14"/>
        <v>124</v>
      </c>
      <c r="G50" s="2994"/>
      <c r="H50" s="2994"/>
      <c r="I50" s="3013"/>
      <c r="J50" s="3013" t="s">
        <v>4317</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15" customHeight="1">
      <c r="A51" s="3004"/>
      <c r="B51" s="3001" t="s">
        <v>6539</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15" customHeight="1">
      <c r="A52" s="3004"/>
      <c r="B52" s="3001" t="s">
        <v>6540</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15" customHeight="1">
      <c r="A53" s="3004"/>
      <c r="B53" s="3001" t="s">
        <v>6541</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15" customHeight="1">
      <c r="A54" s="3004"/>
      <c r="B54" s="3001" t="s">
        <v>6542</v>
      </c>
      <c r="C54" s="2994"/>
      <c r="D54" s="2994">
        <v>45</v>
      </c>
      <c r="E54" s="2994"/>
      <c r="F54" s="2994">
        <f t="shared" si="14"/>
        <v>279</v>
      </c>
      <c r="G54" s="2994"/>
      <c r="H54" s="2994"/>
      <c r="I54" s="3013"/>
      <c r="J54" s="3013" t="s">
        <v>6568</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15" customHeight="1">
      <c r="A55" s="3004"/>
      <c r="B55" s="3001" t="s">
        <v>6543</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15" customHeight="1">
      <c r="A56" s="3005" t="s">
        <v>6561</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1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1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1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1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1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1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1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1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1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1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1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1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1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1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1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1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1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1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1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1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1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1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1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1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1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1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1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1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1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1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1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1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1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1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1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1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1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1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1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1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1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1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1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15" customHeight="1">
      <c r="W100" s="458"/>
      <c r="X100" s="458"/>
      <c r="Y100" s="458"/>
      <c r="Z100" s="458"/>
      <c r="AA100" s="458"/>
      <c r="AB100" s="458"/>
      <c r="AC100" s="458"/>
    </row>
    <row r="101" spans="1:47" ht="25.15" customHeight="1">
      <c r="W101" s="458"/>
      <c r="X101" s="458"/>
      <c r="Y101" s="458"/>
      <c r="Z101" s="458"/>
      <c r="AA101" s="458"/>
      <c r="AB101" s="458"/>
      <c r="AC101" s="458"/>
    </row>
    <row r="102" spans="1:47" ht="25.15" customHeight="1">
      <c r="B102" s="755"/>
      <c r="C102" s="757"/>
      <c r="W102" s="458"/>
      <c r="X102" s="458"/>
      <c r="Y102" s="458"/>
      <c r="Z102" s="458"/>
      <c r="AA102" s="458"/>
      <c r="AB102" s="458"/>
      <c r="AC102" s="458"/>
    </row>
    <row r="103" spans="1:47" ht="25.15" customHeight="1">
      <c r="B103" s="755"/>
      <c r="C103" s="757"/>
      <c r="W103" s="458"/>
      <c r="X103" s="458"/>
      <c r="Y103" s="458"/>
      <c r="Z103" s="458"/>
      <c r="AA103" s="458"/>
      <c r="AB103" s="458"/>
      <c r="AC103" s="458"/>
    </row>
    <row r="104" spans="1:47" ht="25.15" customHeight="1">
      <c r="B104" s="755"/>
      <c r="C104" s="757"/>
      <c r="W104" s="458"/>
      <c r="X104" s="458"/>
      <c r="Y104" s="458"/>
      <c r="Z104" s="458"/>
      <c r="AA104" s="458"/>
      <c r="AB104" s="458"/>
      <c r="AC104" s="458"/>
    </row>
    <row r="105" spans="1:47" ht="25.15" customHeight="1">
      <c r="W105" s="458"/>
      <c r="X105" s="458"/>
      <c r="Y105" s="458"/>
      <c r="Z105" s="458"/>
      <c r="AA105" s="458"/>
      <c r="AB105" s="458"/>
      <c r="AC105" s="458"/>
    </row>
    <row r="106" spans="1:47" ht="25.15" customHeight="1">
      <c r="W106" s="458"/>
      <c r="X106" s="458"/>
      <c r="Y106" s="458"/>
      <c r="Z106" s="458"/>
      <c r="AA106" s="458"/>
      <c r="AB106" s="458"/>
      <c r="AC106" s="458"/>
    </row>
    <row r="107" spans="1:47" ht="25.15" customHeight="1">
      <c r="W107" s="458"/>
      <c r="X107" s="458"/>
      <c r="Y107" s="458"/>
      <c r="Z107" s="458"/>
      <c r="AA107" s="458"/>
      <c r="AB107" s="458"/>
      <c r="AC107" s="458"/>
    </row>
    <row r="108" spans="1:47" ht="25.15" customHeight="1">
      <c r="W108" s="458"/>
      <c r="X108" s="458"/>
      <c r="Y108" s="458"/>
      <c r="Z108" s="458"/>
      <c r="AA108" s="458"/>
      <c r="AB108" s="458"/>
      <c r="AC108" s="458"/>
    </row>
    <row r="109" spans="1:47" ht="25.15" customHeight="1">
      <c r="W109" s="458"/>
      <c r="X109" s="458"/>
      <c r="Y109" s="458"/>
      <c r="Z109" s="458"/>
      <c r="AA109" s="458"/>
      <c r="AB109" s="458"/>
      <c r="AC109" s="458"/>
    </row>
    <row r="110" spans="1:47" ht="25.15" customHeight="1">
      <c r="W110" s="458"/>
      <c r="X110" s="458"/>
      <c r="Y110" s="458"/>
      <c r="Z110" s="458"/>
      <c r="AA110" s="458"/>
      <c r="AB110" s="458"/>
      <c r="AC110" s="458"/>
    </row>
    <row r="111" spans="1:47" ht="25.15" customHeight="1">
      <c r="W111" s="458"/>
      <c r="X111" s="458"/>
      <c r="Y111" s="458"/>
      <c r="Z111" s="458"/>
      <c r="AA111" s="458"/>
      <c r="AB111" s="458"/>
      <c r="AC111" s="458"/>
    </row>
    <row r="112" spans="1:47" ht="25.15" customHeight="1">
      <c r="W112" s="458"/>
      <c r="X112" s="458"/>
      <c r="Y112" s="458"/>
      <c r="Z112" s="458"/>
      <c r="AA112" s="458"/>
      <c r="AB112" s="458"/>
      <c r="AC112" s="458"/>
    </row>
    <row r="113" spans="23:29" ht="25.15" customHeight="1">
      <c r="W113" s="458"/>
      <c r="X113" s="458"/>
      <c r="Y113" s="458"/>
      <c r="Z113" s="458"/>
      <c r="AA113" s="458"/>
      <c r="AB113" s="458"/>
      <c r="AC113" s="458"/>
    </row>
    <row r="114" spans="23:29" ht="25.15" customHeight="1">
      <c r="W114" s="458"/>
      <c r="X114" s="458"/>
      <c r="Y114" s="458"/>
      <c r="Z114" s="458"/>
      <c r="AA114" s="458"/>
      <c r="AB114" s="458"/>
      <c r="AC114" s="458"/>
    </row>
    <row r="115" spans="23:29" ht="25.15" customHeight="1">
      <c r="W115" s="458"/>
      <c r="X115" s="458"/>
      <c r="Y115" s="458"/>
      <c r="Z115" s="458"/>
      <c r="AA115" s="458"/>
      <c r="AB115" s="458"/>
      <c r="AC115" s="458"/>
    </row>
    <row r="116" spans="23:29" ht="25.15" customHeight="1">
      <c r="W116" s="458"/>
      <c r="X116" s="458"/>
      <c r="Y116" s="458"/>
      <c r="Z116" s="458"/>
      <c r="AA116" s="458"/>
      <c r="AB116" s="458"/>
      <c r="AC116" s="458"/>
    </row>
    <row r="117" spans="23:29" ht="25.15" customHeight="1">
      <c r="W117" s="458"/>
      <c r="X117" s="458"/>
      <c r="Y117" s="458"/>
      <c r="Z117" s="458"/>
      <c r="AA117" s="458"/>
      <c r="AB117" s="458"/>
      <c r="AC117" s="458"/>
    </row>
    <row r="118" spans="23:29" ht="25.15" customHeight="1">
      <c r="W118" s="458"/>
      <c r="X118" s="458"/>
      <c r="Y118" s="458"/>
      <c r="Z118" s="458"/>
      <c r="AA118" s="458"/>
      <c r="AB118" s="458"/>
      <c r="AC118" s="458"/>
    </row>
    <row r="119" spans="23:29" ht="25.15" customHeight="1">
      <c r="W119" s="458"/>
      <c r="X119" s="458"/>
      <c r="Y119" s="458"/>
      <c r="Z119" s="458"/>
      <c r="AA119" s="458"/>
      <c r="AB119" s="458"/>
      <c r="AC119" s="458"/>
    </row>
    <row r="120" spans="23:29" ht="25.15" customHeight="1">
      <c r="W120" s="458"/>
      <c r="X120" s="458"/>
      <c r="Y120" s="458"/>
      <c r="Z120" s="458"/>
      <c r="AA120" s="458"/>
      <c r="AB120" s="458"/>
      <c r="AC120" s="458"/>
    </row>
    <row r="121" spans="23:29" ht="25.15" customHeight="1">
      <c r="W121" s="458"/>
      <c r="X121" s="458"/>
      <c r="Y121" s="458"/>
      <c r="Z121" s="458"/>
      <c r="AA121" s="458"/>
      <c r="AB121" s="458"/>
      <c r="AC121" s="458"/>
    </row>
    <row r="122" spans="23:29" ht="25.15" customHeight="1">
      <c r="W122" s="458"/>
      <c r="X122" s="458"/>
      <c r="Y122" s="458"/>
      <c r="Z122" s="458"/>
      <c r="AA122" s="458"/>
      <c r="AB122" s="458"/>
      <c r="AC122" s="458"/>
    </row>
    <row r="123" spans="23:29" ht="25.15" customHeight="1">
      <c r="W123" s="458"/>
      <c r="X123" s="458"/>
      <c r="Y123" s="458"/>
      <c r="Z123" s="458"/>
      <c r="AA123" s="458"/>
      <c r="AB123" s="458"/>
      <c r="AC123" s="458"/>
    </row>
    <row r="124" spans="23:29" ht="25.15" customHeight="1">
      <c r="W124" s="458"/>
      <c r="X124" s="458"/>
      <c r="Y124" s="458"/>
      <c r="Z124" s="458"/>
      <c r="AA124" s="458"/>
      <c r="AB124" s="458"/>
      <c r="AC124" s="458"/>
    </row>
    <row r="125" spans="23:29" ht="25.15" customHeight="1">
      <c r="W125" s="458"/>
      <c r="X125" s="458"/>
      <c r="Y125" s="458"/>
      <c r="Z125" s="458"/>
      <c r="AA125" s="458"/>
      <c r="AB125" s="458"/>
      <c r="AC125" s="458"/>
    </row>
    <row r="126" spans="23:29" ht="25.15" customHeight="1">
      <c r="W126" s="458"/>
      <c r="X126" s="458"/>
      <c r="Y126" s="458"/>
      <c r="Z126" s="458"/>
      <c r="AA126" s="458"/>
      <c r="AB126" s="458"/>
      <c r="AC126" s="458"/>
    </row>
    <row r="127" spans="23:29" ht="25.15" customHeight="1">
      <c r="W127" s="458"/>
      <c r="X127" s="458"/>
      <c r="Y127" s="458"/>
      <c r="Z127" s="458"/>
      <c r="AA127" s="458"/>
      <c r="AB127" s="458"/>
      <c r="AC127" s="458"/>
    </row>
    <row r="128" spans="23:29" ht="25.15" customHeight="1">
      <c r="W128" s="458"/>
      <c r="X128" s="458"/>
      <c r="Y128" s="458"/>
      <c r="Z128" s="458"/>
      <c r="AA128" s="458"/>
      <c r="AB128" s="458"/>
      <c r="AC128" s="458"/>
    </row>
    <row r="129" spans="23:29" ht="25.15" customHeight="1">
      <c r="W129" s="458"/>
      <c r="X129" s="458"/>
      <c r="Y129" s="458"/>
      <c r="Z129" s="458"/>
      <c r="AA129" s="458"/>
      <c r="AB129" s="458"/>
      <c r="AC129" s="458"/>
    </row>
    <row r="130" spans="23:29" ht="25.15" customHeight="1">
      <c r="W130" s="458"/>
      <c r="X130" s="458"/>
      <c r="Y130" s="458"/>
      <c r="Z130" s="458"/>
      <c r="AA130" s="458"/>
      <c r="AB130" s="458"/>
      <c r="AC130" s="458"/>
    </row>
    <row r="131" spans="23:29" ht="25.15" customHeight="1">
      <c r="W131" s="458"/>
      <c r="X131" s="458"/>
      <c r="Y131" s="458"/>
      <c r="Z131" s="458"/>
      <c r="AA131" s="458"/>
      <c r="AB131" s="458"/>
      <c r="AC131" s="458"/>
    </row>
    <row r="132" spans="23:29" ht="25.15" customHeight="1">
      <c r="W132" s="458"/>
      <c r="X132" s="458"/>
      <c r="Y132" s="458"/>
      <c r="Z132" s="458"/>
      <c r="AA132" s="458"/>
      <c r="AB132" s="458"/>
      <c r="AC132" s="458"/>
    </row>
    <row r="133" spans="23:29" ht="25.15" customHeight="1">
      <c r="W133" s="458"/>
      <c r="X133" s="458"/>
      <c r="Y133" s="458"/>
      <c r="Z133" s="458"/>
      <c r="AA133" s="458"/>
      <c r="AB133" s="458"/>
      <c r="AC133" s="458"/>
    </row>
    <row r="134" spans="23:29" ht="25.15" customHeight="1">
      <c r="W134" s="458"/>
      <c r="X134" s="458"/>
      <c r="Y134" s="458"/>
      <c r="Z134" s="458"/>
      <c r="AA134" s="458"/>
      <c r="AB134" s="458"/>
      <c r="AC134" s="458"/>
    </row>
    <row r="135" spans="23:29" ht="25.15" customHeight="1">
      <c r="W135" s="458"/>
      <c r="X135" s="458"/>
      <c r="Y135" s="458"/>
      <c r="Z135" s="458"/>
      <c r="AA135" s="458"/>
      <c r="AB135" s="458"/>
      <c r="AC135" s="458"/>
    </row>
    <row r="136" spans="23:29" ht="25.15" customHeight="1">
      <c r="W136" s="458"/>
      <c r="X136" s="458"/>
      <c r="Y136" s="458"/>
      <c r="Z136" s="458"/>
      <c r="AA136" s="458"/>
      <c r="AB136" s="458"/>
      <c r="AC136" s="458"/>
    </row>
    <row r="137" spans="23:29" ht="25.15" customHeight="1">
      <c r="W137" s="458"/>
      <c r="X137" s="458"/>
      <c r="Y137" s="458"/>
      <c r="Z137" s="458"/>
      <c r="AA137" s="458"/>
      <c r="AB137" s="458"/>
      <c r="AC137" s="458"/>
    </row>
    <row r="138" spans="23:29" ht="25.15" customHeight="1">
      <c r="W138" s="458"/>
      <c r="X138" s="458"/>
      <c r="Y138" s="458"/>
      <c r="Z138" s="458"/>
      <c r="AA138" s="458"/>
      <c r="AB138" s="458"/>
      <c r="AC138" s="458"/>
    </row>
    <row r="139" spans="23:29" ht="25.15" customHeight="1">
      <c r="W139" s="458"/>
      <c r="X139" s="458"/>
      <c r="Y139" s="458"/>
      <c r="Z139" s="458"/>
      <c r="AA139" s="458"/>
      <c r="AB139" s="458"/>
      <c r="AC139" s="458"/>
    </row>
    <row r="140" spans="23:29" ht="25.15" customHeight="1">
      <c r="W140" s="458"/>
      <c r="X140" s="458"/>
      <c r="Y140" s="458"/>
      <c r="Z140" s="458"/>
      <c r="AA140" s="458"/>
      <c r="AB140" s="458"/>
      <c r="AC140" s="458"/>
    </row>
    <row r="141" spans="23:29" ht="25.15" customHeight="1">
      <c r="W141" s="458"/>
      <c r="X141" s="458"/>
      <c r="Y141" s="458"/>
      <c r="Z141" s="458"/>
      <c r="AA141" s="458"/>
      <c r="AB141" s="458"/>
      <c r="AC141" s="458"/>
    </row>
    <row r="142" spans="23:29" ht="25.15" customHeight="1">
      <c r="W142" s="458"/>
      <c r="X142" s="458"/>
      <c r="Y142" s="458"/>
      <c r="Z142" s="458"/>
      <c r="AA142" s="458"/>
      <c r="AB142" s="458"/>
      <c r="AC142" s="458"/>
    </row>
    <row r="143" spans="23:29" ht="25.15" customHeight="1">
      <c r="W143" s="458"/>
      <c r="X143" s="458"/>
      <c r="Y143" s="458"/>
      <c r="Z143" s="458"/>
      <c r="AA143" s="458"/>
      <c r="AB143" s="458"/>
      <c r="AC143" s="458"/>
    </row>
    <row r="144" spans="23:29" ht="25.15" customHeight="1">
      <c r="W144" s="458"/>
      <c r="X144" s="458"/>
      <c r="Y144" s="458"/>
      <c r="Z144" s="458"/>
      <c r="AA144" s="458"/>
      <c r="AB144" s="458"/>
      <c r="AC144" s="458"/>
    </row>
    <row r="145" spans="23:29" ht="25.15" customHeight="1">
      <c r="W145" s="458"/>
      <c r="X145" s="458"/>
      <c r="Y145" s="458"/>
      <c r="Z145" s="458"/>
      <c r="AA145" s="458"/>
      <c r="AB145" s="458"/>
      <c r="AC145" s="458"/>
    </row>
    <row r="146" spans="23:29" ht="25.15" customHeight="1">
      <c r="W146" s="458"/>
      <c r="X146" s="458"/>
      <c r="Y146" s="458"/>
      <c r="Z146" s="458"/>
      <c r="AA146" s="458"/>
      <c r="AB146" s="458"/>
      <c r="AC146" s="458"/>
    </row>
    <row r="147" spans="23:29" ht="25.15" customHeight="1">
      <c r="W147" s="458"/>
      <c r="X147" s="458"/>
      <c r="Y147" s="458"/>
      <c r="Z147" s="458"/>
      <c r="AA147" s="458"/>
      <c r="AB147" s="458"/>
      <c r="AC147" s="458"/>
    </row>
    <row r="148" spans="23:29" ht="25.15" customHeight="1">
      <c r="W148" s="458"/>
      <c r="X148" s="458"/>
      <c r="Y148" s="458"/>
      <c r="Z148" s="458"/>
      <c r="AA148" s="458"/>
      <c r="AB148" s="458"/>
      <c r="AC148" s="458"/>
    </row>
    <row r="149" spans="23:29" ht="25.15" customHeight="1">
      <c r="W149" s="458"/>
      <c r="X149" s="458"/>
      <c r="Y149" s="458"/>
      <c r="Z149" s="458"/>
      <c r="AA149" s="458"/>
      <c r="AB149" s="458"/>
      <c r="AC149" s="458"/>
    </row>
    <row r="150" spans="23:29" ht="25.15" customHeight="1">
      <c r="W150" s="458"/>
      <c r="X150" s="458"/>
      <c r="Y150" s="458"/>
      <c r="Z150" s="458"/>
      <c r="AA150" s="458"/>
      <c r="AB150" s="458"/>
      <c r="AC150" s="458"/>
    </row>
    <row r="151" spans="23:29" ht="25.15" customHeight="1">
      <c r="W151" s="458"/>
      <c r="X151" s="458"/>
      <c r="Y151" s="458"/>
      <c r="Z151" s="458"/>
      <c r="AA151" s="458"/>
      <c r="AB151" s="458"/>
      <c r="AC151" s="458"/>
    </row>
    <row r="152" spans="23:29" ht="25.15" customHeight="1">
      <c r="W152" s="458"/>
      <c r="X152" s="458"/>
      <c r="Y152" s="458"/>
      <c r="Z152" s="458"/>
      <c r="AA152" s="458"/>
      <c r="AB152" s="458"/>
      <c r="AC152" s="458"/>
    </row>
    <row r="153" spans="23:29" ht="25.15" customHeight="1">
      <c r="W153" s="458"/>
      <c r="X153" s="458"/>
      <c r="Y153" s="458"/>
      <c r="Z153" s="458"/>
      <c r="AA153" s="458"/>
      <c r="AB153" s="458"/>
      <c r="AC153" s="458"/>
    </row>
    <row r="154" spans="23:29" ht="25.15" customHeight="1">
      <c r="W154" s="458"/>
      <c r="X154" s="458"/>
      <c r="Y154" s="458"/>
      <c r="Z154" s="458"/>
      <c r="AA154" s="458"/>
      <c r="AB154" s="458"/>
      <c r="AC154" s="458"/>
    </row>
    <row r="155" spans="23:29" ht="25.15" customHeight="1">
      <c r="W155" s="458"/>
      <c r="X155" s="458"/>
      <c r="Y155" s="458"/>
      <c r="Z155" s="458"/>
      <c r="AA155" s="458"/>
      <c r="AB155" s="458"/>
      <c r="AC155" s="458"/>
    </row>
    <row r="156" spans="23:29" ht="25.15" customHeight="1">
      <c r="W156" s="458"/>
      <c r="X156" s="458"/>
      <c r="Y156" s="458"/>
      <c r="Z156" s="458"/>
      <c r="AA156" s="458"/>
      <c r="AB156" s="458"/>
      <c r="AC156" s="458"/>
    </row>
    <row r="157" spans="23:29" ht="25.15" customHeight="1">
      <c r="W157" s="458"/>
      <c r="X157" s="458"/>
      <c r="Y157" s="458"/>
      <c r="Z157" s="458"/>
      <c r="AA157" s="458"/>
      <c r="AB157" s="458"/>
      <c r="AC157" s="458"/>
    </row>
    <row r="158" spans="23:29" ht="25.15" customHeight="1">
      <c r="W158" s="458"/>
      <c r="X158" s="458"/>
      <c r="Y158" s="458"/>
      <c r="Z158" s="458"/>
      <c r="AA158" s="458"/>
      <c r="AB158" s="458"/>
      <c r="AC158" s="458"/>
    </row>
    <row r="159" spans="23:29" ht="25.15" customHeight="1">
      <c r="W159" s="458"/>
      <c r="X159" s="458"/>
      <c r="Y159" s="458"/>
      <c r="Z159" s="458"/>
      <c r="AA159" s="458"/>
      <c r="AB159" s="458"/>
      <c r="AC159" s="458"/>
    </row>
    <row r="160" spans="23:29" ht="25.15" customHeight="1">
      <c r="W160" s="458"/>
      <c r="X160" s="458"/>
      <c r="Y160" s="458"/>
      <c r="Z160" s="458"/>
      <c r="AA160" s="458"/>
      <c r="AB160" s="458"/>
      <c r="AC160" s="458"/>
    </row>
    <row r="161" spans="23:29" ht="25.15" customHeight="1">
      <c r="W161" s="458"/>
      <c r="X161" s="458"/>
      <c r="Y161" s="458"/>
      <c r="Z161" s="458"/>
      <c r="AA161" s="458"/>
      <c r="AB161" s="458"/>
      <c r="AC161" s="458"/>
    </row>
    <row r="162" spans="23:29" ht="25.15" customHeight="1">
      <c r="W162" s="458"/>
      <c r="X162" s="458"/>
      <c r="Y162" s="458"/>
      <c r="Z162" s="458"/>
      <c r="AA162" s="458"/>
      <c r="AB162" s="458"/>
      <c r="AC162" s="458"/>
    </row>
    <row r="163" spans="23:29" ht="25.15" customHeight="1">
      <c r="W163" s="458"/>
      <c r="X163" s="458"/>
      <c r="Y163" s="458"/>
      <c r="Z163" s="458"/>
      <c r="AA163" s="458"/>
      <c r="AB163" s="458"/>
      <c r="AC163" s="458"/>
    </row>
    <row r="164" spans="23:29" ht="25.15" customHeight="1">
      <c r="W164" s="458"/>
      <c r="X164" s="458"/>
      <c r="Y164" s="458"/>
      <c r="Z164" s="458"/>
      <c r="AA164" s="458"/>
      <c r="AB164" s="458"/>
      <c r="AC164" s="458"/>
    </row>
    <row r="165" spans="23:29" ht="25.15" customHeight="1">
      <c r="W165" s="458"/>
      <c r="X165" s="458"/>
      <c r="Y165" s="458"/>
      <c r="Z165" s="458"/>
      <c r="AA165" s="458"/>
      <c r="AB165" s="458"/>
      <c r="AC165" s="458"/>
    </row>
    <row r="166" spans="23:29" ht="25.15" customHeight="1">
      <c r="W166" s="458"/>
      <c r="X166" s="458"/>
      <c r="Y166" s="458"/>
      <c r="Z166" s="458"/>
      <c r="AA166" s="458"/>
      <c r="AB166" s="458"/>
      <c r="AC166" s="458"/>
    </row>
    <row r="167" spans="23:29" ht="25.15" customHeight="1">
      <c r="W167" s="458"/>
      <c r="X167" s="458"/>
      <c r="Y167" s="458"/>
      <c r="Z167" s="458"/>
      <c r="AA167" s="458"/>
      <c r="AB167" s="458"/>
      <c r="AC167" s="458"/>
    </row>
    <row r="168" spans="23:29" ht="25.15" customHeight="1">
      <c r="W168" s="458"/>
      <c r="X168" s="458"/>
      <c r="Y168" s="458"/>
      <c r="Z168" s="458"/>
      <c r="AA168" s="458"/>
      <c r="AB168" s="458"/>
      <c r="AC168" s="458"/>
    </row>
    <row r="169" spans="23:29" ht="25.15" customHeight="1">
      <c r="W169" s="458"/>
      <c r="X169" s="458"/>
      <c r="Y169" s="458"/>
      <c r="Z169" s="458"/>
      <c r="AA169" s="458"/>
      <c r="AB169" s="458"/>
      <c r="AC169" s="458"/>
    </row>
    <row r="170" spans="23:29" ht="25.15" customHeight="1">
      <c r="W170" s="458"/>
      <c r="X170" s="458"/>
      <c r="Y170" s="458"/>
      <c r="Z170" s="458"/>
      <c r="AA170" s="458"/>
      <c r="AB170" s="458"/>
      <c r="AC170" s="458"/>
    </row>
    <row r="171" spans="23:29" ht="25.15" customHeight="1">
      <c r="W171" s="458"/>
      <c r="X171" s="458"/>
      <c r="Y171" s="458"/>
      <c r="Z171" s="458"/>
      <c r="AA171" s="458"/>
      <c r="AB171" s="458"/>
      <c r="AC171" s="458"/>
    </row>
    <row r="172" spans="23:29" ht="25.15" customHeight="1">
      <c r="W172" s="458"/>
      <c r="X172" s="458"/>
      <c r="Y172" s="458"/>
      <c r="Z172" s="458"/>
      <c r="AA172" s="458"/>
      <c r="AB172" s="458"/>
      <c r="AC172" s="458"/>
    </row>
    <row r="173" spans="23:29" ht="25.15" customHeight="1">
      <c r="W173" s="458"/>
      <c r="X173" s="458"/>
      <c r="Y173" s="458"/>
      <c r="Z173" s="458"/>
      <c r="AA173" s="458"/>
      <c r="AB173" s="458"/>
      <c r="AC173" s="458"/>
    </row>
    <row r="174" spans="23:29" ht="25.15" customHeight="1">
      <c r="W174" s="458"/>
      <c r="X174" s="458"/>
      <c r="Y174" s="458"/>
      <c r="Z174" s="458"/>
      <c r="AA174" s="458"/>
      <c r="AB174" s="458"/>
      <c r="AC174" s="458"/>
    </row>
    <row r="175" spans="23:29" ht="25.15" customHeight="1">
      <c r="W175" s="458"/>
      <c r="X175" s="458"/>
      <c r="Y175" s="458"/>
      <c r="Z175" s="458"/>
      <c r="AA175" s="458"/>
      <c r="AB175" s="458"/>
      <c r="AC175" s="458"/>
    </row>
    <row r="176" spans="23:29" ht="25.15" customHeight="1">
      <c r="W176" s="458"/>
      <c r="X176" s="458"/>
      <c r="Y176" s="458"/>
      <c r="Z176" s="458"/>
      <c r="AA176" s="458"/>
      <c r="AB176" s="458"/>
      <c r="AC176" s="458"/>
    </row>
    <row r="177" spans="23:29" ht="25.15" customHeight="1">
      <c r="W177" s="458"/>
      <c r="X177" s="458"/>
      <c r="Y177" s="458"/>
      <c r="Z177" s="458"/>
      <c r="AA177" s="458"/>
      <c r="AB177" s="458"/>
      <c r="AC177" s="458"/>
    </row>
    <row r="178" spans="23:29" ht="25.15" customHeight="1">
      <c r="W178" s="458"/>
      <c r="X178" s="458"/>
      <c r="Y178" s="458"/>
      <c r="Z178" s="458"/>
      <c r="AA178" s="458"/>
      <c r="AB178" s="458"/>
      <c r="AC178" s="458"/>
    </row>
    <row r="179" spans="23:29" ht="25.15" customHeight="1">
      <c r="W179" s="458"/>
      <c r="X179" s="458"/>
      <c r="Y179" s="458"/>
      <c r="Z179" s="458"/>
      <c r="AA179" s="458"/>
      <c r="AB179" s="458"/>
      <c r="AC179" s="458"/>
    </row>
    <row r="180" spans="23:29" ht="25.15" customHeight="1">
      <c r="W180" s="458"/>
      <c r="X180" s="458"/>
      <c r="Y180" s="458"/>
      <c r="Z180" s="458"/>
      <c r="AA180" s="458"/>
      <c r="AB180" s="458"/>
      <c r="AC180" s="458"/>
    </row>
    <row r="181" spans="23:29" ht="25.15" customHeight="1">
      <c r="W181" s="458"/>
      <c r="X181" s="458"/>
      <c r="Y181" s="458"/>
      <c r="Z181" s="458"/>
      <c r="AA181" s="458"/>
      <c r="AB181" s="458"/>
      <c r="AC181" s="458"/>
    </row>
    <row r="182" spans="23:29" ht="25.15" customHeight="1">
      <c r="W182" s="458"/>
      <c r="X182" s="458"/>
      <c r="Y182" s="458"/>
      <c r="Z182" s="458"/>
      <c r="AA182" s="458"/>
      <c r="AB182" s="458"/>
      <c r="AC182" s="458"/>
    </row>
    <row r="183" spans="23:29" ht="25.15" customHeight="1">
      <c r="W183" s="458"/>
      <c r="X183" s="458"/>
      <c r="Y183" s="458"/>
      <c r="Z183" s="458"/>
      <c r="AA183" s="458"/>
      <c r="AB183" s="458"/>
      <c r="AC183" s="458"/>
    </row>
    <row r="184" spans="23:29" ht="25.15" customHeight="1">
      <c r="W184" s="458"/>
      <c r="X184" s="458"/>
      <c r="Y184" s="458"/>
      <c r="Z184" s="458"/>
      <c r="AA184" s="458"/>
      <c r="AB184" s="458"/>
      <c r="AC184" s="458"/>
    </row>
    <row r="185" spans="23:29" ht="25.15" customHeight="1">
      <c r="W185" s="458"/>
      <c r="X185" s="458"/>
      <c r="Y185" s="458"/>
      <c r="Z185" s="458"/>
      <c r="AA185" s="458"/>
      <c r="AB185" s="458"/>
      <c r="AC185" s="458"/>
    </row>
    <row r="186" spans="23:29" ht="25.15" customHeight="1">
      <c r="W186" s="458"/>
      <c r="X186" s="458"/>
      <c r="Y186" s="458"/>
      <c r="Z186" s="458"/>
      <c r="AA186" s="458"/>
      <c r="AB186" s="458"/>
      <c r="AC186" s="458"/>
    </row>
    <row r="187" spans="23:29" ht="25.15" customHeight="1">
      <c r="W187" s="458"/>
      <c r="X187" s="458"/>
      <c r="Y187" s="458"/>
      <c r="Z187" s="458"/>
      <c r="AA187" s="458"/>
      <c r="AB187" s="458"/>
      <c r="AC187" s="458"/>
    </row>
    <row r="188" spans="23:29" ht="25.15" customHeight="1">
      <c r="W188" s="458"/>
      <c r="X188" s="458"/>
      <c r="Y188" s="458"/>
      <c r="Z188" s="458"/>
      <c r="AA188" s="458"/>
      <c r="AB188" s="458"/>
      <c r="AC188" s="458"/>
    </row>
    <row r="189" spans="23:29" ht="25.15" customHeight="1">
      <c r="W189" s="458"/>
      <c r="X189" s="458"/>
      <c r="Y189" s="458"/>
      <c r="Z189" s="458"/>
      <c r="AA189" s="458"/>
      <c r="AB189" s="458"/>
      <c r="AC189" s="458"/>
    </row>
    <row r="190" spans="23:29" ht="25.15" customHeight="1">
      <c r="W190" s="458"/>
      <c r="X190" s="458"/>
      <c r="Y190" s="458"/>
      <c r="Z190" s="458"/>
      <c r="AA190" s="458"/>
      <c r="AB190" s="458"/>
      <c r="AC190" s="458"/>
    </row>
    <row r="191" spans="23:29" ht="25.15" customHeight="1">
      <c r="W191" s="458"/>
      <c r="X191" s="458"/>
      <c r="Y191" s="458"/>
      <c r="Z191" s="458"/>
      <c r="AA191" s="458"/>
      <c r="AB191" s="458"/>
      <c r="AC191" s="458"/>
    </row>
    <row r="192" spans="23:29" ht="25.15" customHeight="1">
      <c r="W192" s="458"/>
      <c r="X192" s="458"/>
      <c r="Y192" s="458"/>
      <c r="Z192" s="458"/>
      <c r="AA192" s="458"/>
      <c r="AB192" s="458"/>
      <c r="AC192" s="458"/>
    </row>
    <row r="193" spans="23:29" ht="25.15" customHeight="1">
      <c r="W193" s="458"/>
      <c r="X193" s="458"/>
      <c r="Y193" s="458"/>
      <c r="Z193" s="458"/>
      <c r="AA193" s="458"/>
      <c r="AB193" s="458"/>
      <c r="AC193" s="458"/>
    </row>
    <row r="194" spans="23:29" ht="25.15" customHeight="1">
      <c r="W194" s="458"/>
      <c r="X194" s="458"/>
      <c r="Y194" s="458"/>
      <c r="Z194" s="458"/>
      <c r="AA194" s="458"/>
      <c r="AB194" s="458"/>
      <c r="AC194" s="458"/>
    </row>
    <row r="195" spans="23:29" ht="25.15" customHeight="1">
      <c r="W195" s="458"/>
      <c r="X195" s="458"/>
      <c r="Y195" s="458"/>
      <c r="Z195" s="458"/>
      <c r="AA195" s="458"/>
      <c r="AB195" s="458"/>
      <c r="AC195" s="458"/>
    </row>
    <row r="196" spans="23:29" ht="25.15" customHeight="1">
      <c r="W196" s="458"/>
      <c r="X196" s="458"/>
      <c r="Y196" s="458"/>
      <c r="Z196" s="458"/>
      <c r="AA196" s="458"/>
      <c r="AB196" s="458"/>
      <c r="AC196" s="458"/>
    </row>
    <row r="197" spans="23:29" ht="25.15" customHeight="1">
      <c r="W197" s="458"/>
      <c r="X197" s="458"/>
      <c r="Y197" s="458"/>
      <c r="Z197" s="458"/>
      <c r="AA197" s="458"/>
      <c r="AB197" s="458"/>
      <c r="AC197" s="458"/>
    </row>
    <row r="198" spans="23:29" ht="25.15" customHeight="1">
      <c r="W198" s="458"/>
      <c r="X198" s="458"/>
      <c r="Y198" s="458"/>
      <c r="Z198" s="458"/>
      <c r="AA198" s="458"/>
      <c r="AB198" s="458"/>
      <c r="AC198" s="458"/>
    </row>
    <row r="199" spans="23:29" ht="25.15" customHeight="1">
      <c r="W199" s="458"/>
      <c r="X199" s="458"/>
      <c r="Y199" s="458"/>
      <c r="Z199" s="458"/>
      <c r="AA199" s="458"/>
      <c r="AB199" s="458"/>
      <c r="AC199" s="458"/>
    </row>
    <row r="200" spans="23:29" ht="25.15" customHeight="1">
      <c r="W200" s="458"/>
      <c r="X200" s="458"/>
      <c r="Y200" s="458"/>
      <c r="Z200" s="458"/>
      <c r="AA200" s="458"/>
      <c r="AB200" s="458"/>
      <c r="AC200" s="458"/>
    </row>
    <row r="201" spans="23:29" ht="25.15" customHeight="1">
      <c r="W201" s="458"/>
      <c r="X201" s="458"/>
      <c r="Y201" s="458"/>
      <c r="Z201" s="458"/>
      <c r="AA201" s="458"/>
      <c r="AB201" s="458"/>
      <c r="AC201" s="458"/>
    </row>
    <row r="202" spans="23:29" ht="25.15" customHeight="1">
      <c r="W202" s="458"/>
      <c r="X202" s="458"/>
      <c r="Y202" s="458"/>
      <c r="Z202" s="458"/>
      <c r="AA202" s="458"/>
      <c r="AB202" s="458"/>
      <c r="AC202" s="458"/>
    </row>
    <row r="203" spans="23:29" ht="25.15" customHeight="1">
      <c r="W203" s="458"/>
      <c r="X203" s="458"/>
      <c r="Y203" s="458"/>
      <c r="Z203" s="458"/>
      <c r="AA203" s="458"/>
      <c r="AB203" s="458"/>
      <c r="AC203" s="458"/>
    </row>
    <row r="204" spans="23:29" ht="25.15" customHeight="1">
      <c r="W204" s="458"/>
      <c r="X204" s="458"/>
      <c r="Y204" s="458"/>
      <c r="Z204" s="458"/>
      <c r="AA204" s="458"/>
      <c r="AB204" s="458"/>
      <c r="AC204" s="458"/>
    </row>
    <row r="205" spans="23:29" ht="25.15" customHeight="1">
      <c r="W205" s="458"/>
      <c r="X205" s="458"/>
      <c r="Y205" s="458"/>
      <c r="Z205" s="458"/>
      <c r="AA205" s="458"/>
      <c r="AB205" s="458"/>
      <c r="AC205" s="458"/>
    </row>
    <row r="206" spans="23:29" ht="25.15" customHeight="1">
      <c r="W206" s="458"/>
      <c r="X206" s="458"/>
      <c r="Y206" s="458"/>
      <c r="Z206" s="458"/>
      <c r="AA206" s="458"/>
      <c r="AB206" s="458"/>
      <c r="AC206" s="458"/>
    </row>
    <row r="207" spans="23:29" ht="25.15" customHeight="1">
      <c r="W207" s="458"/>
      <c r="X207" s="458"/>
      <c r="Y207" s="458"/>
      <c r="Z207" s="458"/>
      <c r="AA207" s="458"/>
      <c r="AB207" s="458"/>
      <c r="AC207" s="458"/>
    </row>
    <row r="208" spans="23:29" ht="25.15" customHeight="1">
      <c r="W208" s="458"/>
      <c r="X208" s="458"/>
      <c r="Y208" s="458"/>
      <c r="Z208" s="458"/>
      <c r="AA208" s="458"/>
      <c r="AB208" s="458"/>
      <c r="AC208" s="458"/>
    </row>
    <row r="209" spans="23:29" ht="25.15" customHeight="1">
      <c r="W209" s="458"/>
      <c r="X209" s="458"/>
      <c r="Y209" s="458"/>
      <c r="Z209" s="458"/>
      <c r="AA209" s="458"/>
      <c r="AB209" s="458"/>
      <c r="AC209" s="458"/>
    </row>
    <row r="210" spans="23:29" ht="25.15" customHeight="1">
      <c r="W210" s="458"/>
      <c r="X210" s="458"/>
      <c r="Y210" s="458"/>
      <c r="Z210" s="458"/>
      <c r="AA210" s="458"/>
      <c r="AB210" s="458"/>
      <c r="AC210" s="458"/>
    </row>
    <row r="211" spans="23:29" ht="25.15" customHeight="1">
      <c r="W211" s="458"/>
      <c r="X211" s="458"/>
      <c r="Y211" s="458"/>
      <c r="Z211" s="458"/>
      <c r="AA211" s="458"/>
      <c r="AB211" s="458"/>
      <c r="AC211" s="458"/>
    </row>
    <row r="212" spans="23:29" ht="25.15" customHeight="1">
      <c r="W212" s="458"/>
      <c r="X212" s="458"/>
      <c r="Y212" s="458"/>
      <c r="Z212" s="458"/>
      <c r="AA212" s="458"/>
      <c r="AB212" s="458"/>
      <c r="AC212" s="458"/>
    </row>
    <row r="213" spans="23:29" ht="25.15" customHeight="1">
      <c r="W213" s="458"/>
      <c r="X213" s="458"/>
      <c r="Y213" s="458"/>
      <c r="Z213" s="458"/>
      <c r="AA213" s="458"/>
      <c r="AB213" s="458"/>
      <c r="AC213" s="458"/>
    </row>
    <row r="214" spans="23:29" ht="25.15" customHeight="1">
      <c r="W214" s="458"/>
      <c r="X214" s="458"/>
      <c r="Y214" s="458"/>
      <c r="Z214" s="458"/>
      <c r="AA214" s="458"/>
      <c r="AB214" s="458"/>
      <c r="AC214" s="458"/>
    </row>
    <row r="215" spans="23:29" ht="25.15" customHeight="1">
      <c r="W215" s="458"/>
      <c r="X215" s="458"/>
      <c r="Y215" s="458"/>
      <c r="Z215" s="458"/>
      <c r="AA215" s="458"/>
      <c r="AB215" s="458"/>
      <c r="AC215" s="458"/>
    </row>
    <row r="216" spans="23:29" ht="25.15" customHeight="1">
      <c r="W216" s="458"/>
      <c r="X216" s="458"/>
      <c r="Y216" s="458"/>
      <c r="Z216" s="458"/>
      <c r="AA216" s="458"/>
      <c r="AB216" s="458"/>
      <c r="AC216" s="458"/>
    </row>
    <row r="217" spans="23:29" ht="25.15" customHeight="1">
      <c r="W217" s="458"/>
      <c r="X217" s="458"/>
      <c r="Y217" s="458"/>
      <c r="Z217" s="458"/>
      <c r="AA217" s="458"/>
      <c r="AB217" s="458"/>
      <c r="AC217" s="458"/>
    </row>
    <row r="218" spans="23:29" ht="25.15" customHeight="1">
      <c r="W218" s="458"/>
      <c r="X218" s="458"/>
      <c r="Y218" s="458"/>
      <c r="Z218" s="458"/>
      <c r="AA218" s="458"/>
      <c r="AB218" s="458"/>
      <c r="AC218" s="458"/>
    </row>
    <row r="219" spans="23:29" ht="25.15" customHeight="1">
      <c r="W219" s="458"/>
      <c r="X219" s="458"/>
      <c r="Y219" s="458"/>
      <c r="Z219" s="458"/>
      <c r="AA219" s="458"/>
      <c r="AB219" s="458"/>
      <c r="AC219" s="458"/>
    </row>
    <row r="220" spans="23:29" ht="25.15" customHeight="1">
      <c r="W220" s="458"/>
      <c r="X220" s="458"/>
      <c r="Y220" s="458"/>
      <c r="Z220" s="458"/>
      <c r="AA220" s="458"/>
      <c r="AB220" s="458"/>
      <c r="AC220" s="458"/>
    </row>
    <row r="221" spans="23:29" ht="25.15" customHeight="1">
      <c r="W221" s="458"/>
      <c r="X221" s="458"/>
      <c r="Y221" s="458"/>
      <c r="Z221" s="458"/>
      <c r="AA221" s="458"/>
      <c r="AB221" s="458"/>
      <c r="AC221" s="458"/>
    </row>
    <row r="222" spans="23:29" ht="25.15" customHeight="1">
      <c r="W222" s="458"/>
      <c r="X222" s="458"/>
      <c r="Y222" s="458"/>
      <c r="Z222" s="458"/>
      <c r="AA222" s="458"/>
      <c r="AB222" s="458"/>
      <c r="AC222" s="458"/>
    </row>
    <row r="223" spans="23:29" ht="25.15" customHeight="1">
      <c r="W223" s="458"/>
      <c r="X223" s="458"/>
      <c r="Y223" s="458"/>
      <c r="Z223" s="458"/>
      <c r="AA223" s="458"/>
      <c r="AB223" s="458"/>
      <c r="AC223" s="458"/>
    </row>
    <row r="224" spans="23:29" ht="25.15" customHeight="1">
      <c r="W224" s="458"/>
      <c r="X224" s="458"/>
      <c r="Y224" s="458"/>
      <c r="Z224" s="458"/>
      <c r="AA224" s="458"/>
      <c r="AB224" s="458"/>
      <c r="AC224" s="458"/>
    </row>
    <row r="225" spans="23:29" ht="25.15" customHeight="1">
      <c r="W225" s="458"/>
      <c r="X225" s="458"/>
      <c r="Y225" s="458"/>
      <c r="Z225" s="458"/>
      <c r="AA225" s="458"/>
      <c r="AB225" s="458"/>
      <c r="AC225" s="458"/>
    </row>
    <row r="226" spans="23:29" ht="25.15" customHeight="1">
      <c r="W226" s="458"/>
      <c r="X226" s="458"/>
      <c r="Y226" s="458"/>
      <c r="Z226" s="458"/>
      <c r="AA226" s="458"/>
      <c r="AB226" s="458"/>
      <c r="AC226" s="458"/>
    </row>
    <row r="227" spans="23:29" ht="25.15" customHeight="1">
      <c r="W227" s="458"/>
      <c r="X227" s="458"/>
      <c r="Y227" s="458"/>
      <c r="Z227" s="458"/>
      <c r="AA227" s="458"/>
      <c r="AB227" s="458"/>
      <c r="AC227" s="458"/>
    </row>
    <row r="228" spans="23:29" ht="25.15" customHeight="1">
      <c r="W228" s="458"/>
      <c r="X228" s="458"/>
      <c r="Y228" s="458"/>
      <c r="Z228" s="458"/>
      <c r="AA228" s="458"/>
      <c r="AB228" s="458"/>
      <c r="AC228" s="458"/>
    </row>
    <row r="229" spans="23:29" ht="25.15" customHeight="1">
      <c r="W229" s="458"/>
      <c r="X229" s="458"/>
      <c r="Y229" s="458"/>
      <c r="Z229" s="458"/>
      <c r="AA229" s="458"/>
      <c r="AB229" s="458"/>
      <c r="AC229" s="458"/>
    </row>
    <row r="230" spans="23:29" ht="25.15" customHeight="1">
      <c r="W230" s="458"/>
      <c r="X230" s="458"/>
      <c r="Y230" s="458"/>
      <c r="Z230" s="458"/>
      <c r="AA230" s="458"/>
      <c r="AB230" s="458"/>
      <c r="AC230" s="458"/>
    </row>
    <row r="231" spans="23:29" ht="25.15" customHeight="1">
      <c r="W231" s="458"/>
      <c r="X231" s="458"/>
      <c r="Y231" s="458"/>
      <c r="Z231" s="458"/>
      <c r="AA231" s="458"/>
      <c r="AB231" s="458"/>
      <c r="AC231" s="458"/>
    </row>
    <row r="232" spans="23:29" ht="25.15" customHeight="1">
      <c r="W232" s="458"/>
      <c r="X232" s="458"/>
      <c r="Y232" s="458"/>
      <c r="Z232" s="458"/>
      <c r="AA232" s="458"/>
      <c r="AB232" s="458"/>
      <c r="AC232" s="458"/>
    </row>
    <row r="233" spans="23:29" ht="25.15" customHeight="1">
      <c r="W233" s="458"/>
      <c r="X233" s="458"/>
      <c r="Y233" s="458"/>
      <c r="Z233" s="458"/>
      <c r="AA233" s="458"/>
      <c r="AB233" s="458"/>
      <c r="AC233" s="458"/>
    </row>
    <row r="234" spans="23:29" ht="25.15" customHeight="1">
      <c r="W234" s="458"/>
      <c r="X234" s="458"/>
      <c r="Y234" s="458"/>
      <c r="Z234" s="458"/>
      <c r="AA234" s="458"/>
      <c r="AB234" s="458"/>
      <c r="AC234" s="458"/>
    </row>
    <row r="235" spans="23:29" ht="25.15" customHeight="1">
      <c r="W235" s="458"/>
      <c r="X235" s="458"/>
      <c r="Y235" s="458"/>
      <c r="Z235" s="458"/>
      <c r="AA235" s="458"/>
      <c r="AB235" s="458"/>
      <c r="AC235" s="458"/>
    </row>
    <row r="236" spans="23:29" ht="25.15" customHeight="1">
      <c r="W236" s="458"/>
      <c r="X236" s="458"/>
      <c r="Y236" s="458"/>
      <c r="Z236" s="458"/>
      <c r="AA236" s="458"/>
      <c r="AB236" s="458"/>
      <c r="AC236" s="458"/>
    </row>
    <row r="237" spans="23:29" ht="25.15" customHeight="1">
      <c r="W237" s="458"/>
      <c r="X237" s="458"/>
      <c r="Y237" s="458"/>
      <c r="Z237" s="458"/>
      <c r="AA237" s="458"/>
      <c r="AB237" s="458"/>
      <c r="AC237" s="458"/>
    </row>
    <row r="238" spans="23:29" ht="25.15" customHeight="1">
      <c r="W238" s="458"/>
      <c r="X238" s="458"/>
      <c r="Y238" s="458"/>
      <c r="Z238" s="458"/>
      <c r="AA238" s="458"/>
      <c r="AB238" s="458"/>
      <c r="AC238" s="458"/>
    </row>
    <row r="239" spans="23:29" ht="25.15" customHeight="1">
      <c r="W239" s="458"/>
      <c r="X239" s="458"/>
      <c r="Y239" s="458"/>
      <c r="Z239" s="458"/>
      <c r="AA239" s="458"/>
      <c r="AB239" s="458"/>
      <c r="AC239" s="458"/>
    </row>
    <row r="240" spans="23:29" ht="25.15" customHeight="1">
      <c r="W240" s="458"/>
      <c r="X240" s="458"/>
      <c r="Y240" s="458"/>
      <c r="Z240" s="458"/>
      <c r="AA240" s="458"/>
      <c r="AB240" s="458"/>
      <c r="AC240" s="458"/>
    </row>
    <row r="241" spans="23:29" ht="25.15" customHeight="1">
      <c r="W241" s="458"/>
      <c r="X241" s="458"/>
      <c r="Y241" s="458"/>
      <c r="Z241" s="458"/>
      <c r="AA241" s="458"/>
      <c r="AB241" s="458"/>
      <c r="AC241" s="458"/>
    </row>
    <row r="242" spans="23:29" ht="25.15" customHeight="1">
      <c r="W242" s="458"/>
      <c r="X242" s="458"/>
      <c r="Y242" s="458"/>
      <c r="Z242" s="458"/>
      <c r="AA242" s="458"/>
      <c r="AB242" s="458"/>
      <c r="AC242" s="458"/>
    </row>
    <row r="243" spans="23:29" ht="25.15" customHeight="1">
      <c r="W243" s="458"/>
      <c r="X243" s="458"/>
      <c r="Y243" s="458"/>
      <c r="Z243" s="458"/>
      <c r="AA243" s="458"/>
      <c r="AB243" s="458"/>
      <c r="AC243" s="458"/>
    </row>
    <row r="244" spans="23:29" ht="25.15" customHeight="1">
      <c r="W244" s="458"/>
      <c r="X244" s="458"/>
      <c r="Y244" s="458"/>
      <c r="Z244" s="458"/>
      <c r="AA244" s="458"/>
      <c r="AB244" s="458"/>
      <c r="AC244" s="458"/>
    </row>
    <row r="245" spans="23:29" ht="25.15" customHeight="1">
      <c r="W245" s="458"/>
      <c r="X245" s="458"/>
      <c r="Y245" s="458"/>
      <c r="Z245" s="458"/>
      <c r="AA245" s="458"/>
      <c r="AB245" s="458"/>
      <c r="AC245" s="458"/>
    </row>
    <row r="246" spans="23:29" ht="25.15" customHeight="1">
      <c r="W246" s="458"/>
      <c r="X246" s="458"/>
      <c r="Y246" s="458"/>
      <c r="Z246" s="458"/>
      <c r="AA246" s="458"/>
      <c r="AB246" s="458"/>
      <c r="AC246" s="458"/>
    </row>
    <row r="247" spans="23:29" ht="25.15" customHeight="1">
      <c r="W247" s="458"/>
      <c r="X247" s="458"/>
      <c r="Y247" s="458"/>
      <c r="Z247" s="458"/>
      <c r="AA247" s="458"/>
      <c r="AB247" s="458"/>
      <c r="AC247" s="458"/>
    </row>
    <row r="248" spans="23:29" ht="25.15" customHeight="1">
      <c r="W248" s="458"/>
      <c r="X248" s="458"/>
      <c r="Y248" s="458"/>
      <c r="Z248" s="458"/>
      <c r="AA248" s="458"/>
      <c r="AB248" s="458"/>
      <c r="AC248" s="458"/>
    </row>
    <row r="249" spans="23:29" ht="25.15" customHeight="1">
      <c r="W249" s="458"/>
      <c r="X249" s="458"/>
      <c r="Y249" s="458"/>
      <c r="Z249" s="458"/>
      <c r="AA249" s="458"/>
      <c r="AB249" s="458"/>
      <c r="AC249" s="458"/>
    </row>
    <row r="250" spans="23:29" ht="25.15" customHeight="1">
      <c r="W250" s="458"/>
      <c r="X250" s="458"/>
      <c r="Y250" s="458"/>
      <c r="Z250" s="458"/>
      <c r="AA250" s="458"/>
      <c r="AB250" s="458"/>
      <c r="AC250" s="458"/>
    </row>
    <row r="251" spans="23:29" ht="25.15" customHeight="1">
      <c r="W251" s="458"/>
      <c r="X251" s="458"/>
      <c r="Y251" s="458"/>
      <c r="Z251" s="458"/>
      <c r="AA251" s="458"/>
      <c r="AB251" s="458"/>
      <c r="AC251" s="458"/>
    </row>
    <row r="252" spans="23:29" ht="25.15" customHeight="1">
      <c r="W252" s="458"/>
      <c r="X252" s="458"/>
      <c r="Y252" s="458"/>
      <c r="Z252" s="458"/>
      <c r="AA252" s="458"/>
      <c r="AB252" s="458"/>
      <c r="AC252" s="458"/>
    </row>
    <row r="253" spans="23:29" ht="25.15" customHeight="1">
      <c r="W253" s="458"/>
      <c r="X253" s="458"/>
      <c r="Y253" s="458"/>
      <c r="Z253" s="458"/>
      <c r="AA253" s="458"/>
      <c r="AB253" s="458"/>
      <c r="AC253" s="458"/>
    </row>
    <row r="254" spans="23:29" ht="25.15" customHeight="1">
      <c r="W254" s="458"/>
      <c r="X254" s="458"/>
      <c r="Y254" s="458"/>
      <c r="Z254" s="458"/>
      <c r="AA254" s="458"/>
      <c r="AB254" s="458"/>
      <c r="AC254" s="458"/>
    </row>
    <row r="255" spans="23:29" ht="25.15" customHeight="1">
      <c r="W255" s="458"/>
      <c r="X255" s="458"/>
      <c r="Y255" s="458"/>
      <c r="Z255" s="458"/>
      <c r="AA255" s="458"/>
      <c r="AB255" s="458"/>
      <c r="AC255" s="458"/>
    </row>
    <row r="256" spans="23:29" ht="25.15" customHeight="1">
      <c r="W256" s="458"/>
      <c r="X256" s="458"/>
      <c r="Y256" s="458"/>
      <c r="Z256" s="458"/>
      <c r="AA256" s="458"/>
      <c r="AB256" s="458"/>
      <c r="AC256" s="458"/>
    </row>
    <row r="257" spans="23:29" ht="25.15" customHeight="1">
      <c r="W257" s="458"/>
      <c r="X257" s="458"/>
      <c r="Y257" s="458"/>
      <c r="Z257" s="458"/>
      <c r="AA257" s="458"/>
      <c r="AB257" s="458"/>
      <c r="AC257" s="458"/>
    </row>
    <row r="258" spans="23:29" ht="25.15" customHeight="1">
      <c r="W258" s="458"/>
      <c r="X258" s="458"/>
      <c r="Y258" s="458"/>
      <c r="Z258" s="458"/>
      <c r="AA258" s="458"/>
      <c r="AB258" s="458"/>
      <c r="AC258" s="458"/>
    </row>
    <row r="259" spans="23:29" ht="25.15" customHeight="1">
      <c r="W259" s="458"/>
      <c r="X259" s="458"/>
      <c r="Y259" s="458"/>
      <c r="Z259" s="458"/>
      <c r="AA259" s="458"/>
      <c r="AB259" s="458"/>
      <c r="AC259" s="458"/>
    </row>
    <row r="260" spans="23:29" ht="25.15" customHeight="1">
      <c r="W260" s="458"/>
      <c r="X260" s="458"/>
      <c r="Y260" s="458"/>
      <c r="Z260" s="458"/>
      <c r="AA260" s="458"/>
      <c r="AB260" s="458"/>
      <c r="AC260" s="458"/>
    </row>
    <row r="261" spans="23:29" ht="25.15" customHeight="1">
      <c r="W261" s="458"/>
      <c r="X261" s="458"/>
      <c r="Y261" s="458"/>
      <c r="Z261" s="458"/>
      <c r="AA261" s="458"/>
      <c r="AB261" s="458"/>
      <c r="AC261" s="458"/>
    </row>
    <row r="262" spans="23:29" ht="25.15" customHeight="1">
      <c r="W262" s="458"/>
      <c r="X262" s="458"/>
      <c r="Y262" s="458"/>
      <c r="Z262" s="458"/>
      <c r="AA262" s="458"/>
      <c r="AB262" s="458"/>
      <c r="AC262" s="458"/>
    </row>
    <row r="263" spans="23:29" ht="25.15" customHeight="1">
      <c r="W263" s="458"/>
      <c r="X263" s="458"/>
      <c r="Y263" s="458"/>
      <c r="Z263" s="458"/>
      <c r="AA263" s="458"/>
      <c r="AB263" s="458"/>
      <c r="AC263" s="458"/>
    </row>
    <row r="264" spans="23:29" ht="25.15" customHeight="1">
      <c r="W264" s="458"/>
      <c r="X264" s="458"/>
      <c r="Y264" s="458"/>
      <c r="Z264" s="458"/>
      <c r="AA264" s="458"/>
      <c r="AB264" s="458"/>
      <c r="AC264" s="458"/>
    </row>
    <row r="265" spans="23:29" ht="25.15" customHeight="1">
      <c r="W265" s="458"/>
      <c r="X265" s="458"/>
      <c r="Y265" s="458"/>
      <c r="Z265" s="458"/>
      <c r="AA265" s="458"/>
      <c r="AB265" s="458"/>
      <c r="AC265" s="458"/>
    </row>
    <row r="266" spans="23:29" ht="25.15" customHeight="1">
      <c r="W266" s="458"/>
      <c r="X266" s="458"/>
      <c r="Y266" s="458"/>
      <c r="Z266" s="458"/>
      <c r="AA266" s="458"/>
      <c r="AB266" s="458"/>
      <c r="AC266" s="458"/>
    </row>
    <row r="267" spans="23:29" ht="25.15" customHeight="1">
      <c r="W267" s="458"/>
      <c r="X267" s="458"/>
      <c r="Y267" s="458"/>
      <c r="Z267" s="458"/>
      <c r="AA267" s="458"/>
      <c r="AB267" s="458"/>
      <c r="AC267" s="458"/>
    </row>
    <row r="268" spans="23:29" ht="25.15" customHeight="1">
      <c r="W268" s="458"/>
      <c r="X268" s="458"/>
      <c r="Y268" s="458"/>
      <c r="Z268" s="458"/>
      <c r="AA268" s="458"/>
      <c r="AB268" s="458"/>
      <c r="AC268" s="458"/>
    </row>
    <row r="269" spans="23:29" ht="25.15" customHeight="1">
      <c r="W269" s="458"/>
      <c r="X269" s="458"/>
      <c r="Y269" s="458"/>
      <c r="Z269" s="458"/>
      <c r="AA269" s="458"/>
      <c r="AB269" s="458"/>
      <c r="AC269" s="458"/>
    </row>
    <row r="270" spans="23:29" ht="25.15" customHeight="1">
      <c r="W270" s="458"/>
      <c r="X270" s="458"/>
      <c r="Y270" s="458"/>
      <c r="Z270" s="458"/>
      <c r="AA270" s="458"/>
      <c r="AB270" s="458"/>
      <c r="AC270" s="458"/>
    </row>
    <row r="271" spans="23:29" ht="25.15" customHeight="1">
      <c r="W271" s="458"/>
      <c r="X271" s="458"/>
      <c r="Y271" s="458"/>
      <c r="Z271" s="458"/>
      <c r="AA271" s="458"/>
      <c r="AB271" s="458"/>
      <c r="AC271" s="458"/>
    </row>
    <row r="272" spans="23:29" ht="25.15" customHeight="1">
      <c r="W272" s="458"/>
      <c r="X272" s="458"/>
      <c r="Y272" s="458"/>
      <c r="Z272" s="458"/>
      <c r="AA272" s="458"/>
      <c r="AB272" s="458"/>
      <c r="AC272" s="458"/>
    </row>
    <row r="273" spans="23:29" ht="25.15" customHeight="1">
      <c r="W273" s="458"/>
      <c r="X273" s="458"/>
      <c r="Y273" s="458"/>
      <c r="Z273" s="458"/>
      <c r="AA273" s="458"/>
      <c r="AB273" s="458"/>
      <c r="AC273" s="458"/>
    </row>
    <row r="274" spans="23:29" ht="25.15" customHeight="1">
      <c r="W274" s="458"/>
      <c r="X274" s="458"/>
      <c r="Y274" s="458"/>
      <c r="Z274" s="458"/>
      <c r="AA274" s="458"/>
      <c r="AB274" s="458"/>
      <c r="AC274" s="458"/>
    </row>
    <row r="275" spans="23:29" ht="25.15" customHeight="1">
      <c r="W275" s="458"/>
      <c r="X275" s="458"/>
      <c r="Y275" s="458"/>
      <c r="Z275" s="458"/>
      <c r="AA275" s="458"/>
      <c r="AB275" s="458"/>
      <c r="AC275" s="458"/>
    </row>
    <row r="276" spans="23:29" ht="25.15" customHeight="1">
      <c r="W276" s="458"/>
      <c r="X276" s="458"/>
      <c r="Y276" s="458"/>
      <c r="Z276" s="458"/>
      <c r="AA276" s="458"/>
      <c r="AB276" s="458"/>
      <c r="AC276" s="458"/>
    </row>
    <row r="277" spans="23:29" ht="25.15" customHeight="1">
      <c r="W277" s="458"/>
      <c r="X277" s="458"/>
      <c r="Y277" s="458"/>
      <c r="Z277" s="458"/>
      <c r="AA277" s="458"/>
      <c r="AB277" s="458"/>
      <c r="AC277" s="458"/>
    </row>
    <row r="278" spans="23:29" ht="25.15" customHeight="1">
      <c r="W278" s="458"/>
      <c r="X278" s="458"/>
      <c r="Y278" s="458"/>
      <c r="Z278" s="458"/>
      <c r="AA278" s="458"/>
      <c r="AB278" s="458"/>
      <c r="AC278" s="458"/>
    </row>
    <row r="279" spans="23:29" ht="25.15" customHeight="1">
      <c r="W279" s="458"/>
      <c r="X279" s="458"/>
      <c r="Y279" s="458"/>
      <c r="Z279" s="458"/>
      <c r="AA279" s="458"/>
      <c r="AB279" s="458"/>
      <c r="AC279" s="458"/>
    </row>
    <row r="280" spans="23:29" ht="25.15" customHeight="1">
      <c r="W280" s="458"/>
      <c r="X280" s="458"/>
      <c r="Y280" s="458"/>
      <c r="Z280" s="458"/>
      <c r="AA280" s="458"/>
      <c r="AB280" s="458"/>
      <c r="AC280" s="458"/>
    </row>
    <row r="281" spans="23:29" ht="25.15" customHeight="1">
      <c r="W281" s="458"/>
      <c r="X281" s="458"/>
      <c r="Y281" s="458"/>
      <c r="Z281" s="458"/>
      <c r="AA281" s="458"/>
      <c r="AB281" s="458"/>
      <c r="AC281" s="458"/>
    </row>
    <row r="282" spans="23:29" ht="25.15" customHeight="1">
      <c r="W282" s="458"/>
      <c r="X282" s="458"/>
      <c r="Y282" s="458"/>
      <c r="Z282" s="458"/>
      <c r="AA282" s="458"/>
      <c r="AB282" s="458"/>
      <c r="AC282" s="458"/>
    </row>
    <row r="283" spans="23:29" ht="25.15" customHeight="1">
      <c r="W283" s="458"/>
      <c r="X283" s="458"/>
      <c r="Y283" s="458"/>
      <c r="Z283" s="458"/>
      <c r="AA283" s="458"/>
      <c r="AB283" s="458"/>
      <c r="AC283" s="458"/>
    </row>
    <row r="284" spans="23:29" ht="25.15" customHeight="1">
      <c r="W284" s="458"/>
      <c r="X284" s="458"/>
      <c r="Y284" s="458"/>
      <c r="Z284" s="458"/>
      <c r="AA284" s="458"/>
      <c r="AB284" s="458"/>
      <c r="AC284" s="458"/>
    </row>
    <row r="285" spans="23:29" ht="25.15" customHeight="1">
      <c r="W285" s="458"/>
      <c r="X285" s="458"/>
      <c r="Y285" s="458"/>
      <c r="Z285" s="458"/>
      <c r="AA285" s="458"/>
      <c r="AB285" s="458"/>
      <c r="AC285" s="458"/>
    </row>
    <row r="286" spans="23:29" ht="25.15" customHeight="1">
      <c r="W286" s="458"/>
      <c r="X286" s="458"/>
      <c r="Y286" s="458"/>
      <c r="Z286" s="458"/>
      <c r="AA286" s="458"/>
      <c r="AB286" s="458"/>
      <c r="AC286" s="458"/>
    </row>
    <row r="287" spans="23:29" ht="25.15" customHeight="1">
      <c r="W287" s="458"/>
      <c r="X287" s="458"/>
      <c r="Y287" s="458"/>
      <c r="Z287" s="458"/>
      <c r="AA287" s="458"/>
      <c r="AB287" s="458"/>
      <c r="AC287" s="458"/>
    </row>
    <row r="288" spans="23:29" ht="25.15" customHeight="1">
      <c r="W288" s="458"/>
      <c r="X288" s="458"/>
      <c r="Y288" s="458"/>
      <c r="Z288" s="458"/>
      <c r="AA288" s="458"/>
      <c r="AB288" s="458"/>
      <c r="AC288" s="458"/>
    </row>
    <row r="289" spans="23:29" ht="25.15" customHeight="1">
      <c r="W289" s="458"/>
      <c r="X289" s="458"/>
      <c r="Y289" s="458"/>
      <c r="Z289" s="458"/>
      <c r="AA289" s="458"/>
      <c r="AB289" s="458"/>
      <c r="AC289" s="458"/>
    </row>
    <row r="290" spans="23:29" ht="25.15" customHeight="1">
      <c r="W290" s="458"/>
      <c r="X290" s="458"/>
      <c r="Y290" s="458"/>
      <c r="Z290" s="458"/>
      <c r="AA290" s="458"/>
      <c r="AB290" s="458"/>
      <c r="AC290" s="458"/>
    </row>
    <row r="291" spans="23:29" ht="25.15" customHeight="1">
      <c r="W291" s="458"/>
      <c r="X291" s="458"/>
      <c r="Y291" s="458"/>
      <c r="Z291" s="458"/>
      <c r="AA291" s="458"/>
      <c r="AB291" s="458"/>
      <c r="AC291" s="458"/>
    </row>
    <row r="292" spans="23:29" ht="25.15" customHeight="1">
      <c r="W292" s="458"/>
      <c r="X292" s="458"/>
      <c r="Y292" s="458"/>
      <c r="Z292" s="458"/>
      <c r="AA292" s="458"/>
      <c r="AB292" s="458"/>
      <c r="AC292" s="458"/>
    </row>
    <row r="293" spans="23:29" ht="25.15" customHeight="1">
      <c r="W293" s="458"/>
      <c r="X293" s="458"/>
      <c r="Y293" s="458"/>
      <c r="Z293" s="458"/>
      <c r="AA293" s="458"/>
      <c r="AB293" s="458"/>
      <c r="AC293" s="458"/>
    </row>
    <row r="294" spans="23:29" ht="25.15" customHeight="1">
      <c r="W294" s="458"/>
      <c r="X294" s="458"/>
      <c r="Y294" s="458"/>
      <c r="Z294" s="458"/>
      <c r="AA294" s="458"/>
      <c r="AB294" s="458"/>
      <c r="AC294" s="458"/>
    </row>
    <row r="295" spans="23:29" ht="25.15" customHeight="1">
      <c r="W295" s="458"/>
      <c r="X295" s="458"/>
      <c r="Y295" s="458"/>
      <c r="Z295" s="458"/>
      <c r="AA295" s="458"/>
      <c r="AB295" s="458"/>
      <c r="AC295" s="458"/>
    </row>
    <row r="296" spans="23:29" ht="25.15" customHeight="1">
      <c r="W296" s="458"/>
      <c r="X296" s="458"/>
      <c r="Y296" s="458"/>
      <c r="Z296" s="458"/>
      <c r="AA296" s="458"/>
      <c r="AB296" s="458"/>
      <c r="AC296" s="458"/>
    </row>
    <row r="297" spans="23:29" ht="25.15" customHeight="1">
      <c r="W297" s="458"/>
      <c r="X297" s="458"/>
      <c r="Y297" s="458"/>
      <c r="Z297" s="458"/>
      <c r="AA297" s="458"/>
      <c r="AB297" s="458"/>
      <c r="AC297" s="458"/>
    </row>
    <row r="298" spans="23:29" ht="25.15" customHeight="1">
      <c r="W298" s="458"/>
      <c r="X298" s="458"/>
      <c r="Y298" s="458"/>
      <c r="Z298" s="458"/>
      <c r="AA298" s="458"/>
      <c r="AB298" s="458"/>
      <c r="AC298" s="458"/>
    </row>
    <row r="299" spans="23:29" ht="25.15" customHeight="1">
      <c r="W299" s="458"/>
      <c r="X299" s="458"/>
      <c r="Y299" s="458"/>
      <c r="Z299" s="458"/>
      <c r="AA299" s="458"/>
      <c r="AB299" s="458"/>
      <c r="AC299" s="458"/>
    </row>
    <row r="300" spans="23:29" ht="25.15" customHeight="1">
      <c r="W300" s="458"/>
      <c r="X300" s="458"/>
      <c r="Y300" s="458"/>
      <c r="Z300" s="458"/>
      <c r="AA300" s="458"/>
      <c r="AB300" s="458"/>
      <c r="AC300" s="458"/>
    </row>
    <row r="301" spans="23:29" ht="25.15" customHeight="1">
      <c r="W301" s="458"/>
      <c r="X301" s="458"/>
      <c r="Y301" s="458"/>
      <c r="Z301" s="458"/>
      <c r="AA301" s="458"/>
      <c r="AB301" s="458"/>
      <c r="AC301" s="458"/>
    </row>
    <row r="302" spans="23:29" ht="25.15" customHeight="1">
      <c r="W302" s="458"/>
      <c r="X302" s="458"/>
      <c r="Y302" s="458"/>
      <c r="Z302" s="458"/>
      <c r="AA302" s="458"/>
      <c r="AB302" s="458"/>
      <c r="AC302" s="458"/>
    </row>
    <row r="303" spans="23:29" ht="25.15" customHeight="1">
      <c r="W303" s="458"/>
      <c r="X303" s="458"/>
      <c r="Y303" s="458"/>
      <c r="Z303" s="458"/>
      <c r="AA303" s="458"/>
      <c r="AB303" s="458"/>
      <c r="AC303" s="458"/>
    </row>
    <row r="304" spans="23:29" ht="25.15" customHeight="1">
      <c r="W304" s="458"/>
      <c r="X304" s="458"/>
      <c r="Y304" s="458"/>
      <c r="Z304" s="458"/>
      <c r="AA304" s="458"/>
      <c r="AB304" s="458"/>
      <c r="AC304" s="458"/>
    </row>
    <row r="305" spans="23:29" ht="25.15" customHeight="1">
      <c r="W305" s="458"/>
      <c r="X305" s="458"/>
      <c r="Y305" s="458"/>
      <c r="Z305" s="458"/>
      <c r="AA305" s="458"/>
      <c r="AB305" s="458"/>
      <c r="AC305" s="458"/>
    </row>
    <row r="306" spans="23:29" ht="25.15" customHeight="1">
      <c r="W306" s="458"/>
      <c r="X306" s="458"/>
      <c r="Y306" s="458"/>
      <c r="Z306" s="458"/>
      <c r="AA306" s="458"/>
      <c r="AB306" s="458"/>
      <c r="AC306" s="458"/>
    </row>
    <row r="307" spans="23:29" ht="25.15" customHeight="1">
      <c r="W307" s="458"/>
      <c r="X307" s="458"/>
      <c r="Y307" s="458"/>
      <c r="Z307" s="458"/>
      <c r="AA307" s="458"/>
      <c r="AB307" s="458"/>
      <c r="AC307" s="458"/>
    </row>
    <row r="308" spans="23:29" ht="25.15" customHeight="1">
      <c r="W308" s="458"/>
      <c r="X308" s="458"/>
      <c r="Y308" s="458"/>
      <c r="Z308" s="458"/>
      <c r="AA308" s="458"/>
      <c r="AB308" s="458"/>
      <c r="AC308" s="458"/>
    </row>
    <row r="309" spans="23:29" ht="25.15" customHeight="1">
      <c r="W309" s="458"/>
      <c r="X309" s="458"/>
      <c r="Y309" s="458"/>
      <c r="Z309" s="458"/>
      <c r="AA309" s="458"/>
      <c r="AB309" s="458"/>
      <c r="AC309" s="458"/>
    </row>
    <row r="310" spans="23:29" ht="25.15" customHeight="1">
      <c r="W310" s="458"/>
      <c r="X310" s="458"/>
      <c r="Y310" s="458"/>
      <c r="Z310" s="458"/>
      <c r="AA310" s="458"/>
      <c r="AB310" s="458"/>
      <c r="AC310" s="458"/>
    </row>
    <row r="311" spans="23:29" ht="25.15" customHeight="1">
      <c r="W311" s="458"/>
      <c r="X311" s="458"/>
      <c r="Y311" s="458"/>
      <c r="Z311" s="458"/>
      <c r="AA311" s="458"/>
      <c r="AB311" s="458"/>
      <c r="AC311" s="458"/>
    </row>
    <row r="312" spans="23:29" ht="25.15" customHeight="1">
      <c r="W312" s="458"/>
      <c r="X312" s="458"/>
      <c r="Y312" s="458"/>
      <c r="Z312" s="458"/>
      <c r="AA312" s="458"/>
      <c r="AB312" s="458"/>
      <c r="AC312" s="458"/>
    </row>
    <row r="313" spans="23:29" ht="25.15" customHeight="1">
      <c r="W313" s="458"/>
      <c r="X313" s="458"/>
      <c r="Y313" s="458"/>
      <c r="Z313" s="458"/>
      <c r="AA313" s="458"/>
      <c r="AB313" s="458"/>
      <c r="AC313" s="458"/>
    </row>
    <row r="314" spans="23:29" ht="25.15" customHeight="1">
      <c r="W314" s="458"/>
      <c r="X314" s="458"/>
      <c r="Y314" s="458"/>
      <c r="Z314" s="458"/>
      <c r="AA314" s="458"/>
      <c r="AB314" s="458"/>
      <c r="AC314" s="458"/>
    </row>
    <row r="315" spans="23:29" ht="25.15" customHeight="1">
      <c r="W315" s="458"/>
      <c r="X315" s="458"/>
      <c r="Y315" s="458"/>
      <c r="Z315" s="458"/>
      <c r="AA315" s="458"/>
      <c r="AB315" s="458"/>
      <c r="AC315" s="458"/>
    </row>
    <row r="316" spans="23:29" ht="25.15" customHeight="1">
      <c r="W316" s="458"/>
      <c r="X316" s="458"/>
      <c r="Y316" s="458"/>
      <c r="Z316" s="458"/>
      <c r="AA316" s="458"/>
      <c r="AB316" s="458"/>
      <c r="AC316" s="458"/>
    </row>
    <row r="317" spans="23:29" ht="25.15" customHeight="1">
      <c r="W317" s="458"/>
      <c r="X317" s="458"/>
      <c r="Y317" s="458"/>
      <c r="Z317" s="458"/>
      <c r="AA317" s="458"/>
      <c r="AB317" s="458"/>
      <c r="AC317" s="458"/>
    </row>
    <row r="318" spans="23:29" ht="25.15" customHeight="1">
      <c r="W318" s="458"/>
      <c r="X318" s="458"/>
      <c r="Y318" s="458"/>
      <c r="Z318" s="458"/>
      <c r="AA318" s="458"/>
      <c r="AB318" s="458"/>
      <c r="AC318" s="458"/>
    </row>
    <row r="319" spans="23:29" ht="25.15" customHeight="1">
      <c r="W319" s="458"/>
      <c r="X319" s="458"/>
      <c r="Y319" s="458"/>
      <c r="Z319" s="458"/>
      <c r="AA319" s="458"/>
      <c r="AB319" s="458"/>
      <c r="AC319" s="458"/>
    </row>
    <row r="320" spans="23:29" ht="25.15" customHeight="1">
      <c r="W320" s="458"/>
      <c r="X320" s="458"/>
      <c r="Y320" s="458"/>
      <c r="Z320" s="458"/>
      <c r="AA320" s="458"/>
      <c r="AB320" s="458"/>
      <c r="AC320" s="458"/>
    </row>
    <row r="321" spans="23:29" ht="25.15" customHeight="1">
      <c r="W321" s="458"/>
      <c r="X321" s="458"/>
      <c r="Y321" s="458"/>
      <c r="Z321" s="458"/>
      <c r="AA321" s="458"/>
      <c r="AB321" s="458"/>
      <c r="AC321" s="458"/>
    </row>
    <row r="322" spans="23:29" ht="25.15" customHeight="1">
      <c r="W322" s="458"/>
      <c r="X322" s="458"/>
      <c r="Y322" s="458"/>
      <c r="Z322" s="458"/>
      <c r="AA322" s="458"/>
      <c r="AB322" s="458"/>
      <c r="AC322" s="458"/>
    </row>
    <row r="323" spans="23:29" ht="25.15" customHeight="1">
      <c r="W323" s="458"/>
      <c r="X323" s="458"/>
      <c r="Y323" s="458"/>
      <c r="Z323" s="458"/>
      <c r="AA323" s="458"/>
      <c r="AB323" s="458"/>
      <c r="AC323" s="458"/>
    </row>
    <row r="324" spans="23:29" ht="25.15" customHeight="1">
      <c r="W324" s="458"/>
      <c r="X324" s="458"/>
      <c r="Y324" s="458"/>
      <c r="Z324" s="458"/>
      <c r="AA324" s="458"/>
      <c r="AB324" s="458"/>
      <c r="AC324" s="458"/>
    </row>
    <row r="325" spans="23:29" ht="25.15" customHeight="1">
      <c r="W325" s="458"/>
      <c r="X325" s="458"/>
      <c r="Y325" s="458"/>
      <c r="Z325" s="458"/>
      <c r="AA325" s="458"/>
      <c r="AB325" s="458"/>
      <c r="AC325" s="458"/>
    </row>
    <row r="326" spans="23:29" ht="25.15" customHeight="1">
      <c r="W326" s="458"/>
      <c r="X326" s="458"/>
      <c r="Y326" s="458"/>
      <c r="Z326" s="458"/>
      <c r="AA326" s="458"/>
      <c r="AB326" s="458"/>
      <c r="AC326" s="458"/>
    </row>
    <row r="327" spans="23:29" ht="25.15" customHeight="1">
      <c r="W327" s="458"/>
      <c r="X327" s="458"/>
      <c r="Y327" s="458"/>
      <c r="Z327" s="458"/>
      <c r="AA327" s="458"/>
      <c r="AB327" s="458"/>
      <c r="AC327" s="458"/>
    </row>
    <row r="328" spans="23:29" ht="25.15" customHeight="1">
      <c r="W328" s="458"/>
      <c r="X328" s="458"/>
      <c r="Y328" s="458"/>
      <c r="Z328" s="458"/>
      <c r="AA328" s="458"/>
      <c r="AB328" s="458"/>
      <c r="AC328" s="458"/>
    </row>
    <row r="329" spans="23:29" ht="25.15" customHeight="1">
      <c r="W329" s="458"/>
      <c r="X329" s="458"/>
      <c r="Y329" s="458"/>
      <c r="Z329" s="458"/>
      <c r="AA329" s="458"/>
      <c r="AB329" s="458"/>
      <c r="AC329" s="458"/>
    </row>
    <row r="330" spans="23:29" ht="25.15" customHeight="1">
      <c r="W330" s="458"/>
      <c r="X330" s="458"/>
      <c r="Y330" s="458"/>
      <c r="Z330" s="458"/>
      <c r="AA330" s="458"/>
      <c r="AB330" s="458"/>
      <c r="AC330" s="458"/>
    </row>
    <row r="331" spans="23:29" ht="25.15" customHeight="1">
      <c r="W331" s="458"/>
      <c r="X331" s="458"/>
      <c r="Y331" s="458"/>
      <c r="Z331" s="458"/>
      <c r="AA331" s="458"/>
      <c r="AB331" s="458"/>
      <c r="AC331" s="458"/>
    </row>
    <row r="332" spans="23:29" ht="25.15" customHeight="1">
      <c r="W332" s="458"/>
      <c r="X332" s="458"/>
      <c r="Y332" s="458"/>
      <c r="Z332" s="458"/>
      <c r="AA332" s="458"/>
      <c r="AB332" s="458"/>
      <c r="AC332" s="458"/>
    </row>
    <row r="333" spans="23:29" ht="25.15" customHeight="1">
      <c r="W333" s="458"/>
      <c r="X333" s="458"/>
      <c r="Y333" s="458"/>
      <c r="Z333" s="458"/>
      <c r="AA333" s="458"/>
      <c r="AB333" s="458"/>
      <c r="AC333" s="458"/>
    </row>
    <row r="334" spans="23:29" ht="25.15" customHeight="1">
      <c r="W334" s="458"/>
      <c r="X334" s="458"/>
      <c r="Y334" s="458"/>
      <c r="Z334" s="458"/>
      <c r="AA334" s="458"/>
      <c r="AB334" s="458"/>
      <c r="AC334" s="458"/>
    </row>
    <row r="335" spans="23:29" ht="25.15" customHeight="1">
      <c r="W335" s="458"/>
      <c r="X335" s="458"/>
      <c r="Y335" s="458"/>
      <c r="Z335" s="458"/>
      <c r="AA335" s="458"/>
      <c r="AB335" s="458"/>
      <c r="AC335" s="458"/>
    </row>
    <row r="336" spans="23:29" ht="25.15" customHeight="1">
      <c r="W336" s="458"/>
      <c r="X336" s="458"/>
      <c r="Y336" s="458"/>
      <c r="Z336" s="458"/>
      <c r="AA336" s="458"/>
      <c r="AB336" s="458"/>
      <c r="AC336" s="458"/>
    </row>
    <row r="337" spans="23:29" ht="25.15" customHeight="1">
      <c r="W337" s="458"/>
      <c r="X337" s="458"/>
      <c r="Y337" s="458"/>
      <c r="Z337" s="458"/>
      <c r="AA337" s="458"/>
      <c r="AB337" s="458"/>
      <c r="AC337" s="458"/>
    </row>
    <row r="338" spans="23:29" ht="25.15" customHeight="1">
      <c r="W338" s="458"/>
      <c r="X338" s="458"/>
      <c r="Y338" s="458"/>
      <c r="Z338" s="458"/>
      <c r="AA338" s="458"/>
      <c r="AB338" s="458"/>
      <c r="AC338" s="458"/>
    </row>
    <row r="339" spans="23:29" ht="25.15" customHeight="1">
      <c r="W339" s="458"/>
      <c r="X339" s="458"/>
      <c r="Y339" s="458"/>
      <c r="Z339" s="458"/>
      <c r="AA339" s="458"/>
      <c r="AB339" s="458"/>
      <c r="AC339" s="458"/>
    </row>
    <row r="340" spans="23:29" ht="25.15" customHeight="1">
      <c r="W340" s="458"/>
      <c r="X340" s="458"/>
      <c r="Y340" s="458"/>
      <c r="Z340" s="458"/>
      <c r="AA340" s="458"/>
      <c r="AB340" s="458"/>
      <c r="AC340" s="458"/>
    </row>
    <row r="341" spans="23:29" ht="25.15" customHeight="1">
      <c r="W341" s="458"/>
      <c r="X341" s="458"/>
      <c r="Y341" s="458"/>
      <c r="Z341" s="458"/>
      <c r="AA341" s="458"/>
      <c r="AB341" s="458"/>
      <c r="AC341" s="458"/>
    </row>
    <row r="342" spans="23:29" ht="25.15" customHeight="1">
      <c r="W342" s="458"/>
      <c r="X342" s="458"/>
      <c r="Y342" s="458"/>
      <c r="Z342" s="458"/>
      <c r="AA342" s="458"/>
      <c r="AB342" s="458"/>
      <c r="AC342" s="458"/>
    </row>
    <row r="343" spans="23:29" ht="25.15" customHeight="1">
      <c r="W343" s="458"/>
      <c r="X343" s="458"/>
      <c r="Y343" s="458"/>
      <c r="Z343" s="458"/>
      <c r="AA343" s="458"/>
      <c r="AB343" s="458"/>
      <c r="AC343" s="458"/>
    </row>
    <row r="344" spans="23:29" ht="25.15" customHeight="1">
      <c r="W344" s="458"/>
      <c r="X344" s="458"/>
      <c r="Y344" s="458"/>
      <c r="Z344" s="458"/>
      <c r="AA344" s="458"/>
      <c r="AB344" s="458"/>
      <c r="AC344" s="458"/>
    </row>
    <row r="345" spans="23:29" ht="25.15" customHeight="1">
      <c r="W345" s="458"/>
      <c r="X345" s="458"/>
      <c r="Y345" s="458"/>
      <c r="Z345" s="458"/>
      <c r="AA345" s="458"/>
      <c r="AB345" s="458"/>
      <c r="AC345" s="458"/>
    </row>
    <row r="346" spans="23:29" ht="25.15" customHeight="1">
      <c r="W346" s="458"/>
      <c r="X346" s="458"/>
      <c r="Y346" s="458"/>
      <c r="Z346" s="458"/>
      <c r="AA346" s="458"/>
      <c r="AB346" s="458"/>
      <c r="AC346" s="458"/>
    </row>
    <row r="347" spans="23:29" ht="25.15" customHeight="1">
      <c r="W347" s="458"/>
      <c r="X347" s="458"/>
      <c r="Y347" s="458"/>
      <c r="Z347" s="458"/>
      <c r="AA347" s="458"/>
      <c r="AB347" s="458"/>
      <c r="AC347" s="458"/>
    </row>
    <row r="348" spans="23:29" ht="25.15" customHeight="1">
      <c r="W348" s="458"/>
      <c r="X348" s="458"/>
      <c r="Y348" s="458"/>
      <c r="Z348" s="458"/>
      <c r="AA348" s="458"/>
      <c r="AB348" s="458"/>
      <c r="AC348" s="458"/>
    </row>
    <row r="349" spans="23:29" ht="25.15" customHeight="1">
      <c r="W349" s="458"/>
      <c r="X349" s="458"/>
      <c r="Y349" s="458"/>
      <c r="Z349" s="458"/>
      <c r="AA349" s="458"/>
      <c r="AB349" s="458"/>
      <c r="AC349" s="458"/>
    </row>
    <row r="350" spans="23:29" ht="25.15" customHeight="1">
      <c r="W350" s="458"/>
      <c r="X350" s="458"/>
      <c r="Y350" s="458"/>
      <c r="Z350" s="458"/>
      <c r="AA350" s="458"/>
      <c r="AB350" s="458"/>
      <c r="AC350" s="458"/>
    </row>
    <row r="351" spans="23:29" ht="25.15" customHeight="1">
      <c r="W351" s="458"/>
      <c r="X351" s="458"/>
      <c r="Y351" s="458"/>
      <c r="Z351" s="458"/>
      <c r="AA351" s="458"/>
      <c r="AB351" s="458"/>
      <c r="AC351" s="458"/>
    </row>
    <row r="352" spans="23:29" ht="25.15" customHeight="1">
      <c r="W352" s="458"/>
      <c r="X352" s="458"/>
      <c r="Y352" s="458"/>
      <c r="Z352" s="458"/>
      <c r="AA352" s="458"/>
      <c r="AB352" s="458"/>
      <c r="AC352" s="458"/>
    </row>
    <row r="353" spans="23:29" ht="25.15" customHeight="1">
      <c r="W353" s="458"/>
      <c r="X353" s="458"/>
      <c r="Y353" s="458"/>
      <c r="Z353" s="458"/>
      <c r="AA353" s="458"/>
      <c r="AB353" s="458"/>
      <c r="AC353" s="458"/>
    </row>
    <row r="354" spans="23:29" ht="25.15" customHeight="1">
      <c r="W354" s="458"/>
      <c r="X354" s="458"/>
      <c r="Y354" s="458"/>
      <c r="Z354" s="458"/>
      <c r="AA354" s="458"/>
      <c r="AB354" s="458"/>
      <c r="AC354" s="458"/>
    </row>
    <row r="355" spans="23:29" ht="25.15" customHeight="1">
      <c r="W355" s="458"/>
      <c r="X355" s="458"/>
      <c r="Y355" s="458"/>
      <c r="Z355" s="458"/>
      <c r="AA355" s="458"/>
      <c r="AB355" s="458"/>
      <c r="AC355" s="458"/>
    </row>
    <row r="356" spans="23:29" ht="25.15" customHeight="1">
      <c r="W356" s="458"/>
      <c r="X356" s="458"/>
      <c r="Y356" s="458"/>
      <c r="Z356" s="458"/>
      <c r="AA356" s="458"/>
      <c r="AB356" s="458"/>
      <c r="AC356" s="458"/>
    </row>
    <row r="357" spans="23:29" ht="25.15" customHeight="1">
      <c r="W357" s="458"/>
      <c r="X357" s="458"/>
      <c r="Y357" s="458"/>
      <c r="Z357" s="458"/>
      <c r="AA357" s="458"/>
      <c r="AB357" s="458"/>
      <c r="AC357" s="458"/>
    </row>
    <row r="358" spans="23:29" ht="25.15" customHeight="1">
      <c r="W358" s="458"/>
      <c r="X358" s="458"/>
      <c r="Y358" s="458"/>
      <c r="Z358" s="458"/>
      <c r="AA358" s="458"/>
      <c r="AB358" s="458"/>
      <c r="AC358" s="458"/>
    </row>
    <row r="359" spans="23:29" ht="25.15" customHeight="1">
      <c r="W359" s="458"/>
      <c r="X359" s="458"/>
      <c r="Y359" s="458"/>
      <c r="Z359" s="458"/>
      <c r="AA359" s="458"/>
      <c r="AB359" s="458"/>
      <c r="AC359" s="458"/>
    </row>
    <row r="360" spans="23:29" ht="25.15" customHeight="1">
      <c r="W360" s="458"/>
      <c r="X360" s="458"/>
      <c r="Y360" s="458"/>
      <c r="Z360" s="458"/>
      <c r="AA360" s="458"/>
      <c r="AB360" s="458"/>
      <c r="AC360" s="458"/>
    </row>
    <row r="361" spans="23:29" ht="25.15" customHeight="1">
      <c r="W361" s="458"/>
      <c r="X361" s="458"/>
      <c r="Y361" s="458"/>
      <c r="Z361" s="458"/>
      <c r="AA361" s="458"/>
      <c r="AB361" s="458"/>
      <c r="AC361" s="458"/>
    </row>
    <row r="362" spans="23:29" ht="25.15" customHeight="1">
      <c r="W362" s="458"/>
      <c r="X362" s="458"/>
      <c r="Y362" s="458"/>
      <c r="Z362" s="458"/>
      <c r="AA362" s="458"/>
      <c r="AB362" s="458"/>
      <c r="AC362" s="458"/>
    </row>
    <row r="363" spans="23:29" ht="25.15" customHeight="1">
      <c r="W363" s="458"/>
      <c r="X363" s="458"/>
      <c r="Y363" s="458"/>
      <c r="Z363" s="458"/>
      <c r="AA363" s="458"/>
      <c r="AB363" s="458"/>
      <c r="AC363" s="458"/>
    </row>
    <row r="364" spans="23:29" ht="25.15" customHeight="1">
      <c r="W364" s="458"/>
      <c r="X364" s="458"/>
      <c r="Y364" s="458"/>
      <c r="Z364" s="458"/>
      <c r="AA364" s="458"/>
      <c r="AB364" s="458"/>
      <c r="AC364" s="458"/>
    </row>
    <row r="365" spans="23:29" ht="25.15" customHeight="1">
      <c r="W365" s="458"/>
      <c r="X365" s="458"/>
      <c r="Y365" s="458"/>
      <c r="Z365" s="458"/>
      <c r="AA365" s="458"/>
      <c r="AB365" s="458"/>
      <c r="AC365" s="458"/>
    </row>
    <row r="366" spans="23:29" ht="25.15" customHeight="1">
      <c r="W366" s="458"/>
      <c r="X366" s="458"/>
      <c r="Y366" s="458"/>
      <c r="Z366" s="458"/>
      <c r="AA366" s="458"/>
      <c r="AB366" s="458"/>
      <c r="AC366" s="458"/>
    </row>
    <row r="367" spans="23:29" ht="25.15" customHeight="1">
      <c r="W367" s="458"/>
      <c r="X367" s="458"/>
      <c r="Y367" s="458"/>
      <c r="Z367" s="458"/>
      <c r="AA367" s="458"/>
      <c r="AB367" s="458"/>
      <c r="AC367" s="458"/>
    </row>
    <row r="368" spans="23:29" ht="25.15" customHeight="1">
      <c r="W368" s="458"/>
      <c r="X368" s="458"/>
      <c r="Y368" s="458"/>
      <c r="Z368" s="458"/>
      <c r="AA368" s="458"/>
      <c r="AB368" s="458"/>
      <c r="AC368" s="458"/>
    </row>
    <row r="369" spans="23:29" ht="25.15" customHeight="1">
      <c r="W369" s="458"/>
      <c r="X369" s="458"/>
      <c r="Y369" s="458"/>
      <c r="Z369" s="458"/>
      <c r="AA369" s="458"/>
      <c r="AB369" s="458"/>
      <c r="AC369" s="458"/>
    </row>
    <row r="370" spans="23:29" ht="25.15" customHeight="1">
      <c r="W370" s="458"/>
      <c r="X370" s="458"/>
      <c r="Y370" s="458"/>
      <c r="Z370" s="458"/>
      <c r="AA370" s="458"/>
      <c r="AB370" s="458"/>
      <c r="AC370" s="458"/>
    </row>
    <row r="371" spans="23:29" ht="25.15" customHeight="1">
      <c r="W371" s="458"/>
      <c r="X371" s="458"/>
      <c r="Y371" s="458"/>
      <c r="Z371" s="458"/>
      <c r="AA371" s="458"/>
      <c r="AB371" s="458"/>
      <c r="AC371" s="458"/>
    </row>
    <row r="372" spans="23:29" ht="25.15" customHeight="1">
      <c r="W372" s="458"/>
      <c r="X372" s="458"/>
      <c r="Y372" s="458"/>
      <c r="Z372" s="458"/>
      <c r="AA372" s="458"/>
      <c r="AB372" s="458"/>
      <c r="AC372" s="458"/>
    </row>
    <row r="373" spans="23:29" ht="25.15" customHeight="1">
      <c r="W373" s="458"/>
      <c r="X373" s="458"/>
      <c r="Y373" s="458"/>
      <c r="Z373" s="458"/>
      <c r="AA373" s="458"/>
      <c r="AB373" s="458"/>
      <c r="AC373" s="458"/>
    </row>
    <row r="374" spans="23:29" ht="25.15" customHeight="1">
      <c r="W374" s="458"/>
      <c r="X374" s="458"/>
      <c r="Y374" s="458"/>
      <c r="Z374" s="458"/>
      <c r="AA374" s="458"/>
      <c r="AB374" s="458"/>
      <c r="AC374" s="458"/>
    </row>
    <row r="375" spans="23:29" ht="25.15" customHeight="1">
      <c r="W375" s="458"/>
      <c r="X375" s="458"/>
      <c r="Y375" s="458"/>
      <c r="Z375" s="458"/>
      <c r="AA375" s="458"/>
      <c r="AB375" s="458"/>
      <c r="AC375" s="458"/>
    </row>
    <row r="376" spans="23:29" ht="25.15" customHeight="1">
      <c r="W376" s="458"/>
      <c r="X376" s="458"/>
      <c r="Y376" s="458"/>
      <c r="Z376" s="458"/>
      <c r="AA376" s="458"/>
      <c r="AB376" s="458"/>
      <c r="AC376" s="458"/>
    </row>
    <row r="377" spans="23:29" ht="25.15" customHeight="1">
      <c r="W377" s="458"/>
      <c r="X377" s="458"/>
      <c r="Y377" s="458"/>
      <c r="Z377" s="458"/>
      <c r="AA377" s="458"/>
      <c r="AB377" s="458"/>
      <c r="AC377" s="458"/>
    </row>
    <row r="378" spans="23:29" ht="25.15" customHeight="1">
      <c r="W378" s="458"/>
      <c r="X378" s="458"/>
      <c r="Y378" s="458"/>
      <c r="Z378" s="458"/>
      <c r="AA378" s="458"/>
      <c r="AB378" s="458"/>
      <c r="AC378" s="458"/>
    </row>
    <row r="379" spans="23:29" ht="25.15" customHeight="1">
      <c r="W379" s="458"/>
      <c r="X379" s="458"/>
      <c r="Y379" s="458"/>
      <c r="Z379" s="458"/>
      <c r="AA379" s="458"/>
      <c r="AB379" s="458"/>
      <c r="AC379" s="458"/>
    </row>
    <row r="380" spans="23:29" ht="25.15" customHeight="1">
      <c r="W380" s="458"/>
      <c r="X380" s="458"/>
      <c r="Y380" s="458"/>
      <c r="Z380" s="458"/>
      <c r="AA380" s="458"/>
      <c r="AB380" s="458"/>
      <c r="AC380" s="458"/>
    </row>
    <row r="381" spans="23:29" ht="25.15" customHeight="1">
      <c r="W381" s="458"/>
      <c r="X381" s="458"/>
      <c r="Y381" s="458"/>
      <c r="Z381" s="458"/>
      <c r="AA381" s="458"/>
      <c r="AB381" s="458"/>
      <c r="AC381" s="458"/>
    </row>
    <row r="382" spans="23:29" ht="25.15" customHeight="1">
      <c r="W382" s="458"/>
      <c r="X382" s="458"/>
      <c r="Y382" s="458"/>
      <c r="Z382" s="458"/>
      <c r="AA382" s="458"/>
      <c r="AB382" s="458"/>
      <c r="AC382" s="458"/>
    </row>
    <row r="383" spans="23:29" ht="25.15" customHeight="1">
      <c r="W383" s="458"/>
      <c r="X383" s="458"/>
      <c r="Y383" s="458"/>
      <c r="Z383" s="458"/>
      <c r="AA383" s="458"/>
      <c r="AB383" s="458"/>
      <c r="AC383" s="458"/>
    </row>
    <row r="384" spans="23:29" ht="25.15" customHeight="1">
      <c r="W384" s="458"/>
      <c r="X384" s="458"/>
      <c r="Y384" s="458"/>
      <c r="Z384" s="458"/>
      <c r="AA384" s="458"/>
      <c r="AB384" s="458"/>
      <c r="AC384" s="458"/>
    </row>
    <row r="385" spans="23:29" ht="25.15" customHeight="1">
      <c r="W385" s="458"/>
      <c r="X385" s="458"/>
      <c r="Y385" s="458"/>
      <c r="Z385" s="458"/>
      <c r="AA385" s="458"/>
      <c r="AB385" s="458"/>
      <c r="AC385" s="458"/>
    </row>
    <row r="386" spans="23:29" ht="25.15" customHeight="1">
      <c r="W386" s="458"/>
      <c r="X386" s="458"/>
      <c r="Y386" s="458"/>
      <c r="Z386" s="458"/>
      <c r="AA386" s="458"/>
      <c r="AB386" s="458"/>
      <c r="AC386" s="458"/>
    </row>
    <row r="387" spans="23:29" ht="25.15" customHeight="1">
      <c r="W387" s="458"/>
      <c r="X387" s="458"/>
      <c r="Y387" s="458"/>
      <c r="Z387" s="458"/>
      <c r="AA387" s="458"/>
      <c r="AB387" s="458"/>
      <c r="AC387" s="458"/>
    </row>
    <row r="388" spans="23:29" ht="25.15" customHeight="1">
      <c r="W388" s="458"/>
      <c r="X388" s="458"/>
      <c r="Y388" s="458"/>
      <c r="Z388" s="458"/>
      <c r="AA388" s="458"/>
      <c r="AB388" s="458"/>
      <c r="AC388" s="458"/>
    </row>
    <row r="389" spans="23:29" ht="25.15" customHeight="1">
      <c r="W389" s="458"/>
      <c r="X389" s="458"/>
      <c r="Y389" s="458"/>
      <c r="Z389" s="458"/>
      <c r="AA389" s="458"/>
      <c r="AB389" s="458"/>
      <c r="AC389" s="458"/>
    </row>
    <row r="390" spans="23:29" ht="25.15" customHeight="1">
      <c r="W390" s="458"/>
      <c r="X390" s="458"/>
      <c r="Y390" s="458"/>
      <c r="Z390" s="458"/>
      <c r="AA390" s="458"/>
      <c r="AB390" s="458"/>
      <c r="AC390" s="458"/>
    </row>
    <row r="391" spans="23:29" ht="25.15" customHeight="1">
      <c r="W391" s="458"/>
      <c r="X391" s="458"/>
      <c r="Y391" s="458"/>
      <c r="Z391" s="458"/>
      <c r="AA391" s="458"/>
      <c r="AB391" s="458"/>
      <c r="AC391" s="458"/>
    </row>
    <row r="392" spans="23:29" ht="25.15" customHeight="1">
      <c r="W392" s="458"/>
      <c r="X392" s="458"/>
      <c r="Y392" s="458"/>
      <c r="Z392" s="458"/>
      <c r="AA392" s="458"/>
      <c r="AB392" s="458"/>
      <c r="AC392" s="458"/>
    </row>
    <row r="393" spans="23:29" ht="25.15" customHeight="1">
      <c r="W393" s="458"/>
      <c r="X393" s="458"/>
      <c r="Y393" s="458"/>
      <c r="Z393" s="458"/>
      <c r="AA393" s="458"/>
      <c r="AB393" s="458"/>
      <c r="AC393" s="458"/>
    </row>
    <row r="394" spans="23:29" ht="25.15" customHeight="1">
      <c r="W394" s="458"/>
      <c r="X394" s="458"/>
      <c r="Y394" s="458"/>
      <c r="Z394" s="458"/>
      <c r="AA394" s="458"/>
      <c r="AB394" s="458"/>
      <c r="AC394" s="458"/>
    </row>
    <row r="395" spans="23:29" ht="25.15" customHeight="1">
      <c r="W395" s="458"/>
      <c r="X395" s="458"/>
      <c r="Y395" s="458"/>
      <c r="Z395" s="458"/>
      <c r="AA395" s="458"/>
      <c r="AB395" s="458"/>
      <c r="AC395" s="458"/>
    </row>
    <row r="396" spans="23:29" ht="25.15" customHeight="1">
      <c r="W396" s="458"/>
      <c r="X396" s="458"/>
      <c r="Y396" s="458"/>
      <c r="Z396" s="458"/>
      <c r="AA396" s="458"/>
      <c r="AB396" s="458"/>
      <c r="AC396" s="458"/>
    </row>
    <row r="397" spans="23:29" ht="25.15" customHeight="1">
      <c r="W397" s="458"/>
      <c r="X397" s="458"/>
      <c r="Y397" s="458"/>
      <c r="Z397" s="458"/>
      <c r="AA397" s="458"/>
      <c r="AB397" s="458"/>
      <c r="AC397" s="458"/>
    </row>
    <row r="398" spans="23:29" ht="25.15" customHeight="1">
      <c r="W398" s="458"/>
      <c r="X398" s="458"/>
      <c r="Y398" s="458"/>
      <c r="Z398" s="458"/>
      <c r="AA398" s="458"/>
      <c r="AB398" s="458"/>
      <c r="AC398" s="458"/>
    </row>
    <row r="399" spans="23:29" ht="25.15" customHeight="1">
      <c r="W399" s="458"/>
      <c r="X399" s="458"/>
      <c r="Y399" s="458"/>
      <c r="Z399" s="458"/>
      <c r="AA399" s="458"/>
      <c r="AB399" s="458"/>
      <c r="AC399" s="458"/>
    </row>
    <row r="400" spans="23:29" ht="25.15" customHeight="1">
      <c r="W400" s="458"/>
      <c r="X400" s="458"/>
      <c r="Y400" s="458"/>
      <c r="Z400" s="458"/>
      <c r="AA400" s="458"/>
      <c r="AB400" s="458"/>
      <c r="AC400" s="458"/>
    </row>
    <row r="401" spans="23:29" ht="25.15" customHeight="1">
      <c r="W401" s="458"/>
      <c r="X401" s="458"/>
      <c r="Y401" s="458"/>
      <c r="Z401" s="458"/>
      <c r="AA401" s="458"/>
      <c r="AB401" s="458"/>
      <c r="AC401" s="458"/>
    </row>
    <row r="402" spans="23:29" ht="25.15" customHeight="1">
      <c r="W402" s="458"/>
      <c r="X402" s="458"/>
      <c r="Y402" s="458"/>
      <c r="Z402" s="458"/>
      <c r="AA402" s="458"/>
      <c r="AB402" s="458"/>
      <c r="AC402" s="458"/>
    </row>
    <row r="403" spans="23:29" ht="25.15" customHeight="1">
      <c r="W403" s="458"/>
      <c r="X403" s="458"/>
      <c r="Y403" s="458"/>
      <c r="Z403" s="458"/>
      <c r="AA403" s="458"/>
      <c r="AB403" s="458"/>
      <c r="AC403" s="458"/>
    </row>
    <row r="404" spans="23:29" ht="25.15" customHeight="1">
      <c r="W404" s="458"/>
      <c r="X404" s="458"/>
      <c r="Y404" s="458"/>
      <c r="Z404" s="458"/>
      <c r="AA404" s="458"/>
      <c r="AB404" s="458"/>
      <c r="AC404" s="458"/>
    </row>
    <row r="405" spans="23:29" ht="25.15" customHeight="1">
      <c r="W405" s="458"/>
      <c r="X405" s="458"/>
      <c r="Y405" s="458"/>
      <c r="Z405" s="458"/>
      <c r="AA405" s="458"/>
      <c r="AB405" s="458"/>
      <c r="AC405" s="458"/>
    </row>
    <row r="406" spans="23:29" ht="25.15" customHeight="1">
      <c r="W406" s="458"/>
      <c r="X406" s="458"/>
      <c r="Y406" s="458"/>
      <c r="Z406" s="458"/>
      <c r="AA406" s="458"/>
      <c r="AB406" s="458"/>
      <c r="AC406" s="458"/>
    </row>
    <row r="407" spans="23:29" ht="25.15" customHeight="1">
      <c r="W407" s="458"/>
      <c r="X407" s="458"/>
      <c r="Y407" s="458"/>
      <c r="Z407" s="458"/>
      <c r="AA407" s="458"/>
      <c r="AB407" s="458"/>
      <c r="AC407" s="458"/>
    </row>
    <row r="408" spans="23:29" ht="25.15" customHeight="1">
      <c r="W408" s="458"/>
      <c r="X408" s="458"/>
      <c r="Y408" s="458"/>
      <c r="Z408" s="458"/>
      <c r="AA408" s="458"/>
      <c r="AB408" s="458"/>
      <c r="AC408" s="458"/>
    </row>
    <row r="409" spans="23:29" ht="25.15" customHeight="1">
      <c r="W409" s="458"/>
      <c r="X409" s="458"/>
      <c r="Y409" s="458"/>
      <c r="Z409" s="458"/>
      <c r="AA409" s="458"/>
      <c r="AB409" s="458"/>
      <c r="AC409" s="458"/>
    </row>
    <row r="410" spans="23:29" ht="25.15" customHeight="1">
      <c r="W410" s="458"/>
      <c r="X410" s="458"/>
      <c r="Y410" s="458"/>
      <c r="Z410" s="458"/>
      <c r="AA410" s="458"/>
      <c r="AB410" s="458"/>
      <c r="AC410" s="458"/>
    </row>
    <row r="411" spans="23:29" ht="25.15" customHeight="1">
      <c r="W411" s="458"/>
      <c r="X411" s="458"/>
      <c r="Y411" s="458"/>
      <c r="Z411" s="458"/>
      <c r="AA411" s="458"/>
      <c r="AB411" s="458"/>
      <c r="AC411" s="458"/>
    </row>
    <row r="412" spans="23:29" ht="25.15" customHeight="1">
      <c r="W412" s="458"/>
      <c r="X412" s="458"/>
      <c r="Y412" s="458"/>
      <c r="Z412" s="458"/>
      <c r="AA412" s="458"/>
      <c r="AB412" s="458"/>
      <c r="AC412" s="458"/>
    </row>
    <row r="413" spans="23:29" ht="25.15" customHeight="1">
      <c r="W413" s="458"/>
      <c r="X413" s="458"/>
      <c r="Y413" s="458"/>
      <c r="Z413" s="458"/>
      <c r="AA413" s="458"/>
      <c r="AB413" s="458"/>
      <c r="AC413" s="458"/>
    </row>
    <row r="414" spans="23:29" ht="25.15" customHeight="1">
      <c r="W414" s="458"/>
      <c r="X414" s="458"/>
      <c r="Y414" s="458"/>
      <c r="Z414" s="458"/>
      <c r="AA414" s="458"/>
      <c r="AB414" s="458"/>
      <c r="AC414" s="458"/>
    </row>
    <row r="415" spans="23:29" ht="25.15" customHeight="1">
      <c r="W415" s="458"/>
      <c r="X415" s="458"/>
      <c r="Y415" s="458"/>
      <c r="Z415" s="458"/>
      <c r="AA415" s="458"/>
      <c r="AB415" s="458"/>
      <c r="AC415" s="458"/>
    </row>
    <row r="416" spans="23:29" ht="25.15" customHeight="1">
      <c r="W416" s="458"/>
      <c r="X416" s="458"/>
      <c r="Y416" s="458"/>
      <c r="Z416" s="458"/>
      <c r="AA416" s="458"/>
      <c r="AB416" s="458"/>
      <c r="AC416" s="458"/>
    </row>
    <row r="417" spans="23:29" ht="25.15" customHeight="1">
      <c r="W417" s="458"/>
      <c r="X417" s="458"/>
      <c r="Y417" s="458"/>
      <c r="Z417" s="458"/>
      <c r="AA417" s="458"/>
      <c r="AB417" s="458"/>
      <c r="AC417" s="458"/>
    </row>
    <row r="418" spans="23:29" ht="25.15" customHeight="1">
      <c r="W418" s="458"/>
      <c r="X418" s="458"/>
      <c r="Y418" s="458"/>
      <c r="Z418" s="458"/>
      <c r="AA418" s="458"/>
      <c r="AB418" s="458"/>
      <c r="AC418" s="458"/>
    </row>
    <row r="419" spans="23:29" ht="25.15" customHeight="1">
      <c r="W419" s="458"/>
      <c r="X419" s="458"/>
      <c r="Y419" s="458"/>
      <c r="Z419" s="458"/>
      <c r="AA419" s="458"/>
      <c r="AB419" s="458"/>
      <c r="AC419" s="458"/>
    </row>
    <row r="420" spans="23:29" ht="25.15" customHeight="1">
      <c r="W420" s="458"/>
      <c r="X420" s="458"/>
      <c r="Y420" s="458"/>
      <c r="Z420" s="458"/>
      <c r="AA420" s="458"/>
      <c r="AB420" s="458"/>
      <c r="AC420" s="458"/>
    </row>
    <row r="421" spans="23:29" ht="25.15" customHeight="1">
      <c r="W421" s="458"/>
      <c r="X421" s="458"/>
      <c r="Y421" s="458"/>
      <c r="Z421" s="458"/>
      <c r="AA421" s="458"/>
      <c r="AB421" s="458"/>
      <c r="AC421" s="458"/>
    </row>
    <row r="422" spans="23:29" ht="25.15" customHeight="1">
      <c r="W422" s="458"/>
      <c r="X422" s="458"/>
      <c r="Y422" s="458"/>
      <c r="Z422" s="458"/>
      <c r="AA422" s="458"/>
      <c r="AB422" s="458"/>
      <c r="AC422" s="458"/>
    </row>
    <row r="423" spans="23:29" ht="25.15" customHeight="1">
      <c r="W423" s="458"/>
      <c r="X423" s="458"/>
      <c r="Y423" s="458"/>
      <c r="Z423" s="458"/>
      <c r="AA423" s="458"/>
      <c r="AB423" s="458"/>
      <c r="AC423" s="458"/>
    </row>
    <row r="424" spans="23:29" ht="25.15" customHeight="1">
      <c r="W424" s="458"/>
      <c r="X424" s="458"/>
      <c r="Y424" s="458"/>
      <c r="Z424" s="458"/>
      <c r="AA424" s="458"/>
      <c r="AB424" s="458"/>
      <c r="AC424" s="458"/>
    </row>
    <row r="425" spans="23:29" ht="25.15" customHeight="1">
      <c r="W425" s="458"/>
      <c r="X425" s="458"/>
      <c r="Y425" s="458"/>
      <c r="Z425" s="458"/>
      <c r="AA425" s="458"/>
      <c r="AB425" s="458"/>
      <c r="AC425" s="458"/>
    </row>
    <row r="426" spans="23:29" ht="25.15" customHeight="1">
      <c r="W426" s="458"/>
      <c r="X426" s="458"/>
      <c r="Y426" s="458"/>
      <c r="Z426" s="458"/>
      <c r="AA426" s="458"/>
      <c r="AB426" s="458"/>
      <c r="AC426" s="458"/>
    </row>
    <row r="427" spans="23:29" ht="25.15" customHeight="1">
      <c r="W427" s="458"/>
      <c r="X427" s="458"/>
      <c r="Y427" s="458"/>
      <c r="Z427" s="458"/>
      <c r="AA427" s="458"/>
      <c r="AB427" s="458"/>
      <c r="AC427" s="458"/>
    </row>
    <row r="428" spans="23:29" ht="25.15" customHeight="1">
      <c r="W428" s="458"/>
      <c r="X428" s="458"/>
      <c r="Y428" s="458"/>
      <c r="Z428" s="458"/>
      <c r="AA428" s="458"/>
      <c r="AB428" s="458"/>
      <c r="AC428" s="458"/>
    </row>
    <row r="429" spans="23:29" ht="25.15" customHeight="1">
      <c r="W429" s="458"/>
      <c r="X429" s="458"/>
      <c r="Y429" s="458"/>
      <c r="Z429" s="458"/>
      <c r="AA429" s="458"/>
      <c r="AB429" s="458"/>
      <c r="AC429" s="458"/>
    </row>
    <row r="430" spans="23:29" ht="25.15" customHeight="1">
      <c r="W430" s="458"/>
      <c r="X430" s="458"/>
      <c r="Y430" s="458"/>
      <c r="Z430" s="458"/>
      <c r="AA430" s="458"/>
      <c r="AB430" s="458"/>
      <c r="AC430" s="458"/>
    </row>
    <row r="431" spans="23:29" ht="25.15" customHeight="1">
      <c r="W431" s="458"/>
      <c r="X431" s="458"/>
      <c r="Y431" s="458"/>
      <c r="Z431" s="458"/>
      <c r="AA431" s="458"/>
      <c r="AB431" s="458"/>
      <c r="AC431" s="458"/>
    </row>
    <row r="432" spans="23:29" ht="25.15" customHeight="1">
      <c r="W432" s="458"/>
      <c r="X432" s="458"/>
      <c r="Y432" s="458"/>
      <c r="Z432" s="458"/>
      <c r="AA432" s="458"/>
      <c r="AB432" s="458"/>
      <c r="AC432" s="458"/>
    </row>
    <row r="433" spans="23:29" ht="25.15" customHeight="1">
      <c r="W433" s="458"/>
      <c r="X433" s="458"/>
      <c r="Y433" s="458"/>
      <c r="Z433" s="458"/>
      <c r="AA433" s="458"/>
      <c r="AB433" s="458"/>
      <c r="AC433" s="458"/>
    </row>
    <row r="434" spans="23:29" ht="25.15" customHeight="1">
      <c r="W434" s="458"/>
      <c r="X434" s="458"/>
      <c r="Y434" s="458"/>
      <c r="Z434" s="458"/>
      <c r="AA434" s="458"/>
      <c r="AB434" s="458"/>
      <c r="AC434" s="458"/>
    </row>
    <row r="435" spans="23:29" ht="25.15" customHeight="1">
      <c r="W435" s="458"/>
      <c r="X435" s="458"/>
      <c r="Y435" s="458"/>
      <c r="Z435" s="458"/>
      <c r="AA435" s="458"/>
      <c r="AB435" s="458"/>
      <c r="AC435" s="458"/>
    </row>
    <row r="436" spans="23:29" ht="25.15" customHeight="1">
      <c r="W436" s="458"/>
      <c r="X436" s="458"/>
      <c r="Y436" s="458"/>
      <c r="Z436" s="458"/>
      <c r="AA436" s="458"/>
      <c r="AB436" s="458"/>
      <c r="AC436" s="458"/>
    </row>
    <row r="437" spans="23:29" ht="25.15" customHeight="1">
      <c r="W437" s="458"/>
      <c r="X437" s="458"/>
      <c r="Y437" s="458"/>
      <c r="Z437" s="458"/>
      <c r="AA437" s="458"/>
      <c r="AB437" s="458"/>
      <c r="AC437" s="458"/>
    </row>
    <row r="438" spans="23:29" ht="25.15" customHeight="1">
      <c r="W438" s="458"/>
      <c r="X438" s="458"/>
      <c r="Y438" s="458"/>
      <c r="Z438" s="458"/>
      <c r="AA438" s="458"/>
      <c r="AB438" s="458"/>
      <c r="AC438" s="458"/>
    </row>
    <row r="439" spans="23:29" ht="25.15" customHeight="1">
      <c r="W439" s="458"/>
      <c r="X439" s="458"/>
      <c r="Y439" s="458"/>
      <c r="Z439" s="458"/>
      <c r="AA439" s="458"/>
      <c r="AB439" s="458"/>
      <c r="AC439" s="458"/>
    </row>
    <row r="440" spans="23:29" ht="25.15" customHeight="1">
      <c r="W440" s="458"/>
      <c r="X440" s="458"/>
      <c r="Y440" s="458"/>
      <c r="Z440" s="458"/>
      <c r="AA440" s="458"/>
      <c r="AB440" s="458"/>
      <c r="AC440" s="458"/>
    </row>
    <row r="441" spans="23:29" ht="25.15" customHeight="1">
      <c r="W441" s="458"/>
      <c r="X441" s="458"/>
      <c r="Y441" s="458"/>
      <c r="Z441" s="458"/>
      <c r="AA441" s="458"/>
      <c r="AB441" s="458"/>
      <c r="AC441" s="458"/>
    </row>
    <row r="442" spans="23:29" ht="25.15" customHeight="1">
      <c r="W442" s="458"/>
      <c r="X442" s="458"/>
      <c r="Y442" s="458"/>
      <c r="Z442" s="458"/>
      <c r="AA442" s="458"/>
      <c r="AB442" s="458"/>
      <c r="AC442" s="458"/>
    </row>
    <row r="443" spans="23:29" ht="25.15" customHeight="1">
      <c r="W443" s="458"/>
      <c r="X443" s="458"/>
      <c r="Y443" s="458"/>
      <c r="Z443" s="458"/>
      <c r="AA443" s="458"/>
      <c r="AB443" s="458"/>
      <c r="AC443" s="458"/>
    </row>
    <row r="444" spans="23:29" ht="25.15" customHeight="1">
      <c r="W444" s="458"/>
      <c r="X444" s="458"/>
      <c r="Y444" s="458"/>
      <c r="Z444" s="458"/>
      <c r="AA444" s="458"/>
      <c r="AB444" s="458"/>
      <c r="AC444" s="458"/>
    </row>
    <row r="445" spans="23:29" ht="25.15" customHeight="1">
      <c r="W445" s="458"/>
      <c r="X445" s="458"/>
      <c r="Y445" s="458"/>
      <c r="Z445" s="458"/>
      <c r="AA445" s="458"/>
      <c r="AB445" s="458"/>
      <c r="AC445" s="458"/>
    </row>
    <row r="446" spans="23:29" ht="25.15" customHeight="1">
      <c r="W446" s="458"/>
      <c r="X446" s="458"/>
      <c r="Y446" s="458"/>
      <c r="Z446" s="458"/>
      <c r="AA446" s="458"/>
      <c r="AB446" s="458"/>
      <c r="AC446" s="458"/>
    </row>
  </sheetData>
  <autoFilter ref="A9:AU99"/>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4113</v>
      </c>
      <c r="C5" s="87"/>
      <c r="D5" s="87"/>
      <c r="E5" s="87"/>
    </row>
    <row r="6" spans="1:13">
      <c r="F6" s="90"/>
      <c r="G6" s="89"/>
      <c r="H6" s="90"/>
      <c r="I6" s="90"/>
    </row>
    <row r="7" spans="1:13" ht="28.5">
      <c r="A7" s="91"/>
      <c r="B7" s="758" t="s">
        <v>1708</v>
      </c>
      <c r="C7" s="758" t="s">
        <v>2281</v>
      </c>
      <c r="D7" s="759" t="s">
        <v>4114</v>
      </c>
      <c r="E7" s="759" t="s">
        <v>4115</v>
      </c>
      <c r="F7" s="92">
        <f>pp_NC!GV5</f>
        <v>0</v>
      </c>
      <c r="G7" s="92" t="str">
        <f>'pp3p2m '!ED6</f>
        <v>B</v>
      </c>
      <c r="H7" s="92" t="s">
        <v>1038</v>
      </c>
      <c r="I7" s="92" t="s">
        <v>1038</v>
      </c>
      <c r="J7" s="93"/>
      <c r="K7" s="89"/>
      <c r="L7" s="89"/>
      <c r="M7" s="89"/>
    </row>
    <row r="8" spans="1:13" ht="15">
      <c r="A8" s="79" t="s">
        <v>2284</v>
      </c>
      <c r="B8" s="80"/>
      <c r="C8" s="80" t="s">
        <v>4116</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5"/>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6"/>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5030</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5031</v>
      </c>
      <c r="D120" s="19" t="s">
        <v>2248</v>
      </c>
      <c r="E120" s="19">
        <v>0</v>
      </c>
      <c r="F120" s="10"/>
      <c r="G120" s="7">
        <f t="shared" si="3"/>
        <v>0</v>
      </c>
      <c r="H120" s="4"/>
      <c r="I120" s="4"/>
      <c r="J120" s="4"/>
    </row>
    <row r="121" spans="1:10" s="1" customFormat="1" ht="14.25">
      <c r="A121" s="9" t="str">
        <f>chitiet!B1775</f>
        <v>AC70</v>
      </c>
      <c r="B121" s="18" t="str">
        <f>IF(E121=0,"",COUNTIF($E$116:$E121,"&gt;0"))</f>
        <v/>
      </c>
      <c r="C121" s="16" t="s">
        <v>5032</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5033</v>
      </c>
      <c r="D130" s="19" t="s">
        <v>2532</v>
      </c>
      <c r="E130" s="35">
        <v>0</v>
      </c>
      <c r="F130" s="10"/>
      <c r="G130" s="7">
        <f>IF(E130&lt;&gt;0,1,0)</f>
        <v>0</v>
      </c>
      <c r="H130" s="4"/>
      <c r="I130" s="4"/>
      <c r="J130" s="4"/>
    </row>
    <row r="131" spans="1:10" ht="15">
      <c r="A131" s="106" t="str">
        <f>chitiet!B1787</f>
        <v>XLPE50A</v>
      </c>
      <c r="B131" s="100" t="str">
        <f>IF(E131=0,"",COUNTIF($E$116:$E131,"&gt;0"))</f>
        <v/>
      </c>
      <c r="C131" s="101" t="s">
        <v>5033</v>
      </c>
      <c r="D131" s="84" t="s">
        <v>2532</v>
      </c>
      <c r="E131" s="767">
        <v>0</v>
      </c>
      <c r="F131" s="107"/>
      <c r="G131" s="99">
        <f>IF(E131&lt;&gt;0,1,0)</f>
        <v>0</v>
      </c>
      <c r="H131" s="91"/>
      <c r="I131" s="91"/>
      <c r="J131" s="91"/>
    </row>
    <row r="132" spans="1:10" s="1" customFormat="1" ht="14.25">
      <c r="A132" s="9" t="str">
        <f>chitiet!B1788</f>
        <v>XLPE50</v>
      </c>
      <c r="B132" s="18" t="str">
        <f>IF(E132=0,"",COUNTIF($E$116:$E132,"&gt;0"))</f>
        <v/>
      </c>
      <c r="C132" s="16" t="s">
        <v>5034</v>
      </c>
      <c r="D132" s="19" t="s">
        <v>5029</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5025</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5007</v>
      </c>
      <c r="D144" s="22" t="s">
        <v>5005</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5009</v>
      </c>
      <c r="D148" s="109" t="s">
        <v>5005</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4974</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5026</v>
      </c>
      <c r="D152" s="36" t="s">
        <v>5005</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5010</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4975</v>
      </c>
      <c r="D157" s="112" t="s">
        <v>2555</v>
      </c>
      <c r="E157" s="112" t="e">
        <v>#N/A</v>
      </c>
      <c r="F157" s="91"/>
      <c r="G157" s="99" t="e">
        <f>G156</f>
        <v>#N/A</v>
      </c>
      <c r="H157" s="91"/>
      <c r="I157" s="91"/>
      <c r="J157" s="91"/>
    </row>
    <row r="158" spans="1:10" ht="15">
      <c r="A158" s="106" t="str">
        <f>chitiet!B1818</f>
        <v>CSD</v>
      </c>
      <c r="B158" s="100"/>
      <c r="C158" s="111" t="s">
        <v>4976</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4975</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4975</v>
      </c>
      <c r="D164" s="32" t="s">
        <v>2555</v>
      </c>
      <c r="E164" s="29" t="e">
        <v>#N/A</v>
      </c>
      <c r="F164" s="4"/>
      <c r="G164" s="7" t="e">
        <f>G163</f>
        <v>#N/A</v>
      </c>
      <c r="H164" s="4"/>
      <c r="I164" s="4"/>
      <c r="J164" s="4"/>
    </row>
    <row r="165" spans="1:10" s="1" customFormat="1" ht="14.25">
      <c r="A165" s="9" t="str">
        <f>chitiet!B1825</f>
        <v>CSDG</v>
      </c>
      <c r="B165" s="18"/>
      <c r="C165" s="37" t="s">
        <v>5027</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5010</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4974</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4870</v>
      </c>
      <c r="D174" s="112" t="s">
        <v>2555</v>
      </c>
      <c r="E174" s="112">
        <f>chitiet!D1837</f>
        <v>1</v>
      </c>
      <c r="F174" s="91"/>
      <c r="G174" s="99">
        <f t="shared" si="4"/>
        <v>1</v>
      </c>
      <c r="H174" s="91"/>
      <c r="I174" s="91"/>
      <c r="J174" s="91"/>
    </row>
    <row r="175" spans="1:10" ht="15">
      <c r="A175" s="106" t="str">
        <f>chitiet!B1838</f>
        <v>MT</v>
      </c>
      <c r="B175" s="100"/>
      <c r="C175" s="111" t="s">
        <v>5010</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4870</v>
      </c>
      <c r="D180" s="29" t="s">
        <v>2555</v>
      </c>
      <c r="E180" s="29">
        <f>chitiet!D1851</f>
        <v>0</v>
      </c>
      <c r="F180" s="4"/>
      <c r="G180" s="7">
        <f t="shared" si="5"/>
        <v>0</v>
      </c>
      <c r="H180" s="4"/>
      <c r="I180" s="4"/>
      <c r="J180" s="4"/>
    </row>
    <row r="181" spans="1:10" s="1" customFormat="1" ht="14.25">
      <c r="A181" s="9" t="str">
        <f>chitiet!B1852</f>
        <v>MT</v>
      </c>
      <c r="B181" s="18"/>
      <c r="C181" s="37" t="s">
        <v>5010</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4974</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5036</v>
      </c>
      <c r="D185" s="29" t="s">
        <v>5005</v>
      </c>
      <c r="E185" s="29">
        <f>chitiet!D1856</f>
        <v>0</v>
      </c>
      <c r="F185" s="4"/>
      <c r="G185" s="7">
        <f t="shared" si="4"/>
        <v>0</v>
      </c>
      <c r="H185" s="4"/>
      <c r="I185" s="4"/>
      <c r="J185" s="4"/>
    </row>
    <row r="186" spans="1:10" ht="15">
      <c r="A186" s="106">
        <f>chitiet!B1860</f>
        <v>0</v>
      </c>
      <c r="B186" s="100">
        <f>IF(E186=0,"",COUNTIF($B$116:$B184,"&gt;0")+1)</f>
        <v>3</v>
      </c>
      <c r="C186" s="108" t="s">
        <v>4117</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5028</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5008</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5037</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5008</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4977</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5038</v>
      </c>
      <c r="D224" s="29" t="s">
        <v>2555</v>
      </c>
      <c r="E224" s="29" t="e">
        <f>chitiet!#REF!</f>
        <v>#REF!</v>
      </c>
      <c r="F224" s="4"/>
      <c r="G224" s="7" t="e">
        <f t="shared" si="7"/>
        <v>#REF!</v>
      </c>
      <c r="H224" s="4"/>
      <c r="I224" s="4"/>
      <c r="J224" s="4"/>
    </row>
    <row r="225" spans="1:10" ht="15">
      <c r="A225" s="106" t="str">
        <f>chitiet!B1928</f>
        <v>KH2/0</v>
      </c>
      <c r="B225" s="100"/>
      <c r="C225" s="111" t="s">
        <v>4334</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4867</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5039</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5024</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5025</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5041</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5042</v>
      </c>
      <c r="D241" s="29" t="s">
        <v>2439</v>
      </c>
      <c r="E241" s="29">
        <f>chitiet!D1947</f>
        <v>0</v>
      </c>
      <c r="F241" s="4"/>
      <c r="G241" s="7">
        <f t="shared" si="9"/>
        <v>0</v>
      </c>
      <c r="H241" s="4"/>
      <c r="I241" s="4"/>
      <c r="J241" s="4"/>
    </row>
    <row r="242" spans="1:10" ht="15">
      <c r="A242" s="106" t="str">
        <f>chitiet!B1948</f>
        <v>R3</v>
      </c>
      <c r="B242" s="100" t="str">
        <f>IF(E242=0,"",COUNTIF($B$116:$B241,"&gt;0")+1)</f>
        <v/>
      </c>
      <c r="C242" s="111" t="s">
        <v>5043</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5044</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8">
        <f>chitiet!D1953</f>
        <v>0</v>
      </c>
      <c r="F247" s="91"/>
      <c r="G247" s="99">
        <f t="shared" si="7"/>
        <v>0</v>
      </c>
      <c r="H247" s="91"/>
      <c r="I247" s="91"/>
      <c r="J247" s="91"/>
    </row>
    <row r="248" spans="1:10" s="1" customFormat="1" ht="14.25">
      <c r="A248" s="9" t="str">
        <f>chitiet!B1958</f>
        <v>bnh</v>
      </c>
      <c r="B248" s="18" t="str">
        <f>IF(E248=0,"",COUNTIF($B$116:$B247,"&gt;0")+1)</f>
        <v/>
      </c>
      <c r="C248" s="37" t="s">
        <v>5045</v>
      </c>
      <c r="D248" s="29" t="s">
        <v>2248</v>
      </c>
      <c r="E248" s="29">
        <f>chitiet!D1958</f>
        <v>0</v>
      </c>
      <c r="F248" s="4"/>
      <c r="G248" s="7">
        <f>IF(E248&lt;&gt;0,1,0)</f>
        <v>0</v>
      </c>
      <c r="H248" s="4"/>
      <c r="I248" s="4"/>
      <c r="J248" s="4"/>
    </row>
    <row r="249" spans="1:10" s="1" customFormat="1" ht="15">
      <c r="A249" s="12" t="s">
        <v>1896</v>
      </c>
      <c r="B249" s="15" t="s">
        <v>1897</v>
      </c>
      <c r="C249" s="83" t="s">
        <v>4118</v>
      </c>
      <c r="D249" s="84" t="s">
        <v>2301</v>
      </c>
      <c r="E249" s="29"/>
      <c r="F249" s="4"/>
      <c r="G249" s="7"/>
      <c r="H249" s="4"/>
      <c r="I249" s="4"/>
      <c r="J249" s="4"/>
    </row>
    <row r="250" spans="1:10" s="1" customFormat="1" ht="14.25">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4.25">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4.25">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5">
      <c r="A275" s="13">
        <f>chitiet!A2341</f>
        <v>159</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4.25">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60" t="s">
        <v>4119</v>
      </c>
      <c r="D301" s="47"/>
      <c r="E301" s="48"/>
      <c r="F301" s="4"/>
      <c r="G301" s="4"/>
      <c r="H301" s="4"/>
      <c r="I301" s="4"/>
      <c r="J301" s="4"/>
    </row>
    <row r="302" spans="1:10" s="1" customFormat="1" ht="15">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5">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62" t="s">
        <v>4123</v>
      </c>
      <c r="D311" s="50"/>
      <c r="E311" s="50"/>
      <c r="F311" s="4"/>
      <c r="G311" s="7">
        <f>IF(E311&lt;&gt;0,1,0)</f>
        <v>0</v>
      </c>
      <c r="H311" s="4"/>
      <c r="I311" s="4"/>
      <c r="J311" s="4"/>
    </row>
    <row r="312" spans="1:10" s="1" customFormat="1" ht="15">
      <c r="A312" s="9"/>
      <c r="B312" s="44" t="str">
        <f>IF(E312=0,"",COUNTIF($B$116:$B311,"&gt;0")+1)</f>
        <v/>
      </c>
      <c r="C312" s="761" t="s">
        <v>4124</v>
      </c>
      <c r="D312" s="763" t="s">
        <v>2385</v>
      </c>
      <c r="E312" s="45"/>
      <c r="F312" s="4"/>
      <c r="G312" s="7">
        <f>IF(E312&lt;&gt;0,1,0)</f>
        <v>0</v>
      </c>
      <c r="H312" s="4"/>
      <c r="I312" s="4"/>
      <c r="J312" s="4"/>
    </row>
    <row r="313" spans="1:10" s="1" customFormat="1" ht="15">
      <c r="A313" s="4"/>
      <c r="B313" s="14"/>
      <c r="C313" s="134" t="s">
        <v>4125</v>
      </c>
      <c r="D313" s="764"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4126</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9" t="e">
        <v>#REF!</v>
      </c>
      <c r="D51" s="84" t="e">
        <v>#REF!</v>
      </c>
      <c r="E51" s="770"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9" t="e">
        <v>#REF!</v>
      </c>
      <c r="D55" s="84" t="e">
        <v>#REF!</v>
      </c>
      <c r="E55" s="770"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9" t="e">
        <v>#REF!</v>
      </c>
      <c r="D59" s="771" t="e">
        <v>#REF!</v>
      </c>
      <c r="E59" s="770" t="e">
        <v>#REF!</v>
      </c>
      <c r="F59" s="91"/>
      <c r="G59" s="99" t="e">
        <f t="shared" si="0"/>
        <v>#REF!</v>
      </c>
      <c r="H59" s="91"/>
      <c r="I59" s="91"/>
      <c r="J59" s="91"/>
    </row>
    <row r="60" spans="1:10" ht="15">
      <c r="A60" s="95" t="e">
        <f>#REF!</f>
        <v>#REF!</v>
      </c>
      <c r="B60" s="100" t="e">
        <f>IF(E60=0,"",COUNTIF($E$47:$E60,"&gt;0"))</f>
        <v>#REF!</v>
      </c>
      <c r="C60" s="769" t="e">
        <v>#REF!</v>
      </c>
      <c r="D60" s="84" t="e">
        <v>#REF!</v>
      </c>
      <c r="E60" s="770"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9" t="e">
        <v>#REF!</v>
      </c>
      <c r="D67" s="771" t="e">
        <v>#REF!</v>
      </c>
      <c r="E67" s="770" t="e">
        <v>#REF!</v>
      </c>
      <c r="F67" s="129"/>
      <c r="G67" s="130" t="e">
        <f t="shared" si="0"/>
        <v>#REF!</v>
      </c>
      <c r="H67" s="129"/>
      <c r="I67" s="129"/>
      <c r="J67" s="129"/>
    </row>
    <row r="68" spans="1:10" ht="15">
      <c r="A68" s="95" t="e">
        <f>#REF!</f>
        <v>#REF!</v>
      </c>
      <c r="B68" s="100" t="e">
        <f>IF(E68=0,"",COUNTIF($E$47:$E68,"&gt;0"))</f>
        <v>#REF!</v>
      </c>
      <c r="C68" s="769" t="e">
        <v>#REF!</v>
      </c>
      <c r="D68" s="84" t="e">
        <v>#REF!</v>
      </c>
      <c r="E68" s="770"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4" t="s">
        <v>1899</v>
      </c>
      <c r="B151" s="104" t="s">
        <v>1900</v>
      </c>
      <c r="C151" s="83" t="s">
        <v>2302</v>
      </c>
      <c r="D151" s="84" t="s">
        <v>2301</v>
      </c>
      <c r="E151" s="105"/>
      <c r="F151" s="91"/>
      <c r="G151" s="99">
        <v>1</v>
      </c>
      <c r="H151" s="91"/>
      <c r="I151" s="91"/>
      <c r="J151" s="91"/>
    </row>
    <row r="152" spans="1:10" ht="15">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5">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5">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5" customWidth="1"/>
    <col min="2" max="2" width="14.77734375" style="2085" customWidth="1"/>
    <col min="3" max="3" width="3.77734375" style="2085" customWidth="1"/>
    <col min="4" max="4" width="10.21875" style="2085" customWidth="1"/>
    <col min="5" max="5" width="43.44140625" style="2086" customWidth="1"/>
    <col min="6" max="6" width="8.6640625" style="2085" customWidth="1"/>
    <col min="7" max="7" width="8.109375" style="2089" customWidth="1"/>
    <col min="8" max="8" width="11.5546875" style="2085" customWidth="1" outlineLevel="1"/>
    <col min="9" max="9" width="9.21875" style="2085" customWidth="1" outlineLevel="1"/>
    <col min="10" max="10" width="11.109375" style="2085" customWidth="1" outlineLevel="1"/>
    <col min="11" max="11" width="9.88671875" style="2085" customWidth="1" outlineLevel="1"/>
    <col min="12" max="12" width="11.5546875" style="2085" customWidth="1" outlineLevel="1"/>
    <col min="13" max="13" width="8.21875" style="2085" customWidth="1" outlineLevel="1"/>
    <col min="14" max="14" width="10.88671875" style="2085" customWidth="1" outlineLevel="1"/>
    <col min="15" max="15" width="9" style="2085" customWidth="1" outlineLevel="1"/>
    <col min="16" max="16" width="11.5546875" style="2095" customWidth="1"/>
    <col min="17" max="17" width="10.6640625" style="2085" customWidth="1"/>
    <col min="18" max="18" width="10.21875" style="2085" hidden="1" customWidth="1"/>
    <col min="19" max="20" width="8.5546875" style="2085" customWidth="1"/>
    <col min="21" max="21" width="12.21875" style="2085" customWidth="1"/>
    <col min="22" max="23" width="8.5546875" style="2085" customWidth="1"/>
    <col min="24" max="24" width="9.77734375" style="2085" customWidth="1"/>
    <col min="25" max="25" width="11.77734375" style="2085" customWidth="1"/>
    <col min="26" max="26" width="7.44140625" style="2085"/>
    <col min="27" max="27" width="10.6640625" style="2085" customWidth="1"/>
    <col min="28" max="16384" width="7.44140625" style="2085"/>
  </cols>
  <sheetData>
    <row r="1" spans="3:16" outlineLevel="1">
      <c r="G1" s="2085"/>
      <c r="P1" s="2085"/>
    </row>
    <row r="2" spans="3:16" ht="15" outlineLevel="1">
      <c r="E2" s="2567" t="s">
        <v>4414</v>
      </c>
      <c r="F2" s="2568" t="s">
        <v>6302</v>
      </c>
      <c r="G2" s="2568"/>
      <c r="H2" s="2569">
        <v>9</v>
      </c>
      <c r="I2" s="2569" t="s">
        <v>4408</v>
      </c>
      <c r="J2" s="2568" t="s">
        <v>4416</v>
      </c>
      <c r="K2" s="2568"/>
      <c r="L2" s="2569"/>
      <c r="M2" s="2569" t="s">
        <v>4417</v>
      </c>
      <c r="N2" s="2569"/>
      <c r="O2" s="2569" t="s">
        <v>4418</v>
      </c>
      <c r="P2" s="2085"/>
    </row>
    <row r="3" spans="3:16" ht="15" outlineLevel="1">
      <c r="E3" s="2570">
        <f>IF(H2=12,51,IF(H2=9,36,93))</f>
        <v>36</v>
      </c>
      <c r="F3" s="2571" t="s">
        <v>4419</v>
      </c>
      <c r="G3" s="2568"/>
      <c r="H3" s="2572">
        <f>53</f>
        <v>53</v>
      </c>
      <c r="I3" s="2569" t="s">
        <v>1823</v>
      </c>
      <c r="J3" s="2568" t="s">
        <v>4420</v>
      </c>
      <c r="K3" s="2568"/>
      <c r="L3" s="2569">
        <v>0</v>
      </c>
      <c r="M3" s="2569" t="s">
        <v>4421</v>
      </c>
      <c r="N3" s="2099"/>
      <c r="O3" s="2099"/>
      <c r="P3" s="2085"/>
    </row>
    <row r="4" spans="3:16" ht="15" outlineLevel="1">
      <c r="E4" s="2573" t="s">
        <v>6303</v>
      </c>
      <c r="F4" s="2571" t="s">
        <v>4422</v>
      </c>
      <c r="G4" s="2568"/>
      <c r="H4" s="2572">
        <f>E3*0.8*0.3</f>
        <v>8.64</v>
      </c>
      <c r="I4" s="2569" t="s">
        <v>856</v>
      </c>
      <c r="J4" s="2574" t="s">
        <v>4423</v>
      </c>
      <c r="K4" s="2568"/>
      <c r="L4" s="2569">
        <v>0</v>
      </c>
      <c r="M4" s="2575"/>
      <c r="N4" s="2099"/>
      <c r="O4" s="2099"/>
      <c r="P4" s="2085"/>
    </row>
    <row r="5" spans="3:16" ht="15" outlineLevel="1">
      <c r="E5" s="2570"/>
      <c r="F5" s="2576" t="s">
        <v>4424</v>
      </c>
      <c r="G5" s="2569" t="s">
        <v>4425</v>
      </c>
      <c r="H5" s="2569" t="s">
        <v>4426</v>
      </c>
      <c r="I5" s="2576" t="s">
        <v>4427</v>
      </c>
      <c r="J5" s="2576" t="s">
        <v>4428</v>
      </c>
      <c r="K5" s="2569" t="s">
        <v>4426</v>
      </c>
      <c r="L5" s="2576" t="s">
        <v>4429</v>
      </c>
      <c r="M5" s="2577" t="s">
        <v>4430</v>
      </c>
      <c r="N5" s="2099"/>
      <c r="O5" s="2099"/>
      <c r="P5" s="2085"/>
    </row>
    <row r="6" spans="3:16" ht="15" outlineLevel="1">
      <c r="E6" s="2578"/>
      <c r="F6" s="2579">
        <v>18</v>
      </c>
      <c r="G6" s="2580" t="s">
        <v>2051</v>
      </c>
      <c r="H6" s="2579">
        <v>0</v>
      </c>
      <c r="I6" s="2579">
        <f>H6*15</f>
        <v>0</v>
      </c>
      <c r="J6" s="2581" t="s">
        <v>4431</v>
      </c>
      <c r="K6" s="2579">
        <v>0</v>
      </c>
      <c r="L6" s="2582">
        <f>K6*3*15</f>
        <v>0</v>
      </c>
      <c r="M6" s="2654">
        <f>H21+K21</f>
        <v>0</v>
      </c>
      <c r="N6" s="2099"/>
      <c r="O6" s="2099"/>
      <c r="P6" s="2085"/>
    </row>
    <row r="7" spans="3:16" ht="15" outlineLevel="1">
      <c r="C7" s="2088"/>
      <c r="E7" s="2583"/>
      <c r="F7" s="2579" t="s">
        <v>4432</v>
      </c>
      <c r="G7" s="2584" t="s">
        <v>2052</v>
      </c>
      <c r="H7" s="2579">
        <v>0</v>
      </c>
      <c r="I7" s="2579">
        <f>H7*25</f>
        <v>0</v>
      </c>
      <c r="J7" s="2581" t="s">
        <v>4433</v>
      </c>
      <c r="K7" s="2579">
        <v>0</v>
      </c>
      <c r="L7" s="2582">
        <f>K7*3*25</f>
        <v>0</v>
      </c>
      <c r="M7" s="2655"/>
      <c r="N7" s="2099"/>
      <c r="O7" s="2585"/>
      <c r="P7" s="2085"/>
    </row>
    <row r="8" spans="3:16" ht="15" outlineLevel="1">
      <c r="D8" s="2089"/>
      <c r="E8" s="2570"/>
      <c r="F8" s="2579">
        <v>22</v>
      </c>
      <c r="G8" s="2584" t="s">
        <v>4434</v>
      </c>
      <c r="H8" s="2579">
        <v>0</v>
      </c>
      <c r="I8" s="2579">
        <f>H8*37.5</f>
        <v>0</v>
      </c>
      <c r="J8" s="2581" t="s">
        <v>4435</v>
      </c>
      <c r="K8" s="2579">
        <v>0</v>
      </c>
      <c r="L8" s="2582">
        <f>K8*3*37.5</f>
        <v>0</v>
      </c>
      <c r="M8" s="2577" t="s">
        <v>4436</v>
      </c>
      <c r="N8" s="2099"/>
      <c r="O8" s="2099"/>
      <c r="P8" s="2085"/>
    </row>
    <row r="9" spans="3:16" ht="15" outlineLevel="1">
      <c r="D9" s="2088"/>
      <c r="E9" s="2570"/>
      <c r="F9" s="2586"/>
      <c r="G9" s="2584" t="s">
        <v>2053</v>
      </c>
      <c r="H9" s="2579">
        <v>0</v>
      </c>
      <c r="I9" s="2579">
        <f>H9*50</f>
        <v>0</v>
      </c>
      <c r="J9" s="2581" t="s">
        <v>4437</v>
      </c>
      <c r="K9" s="2579">
        <v>0</v>
      </c>
      <c r="L9" s="2582">
        <f>K9*3*50</f>
        <v>0</v>
      </c>
      <c r="M9" s="2654">
        <f>I24+L24</f>
        <v>750</v>
      </c>
      <c r="N9" s="2099"/>
      <c r="O9" s="2099"/>
      <c r="P9" s="2085"/>
    </row>
    <row r="10" spans="3:16" ht="15" outlineLevel="1">
      <c r="D10" s="2088"/>
      <c r="E10" s="2570"/>
      <c r="F10" s="2587"/>
      <c r="G10" s="2588" t="s">
        <v>2054</v>
      </c>
      <c r="H10" s="2579">
        <v>0</v>
      </c>
      <c r="I10" s="2579">
        <f>H10*75</f>
        <v>0</v>
      </c>
      <c r="J10" s="2589" t="s">
        <v>4438</v>
      </c>
      <c r="K10" s="2579">
        <v>0</v>
      </c>
      <c r="L10" s="2582">
        <f>K10*160</f>
        <v>0</v>
      </c>
      <c r="M10" s="2656"/>
      <c r="N10" s="2099"/>
      <c r="O10" s="2099"/>
      <c r="P10" s="2085"/>
    </row>
    <row r="11" spans="3:16" ht="15" outlineLevel="1">
      <c r="D11" s="2088"/>
      <c r="E11" s="2570"/>
      <c r="F11" s="2587"/>
      <c r="G11" s="2588" t="s">
        <v>2055</v>
      </c>
      <c r="H11" s="2579">
        <v>0</v>
      </c>
      <c r="I11" s="2579">
        <f>H11*100</f>
        <v>0</v>
      </c>
      <c r="J11" s="2589" t="s">
        <v>4439</v>
      </c>
      <c r="K11" s="2579">
        <v>0</v>
      </c>
      <c r="L11" s="2582">
        <f>K11*250</f>
        <v>0</v>
      </c>
      <c r="M11" s="2656"/>
      <c r="N11" s="2099"/>
      <c r="O11" s="2099"/>
      <c r="P11" s="2085"/>
    </row>
    <row r="12" spans="3:16" ht="15" outlineLevel="1">
      <c r="D12" s="2088"/>
      <c r="E12" s="2570"/>
      <c r="F12" s="2587"/>
      <c r="G12" s="2590"/>
      <c r="H12" s="2579"/>
      <c r="I12" s="2591"/>
      <c r="J12" s="2589" t="s">
        <v>4440</v>
      </c>
      <c r="K12" s="2579">
        <v>0</v>
      </c>
      <c r="L12" s="2582">
        <f>K12*320</f>
        <v>0</v>
      </c>
      <c r="M12" s="2656"/>
      <c r="N12" s="2099"/>
      <c r="O12" s="2099"/>
      <c r="P12" s="2085"/>
    </row>
    <row r="13" spans="3:16" ht="15" outlineLevel="1">
      <c r="D13" s="2088"/>
      <c r="E13" s="2570"/>
      <c r="F13" s="2587"/>
      <c r="G13" s="2590"/>
      <c r="H13" s="2579"/>
      <c r="I13" s="2591"/>
      <c r="J13" s="2589" t="s">
        <v>4441</v>
      </c>
      <c r="K13" s="2579">
        <v>0</v>
      </c>
      <c r="L13" s="2582">
        <f>K13*400</f>
        <v>0</v>
      </c>
      <c r="M13" s="2656"/>
      <c r="N13" s="2099"/>
      <c r="O13" s="2099"/>
      <c r="P13" s="2085"/>
    </row>
    <row r="14" spans="3:16" ht="15" outlineLevel="1">
      <c r="D14" s="2088"/>
      <c r="E14" s="2570"/>
      <c r="F14" s="2587"/>
      <c r="G14" s="2590"/>
      <c r="H14" s="2579"/>
      <c r="I14" s="2591"/>
      <c r="J14" s="2589" t="s">
        <v>4442</v>
      </c>
      <c r="K14" s="2579">
        <v>0</v>
      </c>
      <c r="L14" s="2582">
        <f>K14*560</f>
        <v>0</v>
      </c>
      <c r="M14" s="2656"/>
      <c r="N14" s="2099"/>
      <c r="O14" s="2099"/>
      <c r="P14" s="2085"/>
    </row>
    <row r="15" spans="3:16" ht="15" outlineLevel="1">
      <c r="D15" s="2088"/>
      <c r="E15" s="2570"/>
      <c r="F15" s="2587"/>
      <c r="G15" s="2590"/>
      <c r="H15" s="2579"/>
      <c r="I15" s="2591"/>
      <c r="J15" s="2589" t="s">
        <v>4443</v>
      </c>
      <c r="K15" s="2579">
        <v>0</v>
      </c>
      <c r="L15" s="2582">
        <f>K15*630</f>
        <v>0</v>
      </c>
      <c r="M15" s="2656"/>
      <c r="N15" s="2099"/>
      <c r="O15" s="2099"/>
      <c r="P15" s="2085"/>
    </row>
    <row r="16" spans="3:16" ht="15" outlineLevel="1">
      <c r="D16" s="2088"/>
      <c r="E16" s="2570"/>
      <c r="F16" s="2587"/>
      <c r="G16" s="2590"/>
      <c r="H16" s="2579"/>
      <c r="I16" s="2591"/>
      <c r="J16" s="2589" t="s">
        <v>6108</v>
      </c>
      <c r="K16" s="2579">
        <v>1</v>
      </c>
      <c r="L16" s="2582">
        <f>K16*750</f>
        <v>750</v>
      </c>
      <c r="M16" s="2656"/>
      <c r="N16" s="2099"/>
      <c r="O16" s="2099"/>
      <c r="P16" s="2085"/>
    </row>
    <row r="17" spans="1:26" ht="15" outlineLevel="1">
      <c r="D17" s="2088"/>
      <c r="E17" s="2570"/>
      <c r="F17" s="2592"/>
      <c r="G17" s="2588"/>
      <c r="H17" s="2579"/>
      <c r="I17" s="2591"/>
      <c r="J17" s="2593">
        <v>1000</v>
      </c>
      <c r="K17" s="2579">
        <v>0</v>
      </c>
      <c r="L17" s="2582">
        <f>K17*1000</f>
        <v>0</v>
      </c>
      <c r="M17" s="2657"/>
      <c r="N17" s="2099"/>
      <c r="O17" s="2099"/>
      <c r="P17" s="2085"/>
    </row>
    <row r="18" spans="1:26" ht="15" outlineLevel="1">
      <c r="D18" s="2088"/>
      <c r="E18" s="2570"/>
      <c r="F18" s="2592"/>
      <c r="G18" s="2588"/>
      <c r="H18" s="2579"/>
      <c r="I18" s="2591"/>
      <c r="J18" s="2593">
        <v>1250</v>
      </c>
      <c r="K18" s="2579"/>
      <c r="L18" s="2582">
        <f>K18*1000</f>
        <v>0</v>
      </c>
      <c r="M18" s="2657"/>
      <c r="N18" s="2099"/>
      <c r="O18" s="2099"/>
      <c r="P18" s="2085"/>
    </row>
    <row r="19" spans="1:26" ht="15" outlineLevel="1">
      <c r="D19" s="2088"/>
      <c r="E19" s="2570"/>
      <c r="F19" s="2592"/>
      <c r="G19" s="2588"/>
      <c r="H19" s="2579"/>
      <c r="I19" s="2591"/>
      <c r="J19" s="2593">
        <v>1500</v>
      </c>
      <c r="K19" s="2579">
        <v>0</v>
      </c>
      <c r="L19" s="2582">
        <f>K19*1500</f>
        <v>0</v>
      </c>
      <c r="M19" s="2657"/>
      <c r="N19" s="2099"/>
      <c r="O19" s="2099"/>
      <c r="P19" s="2085"/>
    </row>
    <row r="20" spans="1:26" ht="15" outlineLevel="1">
      <c r="D20" s="2088"/>
      <c r="E20" s="2570"/>
      <c r="F20" s="2592"/>
      <c r="G20" s="2588"/>
      <c r="H20" s="2579"/>
      <c r="I20" s="2591"/>
      <c r="J20" s="2593">
        <v>1600</v>
      </c>
      <c r="K20" s="2579">
        <v>0</v>
      </c>
      <c r="L20" s="2582">
        <f>K20*1600</f>
        <v>0</v>
      </c>
      <c r="M20" s="2657"/>
      <c r="N20" s="2099"/>
      <c r="O20" s="2099"/>
      <c r="P20" s="2085"/>
    </row>
    <row r="21" spans="1:26" ht="15" outlineLevel="1">
      <c r="E21" s="2570"/>
      <c r="F21" s="2594"/>
      <c r="G21" s="2595"/>
      <c r="H21" s="2579"/>
      <c r="I21" s="2596"/>
      <c r="J21" s="2597">
        <v>2000</v>
      </c>
      <c r="K21" s="2579">
        <v>0</v>
      </c>
      <c r="L21" s="2582">
        <f>K21*2000</f>
        <v>0</v>
      </c>
      <c r="M21" s="2655"/>
      <c r="N21" s="2099"/>
      <c r="O21" s="2099"/>
      <c r="P21" s="2085"/>
    </row>
    <row r="22" spans="1:26" ht="15" outlineLevel="1">
      <c r="E22" s="2598"/>
      <c r="F22" s="2599"/>
      <c r="G22" s="2600"/>
      <c r="H22" s="2601"/>
      <c r="I22" s="2596"/>
      <c r="J22" s="2597">
        <v>2500</v>
      </c>
      <c r="K22" s="2579">
        <v>0</v>
      </c>
      <c r="L22" s="2582">
        <f>K22*2500</f>
        <v>0</v>
      </c>
      <c r="M22" s="2602"/>
      <c r="N22" s="2099"/>
      <c r="O22" s="2099"/>
      <c r="P22" s="2085"/>
    </row>
    <row r="23" spans="1:26" ht="15" outlineLevel="1">
      <c r="E23" s="2598">
        <f>750*1.5</f>
        <v>1125</v>
      </c>
      <c r="F23" s="2599"/>
      <c r="G23" s="2600"/>
      <c r="H23" s="2601"/>
      <c r="I23" s="2596">
        <f>SUM(I6:I11)</f>
        <v>0</v>
      </c>
      <c r="J23" s="2603" t="s">
        <v>6109</v>
      </c>
      <c r="K23" s="2579">
        <v>0</v>
      </c>
      <c r="L23" s="2582">
        <f>+K23*180</f>
        <v>0</v>
      </c>
      <c r="M23" s="2602"/>
      <c r="N23" s="2099"/>
      <c r="O23" s="2099"/>
      <c r="P23" s="2085"/>
    </row>
    <row r="24" spans="1:26" ht="13.9" hidden="1" customHeight="1">
      <c r="A24" s="2085" t="s">
        <v>512</v>
      </c>
      <c r="F24" s="2091"/>
      <c r="G24" s="2092"/>
      <c r="H24" s="2093"/>
      <c r="I24" s="2087">
        <f>+SUM(I6:I23)</f>
        <v>0</v>
      </c>
      <c r="J24" s="2094"/>
      <c r="K24" s="2093"/>
      <c r="L24" s="2087">
        <f>+SUM(L6:L23)</f>
        <v>750</v>
      </c>
      <c r="M24" s="2090"/>
    </row>
    <row r="25" spans="1:26" ht="13.9" hidden="1" customHeight="1">
      <c r="F25" s="2091"/>
      <c r="G25" s="2092"/>
      <c r="H25" s="2093"/>
      <c r="I25" s="2096"/>
      <c r="J25" s="2094"/>
      <c r="K25" s="2093"/>
      <c r="L25" s="2096"/>
      <c r="M25" s="2090"/>
    </row>
    <row r="26" spans="1:26" s="2097" customFormat="1" ht="16.899999999999999" hidden="1" customHeight="1">
      <c r="A26" s="2097" t="s">
        <v>1016</v>
      </c>
      <c r="C26" s="2604" t="s">
        <v>6405</v>
      </c>
      <c r="D26" s="2605"/>
      <c r="E26" s="2605"/>
      <c r="F26" s="2605"/>
      <c r="G26" s="2606"/>
      <c r="H26" s="2605"/>
      <c r="I26" s="2605"/>
      <c r="J26" s="2605"/>
      <c r="K26" s="2605"/>
      <c r="L26" s="2605"/>
      <c r="M26" s="2605"/>
      <c r="N26" s="2605"/>
      <c r="O26" s="2605"/>
      <c r="P26" s="2607"/>
      <c r="R26" s="2098"/>
    </row>
    <row r="27" spans="1:26" s="2099" customFormat="1" ht="16.899999999999999" customHeight="1">
      <c r="C27" s="2604" t="s">
        <v>6110</v>
      </c>
      <c r="D27" s="2138"/>
      <c r="E27" s="2138"/>
      <c r="F27" s="2138"/>
      <c r="G27" s="2138"/>
      <c r="H27" s="2138"/>
      <c r="I27" s="2138"/>
      <c r="J27" s="2138"/>
      <c r="K27" s="2138"/>
      <c r="L27" s="2138"/>
      <c r="M27" s="2138"/>
      <c r="N27" s="2143"/>
      <c r="O27" s="2143"/>
      <c r="P27" s="2608"/>
      <c r="R27" s="2085"/>
    </row>
    <row r="28" spans="1:26" ht="13.9"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ht="15"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ht="15"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ht="15" outlineLevel="1">
      <c r="A31" s="2102" t="str">
        <f>A29</f>
        <v xml:space="preserve"> </v>
      </c>
      <c r="B31" s="2102" t="s">
        <v>6111</v>
      </c>
      <c r="C31" s="2642" t="s">
        <v>1708</v>
      </c>
      <c r="D31" s="2643" t="s">
        <v>2597</v>
      </c>
      <c r="E31" s="2645" t="s">
        <v>2598</v>
      </c>
      <c r="F31" s="2642" t="s">
        <v>2593</v>
      </c>
      <c r="G31" s="2103" t="s">
        <v>6112</v>
      </c>
      <c r="H31" s="2106" t="s">
        <v>6113</v>
      </c>
      <c r="I31" s="2613"/>
      <c r="J31" s="2613"/>
      <c r="K31" s="2614"/>
      <c r="L31" s="2106" t="s">
        <v>6114</v>
      </c>
      <c r="M31" s="2613"/>
      <c r="N31" s="2613"/>
      <c r="O31" s="2614"/>
      <c r="P31" s="2642" t="s">
        <v>2599</v>
      </c>
      <c r="Q31" s="2104"/>
      <c r="R31" s="2104"/>
      <c r="S31" s="2104"/>
      <c r="T31" s="2104"/>
      <c r="U31" s="2104"/>
      <c r="V31" s="2104"/>
      <c r="W31" s="2104"/>
      <c r="X31" s="2104"/>
      <c r="Y31" s="2104"/>
      <c r="Z31" s="2104"/>
    </row>
    <row r="32" spans="1:26" s="2099" customFormat="1" ht="15" outlineLevel="1">
      <c r="A32" s="2102" t="str">
        <f>A31</f>
        <v xml:space="preserve"> </v>
      </c>
      <c r="B32" s="2102"/>
      <c r="C32" s="2642"/>
      <c r="D32" s="2644"/>
      <c r="E32" s="2646"/>
      <c r="F32" s="2642"/>
      <c r="G32" s="2105" t="s">
        <v>2286</v>
      </c>
      <c r="H32" s="2106" t="s">
        <v>6115</v>
      </c>
      <c r="I32" s="2106" t="s">
        <v>6116</v>
      </c>
      <c r="J32" s="2106" t="s">
        <v>6117</v>
      </c>
      <c r="K32" s="2106" t="s">
        <v>6118</v>
      </c>
      <c r="L32" s="2106" t="s">
        <v>6115</v>
      </c>
      <c r="M32" s="2106" t="s">
        <v>6116</v>
      </c>
      <c r="N32" s="2106" t="s">
        <v>6117</v>
      </c>
      <c r="O32" s="2106" t="s">
        <v>6118</v>
      </c>
      <c r="P32" s="2642"/>
      <c r="Q32" s="2104"/>
      <c r="R32" s="2104"/>
      <c r="S32" s="2104"/>
      <c r="T32" s="2104"/>
      <c r="U32" s="2104"/>
      <c r="V32" s="2104"/>
      <c r="W32" s="2104"/>
      <c r="X32" s="2104"/>
      <c r="Y32" s="2104"/>
      <c r="Z32" s="2104"/>
    </row>
    <row r="33" spans="1:27" s="2099" customFormat="1" ht="15"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ht="15" outlineLevel="1">
      <c r="A34" s="2102" t="str">
        <f t="shared" ref="A34:A65" si="0">VLOOKUP(B34,DonGia,3,0)</f>
        <v>Máy biến áp 12,7/0,22-0,44kV  15kVA</v>
      </c>
      <c r="B34" s="2112" t="str">
        <f>IF($F$8=22,"TR151","TR15")</f>
        <v>TR151</v>
      </c>
      <c r="C34" s="2113">
        <f>IF(G34&gt;0,1,0)</f>
        <v>0</v>
      </c>
      <c r="D34" s="2114" t="s">
        <v>5582</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ht="15" outlineLevel="1">
      <c r="A35" s="2102" t="str">
        <f t="shared" si="0"/>
        <v>FCO 24kV - 100A</v>
      </c>
      <c r="B35" s="2112" t="str">
        <f>"FCO100-"&amp;$F$8</f>
        <v>FCO100-22</v>
      </c>
      <c r="C35" s="2113">
        <f t="shared" ref="C35:C41" si="5">IF(G35&gt;0,C34+1,C34)</f>
        <v>0</v>
      </c>
      <c r="D35" s="2114" t="s">
        <v>5597</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ht="15"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ht="15" outlineLevel="1">
      <c r="A37" s="2102" t="str">
        <f t="shared" si="0"/>
        <v>Chống sét van LA-18KV-10KA</v>
      </c>
      <c r="B37" s="2124" t="str">
        <f>"LA"&amp;F6</f>
        <v>LA18</v>
      </c>
      <c r="C37" s="2113">
        <f t="shared" si="5"/>
        <v>0</v>
      </c>
      <c r="D37" s="2114" t="s">
        <v>5601</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ht="15" outlineLevel="1">
      <c r="A38" s="2102" t="str">
        <f t="shared" si="0"/>
        <v>MCCB 3 cực 400V-75A - 10KA</v>
      </c>
      <c r="B38" s="2126" t="s">
        <v>81</v>
      </c>
      <c r="C38" s="2113">
        <f t="shared" si="5"/>
        <v>0</v>
      </c>
      <c r="D38" s="2114">
        <v>0</v>
      </c>
      <c r="E38" s="2115" t="s">
        <v>5678</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ht="15"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6119</v>
      </c>
      <c r="R39" s="2125"/>
    </row>
    <row r="40" spans="1:27" s="2099" customFormat="1" ht="15"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6119</v>
      </c>
      <c r="R40" s="2125"/>
    </row>
    <row r="41" spans="1:27" s="2099" customFormat="1" ht="15"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6119</v>
      </c>
      <c r="R41" s="2125"/>
    </row>
    <row r="42" spans="1:27" s="2099" customFormat="1" ht="15" outlineLevel="1">
      <c r="A42" s="2102" t="e">
        <f t="shared" si="0"/>
        <v>#N/A</v>
      </c>
      <c r="B42" s="2102"/>
      <c r="C42" s="2129"/>
      <c r="D42" s="2130"/>
      <c r="E42" s="2615"/>
      <c r="F42" s="2129"/>
      <c r="G42" s="2129"/>
      <c r="H42" s="2129"/>
      <c r="I42" s="2129"/>
      <c r="J42" s="2111" t="s">
        <v>6120</v>
      </c>
      <c r="K42" s="2129"/>
      <c r="L42" s="2111">
        <f>SUM(L34:L41)</f>
        <v>0</v>
      </c>
      <c r="M42" s="2111">
        <f>SUM(M34:M41)</f>
        <v>0</v>
      </c>
      <c r="N42" s="2111">
        <f>SUM(N34:N41)</f>
        <v>0</v>
      </c>
      <c r="O42" s="2111">
        <f>SUM(O34:O41)</f>
        <v>0</v>
      </c>
      <c r="P42" s="2129"/>
      <c r="R42" s="2125"/>
    </row>
    <row r="43" spans="1:27" s="2099" customFormat="1" ht="15"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ht="15"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ht="15" outlineLevel="1">
      <c r="A45" s="2102" t="e">
        <f t="shared" si="0"/>
        <v>#N/A</v>
      </c>
      <c r="B45" s="2124"/>
      <c r="C45" s="2139">
        <f>IF(G45&gt;0,C44+1,C44)</f>
        <v>0</v>
      </c>
      <c r="D45" s="2140"/>
      <c r="E45" s="2141" t="s">
        <v>6121</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5"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ht="15"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ht="15"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ht="15"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ht="15" outlineLevel="1">
      <c r="A50" s="2102" t="e">
        <f t="shared" si="0"/>
        <v>#N/A</v>
      </c>
      <c r="B50" s="2124"/>
      <c r="C50" s="2139">
        <f>IF(G50&gt;0,C45+1,C45)</f>
        <v>0</v>
      </c>
      <c r="D50" s="2140"/>
      <c r="E50" s="2141" t="s">
        <v>6122</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5"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ht="15" outlineLevel="1">
      <c r="A52" s="2102" t="str">
        <f t="shared" si="0"/>
        <v>Đà cản BTCT 1,2m</v>
      </c>
      <c r="B52" s="2127" t="s">
        <v>636</v>
      </c>
      <c r="C52" s="2121"/>
      <c r="D52" s="2114" t="s">
        <v>5046</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ht="15" outlineLevel="1">
      <c r="A53" s="2102" t="str">
        <f t="shared" si="0"/>
        <v>Boulon 22x650+ 2 long đền vuông D24-50x50x3/Zn</v>
      </c>
      <c r="B53" s="2127" t="s">
        <v>566</v>
      </c>
      <c r="C53" s="2121"/>
      <c r="D53" s="2114">
        <v>0</v>
      </c>
      <c r="E53" s="2115" t="s">
        <v>5071</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ht="15" outlineLevel="1">
      <c r="A54" s="2102" t="str">
        <f t="shared" si="0"/>
        <v>Đào hố móng đất cấp 3 sâu &gt;1m</v>
      </c>
      <c r="B54" s="2127" t="s">
        <v>639</v>
      </c>
      <c r="C54" s="2121"/>
      <c r="D54" s="2114" t="s">
        <v>1747</v>
      </c>
      <c r="E54" s="2115" t="s">
        <v>5323</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ht="15" outlineLevel="1">
      <c r="A55" s="2102" t="str">
        <f t="shared" si="0"/>
        <v>Đắp đất hố móng, độ chặt k=0,95</v>
      </c>
      <c r="B55" s="2127" t="s">
        <v>21</v>
      </c>
      <c r="C55" s="2121"/>
      <c r="D55" s="2114" t="s">
        <v>5324</v>
      </c>
      <c r="E55" s="2115" t="s">
        <v>5325</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ht="15" outlineLevel="1">
      <c r="A56" s="2102" t="e">
        <f t="shared" si="0"/>
        <v>#N/A</v>
      </c>
      <c r="B56" s="2124"/>
      <c r="C56" s="2139">
        <f>IF(G56&gt;0,C50+1,C50)</f>
        <v>0</v>
      </c>
      <c r="D56" s="2140"/>
      <c r="E56" s="2141" t="s">
        <v>6123</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5"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ht="15" outlineLevel="1">
      <c r="A58" s="2102" t="str">
        <f t="shared" si="0"/>
        <v>Đà Composite 110x80x5x800</v>
      </c>
      <c r="B58" s="2127" t="s">
        <v>5156</v>
      </c>
      <c r="C58" s="2121"/>
      <c r="D58" s="2114">
        <v>0</v>
      </c>
      <c r="E58" s="2115" t="s">
        <v>4864</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ht="15" outlineLevel="1">
      <c r="A59" s="2102" t="str">
        <f t="shared" si="0"/>
        <v>Chống Composite 40x10x710</v>
      </c>
      <c r="B59" s="2127" t="s">
        <v>5160</v>
      </c>
      <c r="C59" s="2121"/>
      <c r="D59" s="2144"/>
      <c r="E59" s="2115" t="s">
        <v>5161</v>
      </c>
      <c r="F59" s="2114" t="s">
        <v>5159</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ht="15" outlineLevel="1">
      <c r="A60" s="2102" t="str">
        <f t="shared" si="0"/>
        <v>Bass LL bắt FCO, LA</v>
      </c>
      <c r="B60" s="2127" t="s">
        <v>2271</v>
      </c>
      <c r="C60" s="2121"/>
      <c r="D60" s="2144"/>
      <c r="E60" s="2115" t="s">
        <v>5077</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ht="15" outlineLevel="1">
      <c r="A61" s="2102" t="str">
        <f t="shared" si="0"/>
        <v>Nắp che đầu cực FCO</v>
      </c>
      <c r="B61" s="2124" t="s">
        <v>6124</v>
      </c>
      <c r="C61" s="2121"/>
      <c r="D61" s="2144"/>
      <c r="E61" s="2115" t="s">
        <v>5699</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ht="15" outlineLevel="1">
      <c r="A62" s="2102" t="str">
        <f t="shared" si="0"/>
        <v>Nắp che đầu cực LA</v>
      </c>
      <c r="B62" s="2124" t="s">
        <v>6125</v>
      </c>
      <c r="C62" s="2121"/>
      <c r="D62" s="2144"/>
      <c r="E62" s="2115" t="s">
        <v>5705</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ht="15"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ht="15"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ht="15" outlineLevel="1">
      <c r="A65" s="2102" t="str">
        <f t="shared" si="0"/>
        <v>Lắp xà đỡ ≤ 25kg</v>
      </c>
      <c r="B65" s="2127" t="s">
        <v>1995</v>
      </c>
      <c r="C65" s="2121"/>
      <c r="D65" s="2114" t="s">
        <v>5377</v>
      </c>
      <c r="E65" s="2115" t="s">
        <v>5378</v>
      </c>
      <c r="F65" s="2114" t="s">
        <v>2439</v>
      </c>
      <c r="G65" s="2121">
        <f>G56</f>
        <v>0</v>
      </c>
      <c r="H65" s="2117">
        <v>0</v>
      </c>
      <c r="I65" s="2122"/>
      <c r="J65" s="2147" t="s">
        <v>6305</v>
      </c>
      <c r="K65" s="2117">
        <v>0</v>
      </c>
      <c r="L65" s="2123">
        <f t="shared" si="6"/>
        <v>0</v>
      </c>
      <c r="M65" s="2123">
        <f t="shared" si="7"/>
        <v>0</v>
      </c>
      <c r="N65" s="2148">
        <v>0</v>
      </c>
      <c r="O65" s="2122">
        <f t="shared" si="8"/>
        <v>0</v>
      </c>
      <c r="P65" s="2149"/>
    </row>
    <row r="66" spans="1:16" s="2099" customFormat="1" ht="15" outlineLevel="1">
      <c r="A66" s="2102" t="e">
        <f t="shared" ref="A66:A97" si="10">VLOOKUP(B66,DonGia,3,0)</f>
        <v>#N/A</v>
      </c>
      <c r="B66" s="2124"/>
      <c r="C66" s="2139">
        <f>IF(G66&gt;0,C56+1,C56)</f>
        <v>0</v>
      </c>
      <c r="D66" s="2140"/>
      <c r="E66" s="2141" t="s">
        <v>6126</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5"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ht="15" outlineLevel="1">
      <c r="A68" s="2102" t="str">
        <f t="shared" si="10"/>
        <v>Cáp đồng trần M25mm2</v>
      </c>
      <c r="B68" s="2124" t="s">
        <v>1033</v>
      </c>
      <c r="C68" s="2121"/>
      <c r="D68" s="2114">
        <v>0</v>
      </c>
      <c r="E68" s="2115" t="s">
        <v>6306</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ht="15" outlineLevel="1">
      <c r="A69" s="2102" t="str">
        <f t="shared" si="10"/>
        <v>Cọc tiếp đất Þ 16- 2,4m + kẹp cọc mạ đồng</v>
      </c>
      <c r="B69" s="2127" t="s">
        <v>1508</v>
      </c>
      <c r="C69" s="2121"/>
      <c r="D69" s="2114">
        <v>0</v>
      </c>
      <c r="E69" s="2115" t="s">
        <v>5162</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ht="15"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ht="15"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ht="15"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ht="15" outlineLevel="1">
      <c r="A73" s="2102" t="str">
        <f t="shared" si="10"/>
        <v>Cổ dê kẹp ống PVC  21</v>
      </c>
      <c r="B73" s="2127" t="s">
        <v>525</v>
      </c>
      <c r="C73" s="2121"/>
      <c r="D73" s="2114">
        <v>0</v>
      </c>
      <c r="E73" s="2115" t="s">
        <v>6307</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ht="15" outlineLevel="1">
      <c r="A74" s="2102" t="str">
        <f t="shared" si="10"/>
        <v>Cổ dê kẹp ống PVC  21</v>
      </c>
      <c r="B74" s="2127" t="s">
        <v>525</v>
      </c>
      <c r="C74" s="2121"/>
      <c r="D74" s="2114">
        <v>0</v>
      </c>
      <c r="E74" s="2115" t="s">
        <v>6308</v>
      </c>
      <c r="F74" s="2114" t="s">
        <v>2439</v>
      </c>
      <c r="G74" s="2151">
        <f>G66*0.452</f>
        <v>0</v>
      </c>
      <c r="H74" s="2117">
        <v>43000</v>
      </c>
      <c r="I74" s="2122"/>
      <c r="J74" s="2117"/>
      <c r="K74" s="2117">
        <v>0</v>
      </c>
      <c r="L74" s="2123">
        <f t="shared" si="6"/>
        <v>0</v>
      </c>
      <c r="M74" s="2123"/>
      <c r="N74" s="2117">
        <v>0</v>
      </c>
      <c r="O74" s="2122">
        <f t="shared" si="8"/>
        <v>0</v>
      </c>
      <c r="P74" s="2149"/>
    </row>
    <row r="75" spans="1:16" s="2099" customFormat="1" ht="15" outlineLevel="1">
      <c r="A75" s="2102" t="str">
        <f t="shared" si="10"/>
        <v>Cổ dê kẹp ống PVC  21</v>
      </c>
      <c r="B75" s="2127" t="s">
        <v>525</v>
      </c>
      <c r="C75" s="2121"/>
      <c r="D75" s="2114">
        <v>0</v>
      </c>
      <c r="E75" s="2115" t="s">
        <v>6309</v>
      </c>
      <c r="F75" s="2114" t="s">
        <v>2439</v>
      </c>
      <c r="G75" s="2151">
        <f>G66*0.501</f>
        <v>0</v>
      </c>
      <c r="H75" s="2117">
        <v>43000</v>
      </c>
      <c r="I75" s="2122"/>
      <c r="J75" s="2117"/>
      <c r="K75" s="2117">
        <v>0</v>
      </c>
      <c r="L75" s="2123">
        <f t="shared" si="6"/>
        <v>0</v>
      </c>
      <c r="M75" s="2123"/>
      <c r="N75" s="2117">
        <v>0</v>
      </c>
      <c r="O75" s="2122">
        <f t="shared" si="8"/>
        <v>0</v>
      </c>
      <c r="P75" s="2149"/>
    </row>
    <row r="76" spans="1:16" s="2099" customFormat="1" ht="15" outlineLevel="1">
      <c r="A76" s="2102" t="str">
        <f t="shared" si="10"/>
        <v>Lắp cổ dê</v>
      </c>
      <c r="B76" s="2127" t="s">
        <v>1131</v>
      </c>
      <c r="C76" s="2121"/>
      <c r="D76" s="2114" t="s">
        <v>5271</v>
      </c>
      <c r="E76" s="2115" t="s">
        <v>6310</v>
      </c>
      <c r="F76" s="2114" t="s">
        <v>2555</v>
      </c>
      <c r="G76" s="2151">
        <f>G67*0.501</f>
        <v>0</v>
      </c>
      <c r="H76" s="2117"/>
      <c r="I76" s="2122"/>
      <c r="J76" s="2117">
        <v>77000</v>
      </c>
      <c r="K76" s="2117">
        <v>0</v>
      </c>
      <c r="L76" s="2123">
        <f t="shared" si="6"/>
        <v>0</v>
      </c>
      <c r="M76" s="2123"/>
      <c r="N76" s="2117">
        <v>0</v>
      </c>
      <c r="O76" s="2122">
        <f t="shared" si="8"/>
        <v>0</v>
      </c>
      <c r="P76" s="2149"/>
    </row>
    <row r="77" spans="1:16" s="2099" customFormat="1" ht="15"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ht="15" outlineLevel="1">
      <c r="A78" s="2102" t="str">
        <f t="shared" si="10"/>
        <v>Đóng cọc tiếp địa trong TBA</v>
      </c>
      <c r="B78" s="2127" t="s">
        <v>902</v>
      </c>
      <c r="C78" s="2121"/>
      <c r="D78" s="2114" t="s">
        <v>5350</v>
      </c>
      <c r="E78" s="2115" t="s">
        <v>5351</v>
      </c>
      <c r="F78" s="2114" t="s">
        <v>2278</v>
      </c>
      <c r="G78" s="2121">
        <f>G69</f>
        <v>0</v>
      </c>
      <c r="H78" s="2117"/>
      <c r="I78" s="2117"/>
      <c r="J78" s="2117" t="s">
        <v>6311</v>
      </c>
      <c r="K78" s="2117">
        <v>1573.075</v>
      </c>
      <c r="L78" s="2123">
        <f t="shared" si="6"/>
        <v>0</v>
      </c>
      <c r="M78" s="2123">
        <f>I78*G78</f>
        <v>0</v>
      </c>
      <c r="N78" s="2117">
        <v>0</v>
      </c>
      <c r="O78" s="2122">
        <f t="shared" si="8"/>
        <v>0</v>
      </c>
      <c r="P78" s="2121"/>
    </row>
    <row r="79" spans="1:16" s="2099" customFormat="1" ht="15" outlineLevel="1">
      <c r="A79" s="2102" t="str">
        <f t="shared" si="10"/>
        <v>Kéo dây tiếp địa trong TBA</v>
      </c>
      <c r="B79" s="2127" t="s">
        <v>2183</v>
      </c>
      <c r="C79" s="2121"/>
      <c r="D79" s="2114" t="s">
        <v>5345</v>
      </c>
      <c r="E79" s="2115" t="s">
        <v>5346</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ht="15" outlineLevel="1">
      <c r="A80" s="2102" t="str">
        <f t="shared" si="10"/>
        <v>Đào rãnh tiếp địa đất cấp 3</v>
      </c>
      <c r="B80" s="2124" t="s">
        <v>1055</v>
      </c>
      <c r="C80" s="2121"/>
      <c r="D80" s="2114" t="s">
        <v>5335</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ht="15" outlineLevel="1">
      <c r="A81" s="2102" t="str">
        <f t="shared" si="10"/>
        <v>Đắp đất rãnh tiếp độ chặt k=0,85</v>
      </c>
      <c r="B81" s="2127" t="s">
        <v>1056</v>
      </c>
      <c r="C81" s="2121"/>
      <c r="D81" s="2114" t="s">
        <v>5324</v>
      </c>
      <c r="E81" s="2115" t="s">
        <v>5336</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ht="15"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5"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ht="15" outlineLevel="1">
      <c r="A84" s="2102" t="str">
        <f t="shared" si="10"/>
        <v>Tủ CB trạm 1 pha + khóa + boulon</v>
      </c>
      <c r="B84" s="2127" t="s">
        <v>616</v>
      </c>
      <c r="C84" s="2121"/>
      <c r="D84" s="2114" t="s">
        <v>5654</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ht="15"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ht="15" outlineLevel="1">
      <c r="A86" s="2102" t="str">
        <f t="shared" si="10"/>
        <v xml:space="preserve">Bakelit 550x450 dầy 10mm </v>
      </c>
      <c r="B86" s="2124" t="s">
        <v>880</v>
      </c>
      <c r="C86" s="2121"/>
      <c r="D86" s="2144"/>
      <c r="E86" s="2115" t="s">
        <v>5798</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ht="15" outlineLevel="1">
      <c r="A87" s="2102" t="e">
        <f t="shared" si="10"/>
        <v>#N/A</v>
      </c>
      <c r="B87" s="2124"/>
      <c r="C87" s="2136">
        <f>IF(G87&gt;0,C82+1,C82)</f>
        <v>0</v>
      </c>
      <c r="D87" s="2140"/>
      <c r="E87" s="2141" t="s">
        <v>6127</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5"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ht="15" outlineLevel="1">
      <c r="A89" s="2102" t="str">
        <f t="shared" si="10"/>
        <v>Cáp 24KV C/XLPE/PVC 25mm2</v>
      </c>
      <c r="B89" s="2153" t="s">
        <v>697</v>
      </c>
      <c r="C89" s="2121"/>
      <c r="D89" s="2114">
        <v>0</v>
      </c>
      <c r="E89" s="2115" t="s">
        <v>5086</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ht="15"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ht="15" outlineLevel="1">
      <c r="A91" s="2102" t="str">
        <f t="shared" si="10"/>
        <v>Kẹp hotline 2/0</v>
      </c>
      <c r="B91" s="2112" t="s">
        <v>1477</v>
      </c>
      <c r="C91" s="2121"/>
      <c r="D91" s="2114">
        <v>0</v>
      </c>
      <c r="E91" s="2115" t="s">
        <v>4334</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ht="15" outlineLevel="1">
      <c r="A92" s="2102" t="str">
        <f t="shared" si="10"/>
        <v>Lắp cáp đồng xuống thiết bị D ≤ 95mm2</v>
      </c>
      <c r="B92" s="2112" t="s">
        <v>1525</v>
      </c>
      <c r="C92" s="2121"/>
      <c r="D92" s="2114" t="s">
        <v>5570</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ht="15" outlineLevel="1">
      <c r="A93" s="2102" t="e">
        <f t="shared" si="10"/>
        <v>#N/A</v>
      </c>
      <c r="B93" s="2124"/>
      <c r="C93" s="2136">
        <f>IF(G93&gt;0,C87+1,C87)</f>
        <v>0</v>
      </c>
      <c r="D93" s="2140"/>
      <c r="E93" s="2141" t="s">
        <v>6128</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5"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ht="15"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ht="15"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ht="15"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ht="15" outlineLevel="1">
      <c r="A98" s="2102" t="str">
        <f t="shared" ref="A98:A116" si="13">VLOOKUP(B98,DonGia,3,0)</f>
        <v>Đầu cosse ép Cu 50mm2</v>
      </c>
      <c r="B98" s="2124" t="str">
        <f>"Cos"&amp;RIGHT(B95,2)</f>
        <v>Cos50</v>
      </c>
      <c r="C98" s="2121"/>
      <c r="D98" s="2114" t="s">
        <v>5724</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ht="15" outlineLevel="1">
      <c r="A99" s="2102" t="str">
        <f t="shared" si="13"/>
        <v>Đầu cosse ép Cu 50mm2</v>
      </c>
      <c r="B99" s="2124" t="str">
        <f>"Cos"&amp;RIGHT(B96,2)</f>
        <v>Cos50</v>
      </c>
      <c r="C99" s="2121"/>
      <c r="D99" s="2114" t="s">
        <v>5724</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ht="15"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ht="15"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ht="15" outlineLevel="1">
      <c r="A102" s="2102" t="str">
        <f t="shared" si="13"/>
        <v>Nắp che đầu sứ MBA</v>
      </c>
      <c r="B102" s="2124" t="s">
        <v>6129</v>
      </c>
      <c r="C102" s="2121"/>
      <c r="D102" s="2114">
        <v>0</v>
      </c>
      <c r="E102" s="2115" t="s">
        <v>5707</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ht="15"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ht="15" outlineLevel="1">
      <c r="A104" s="2102" t="str">
        <f t="shared" si="13"/>
        <v>Cổ dê kẹp ống PVC Ø 90</v>
      </c>
      <c r="B104" s="2127" t="s">
        <v>276</v>
      </c>
      <c r="C104" s="2121"/>
      <c r="D104" s="2114">
        <v>0</v>
      </c>
      <c r="E104" s="2115" t="s">
        <v>5256</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ht="15" outlineLevel="1">
      <c r="A105" s="2102" t="str">
        <f t="shared" si="13"/>
        <v>Cổ dê kẹp ống PVC Ø 90</v>
      </c>
      <c r="B105" s="2127" t="s">
        <v>276</v>
      </c>
      <c r="C105" s="2121"/>
      <c r="D105" s="2114">
        <v>0</v>
      </c>
      <c r="E105" s="2115" t="s">
        <v>5256</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ht="15" outlineLevel="1">
      <c r="A106" s="2102" t="str">
        <f t="shared" si="13"/>
        <v>Cổ dê kẹp ống PVC Ø 90</v>
      </c>
      <c r="B106" s="2127" t="s">
        <v>276</v>
      </c>
      <c r="C106" s="2121"/>
      <c r="D106" s="2114">
        <v>0</v>
      </c>
      <c r="E106" s="2115" t="s">
        <v>5256</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ht="15" outlineLevel="1">
      <c r="A107" s="2102" t="str">
        <f t="shared" si="13"/>
        <v>Lắp cổ dê</v>
      </c>
      <c r="B107" s="2127" t="s">
        <v>1131</v>
      </c>
      <c r="C107" s="2121"/>
      <c r="D107" s="2114" t="s">
        <v>5271</v>
      </c>
      <c r="E107" s="2115" t="s">
        <v>5469</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ht="15"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ht="15" outlineLevel="1">
      <c r="A109" s="2102" t="str">
        <f t="shared" si="13"/>
        <v>Co  90 độ PVC 90</v>
      </c>
      <c r="B109" s="2124" t="s">
        <v>69</v>
      </c>
      <c r="C109" s="2121"/>
      <c r="D109" s="2114">
        <v>0</v>
      </c>
      <c r="E109" s="2115" t="s">
        <v>5796</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ht="15"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ht="15"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ht="15" outlineLevel="1">
      <c r="A112" s="2102" t="str">
        <f t="shared" si="13"/>
        <v>Keo silicon bít miệng ống</v>
      </c>
      <c r="B112" s="2124" t="s">
        <v>489</v>
      </c>
      <c r="C112" s="2121"/>
      <c r="D112" s="2114">
        <v>0</v>
      </c>
      <c r="E112" s="2115" t="s">
        <v>3567</v>
      </c>
      <c r="F112" s="2114" t="s">
        <v>5805</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ht="15" outlineLevel="1">
      <c r="A113" s="2102" t="str">
        <f t="shared" si="13"/>
        <v>Lắp ống nhựa PVC D90</v>
      </c>
      <c r="B113" s="2124" t="s">
        <v>2182</v>
      </c>
      <c r="C113" s="2121"/>
      <c r="D113" s="2114" t="s">
        <v>5546</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ht="15" outlineLevel="1">
      <c r="A114" s="2102" t="str">
        <f t="shared" si="13"/>
        <v>Lắp cáp đồng xuống thiết bị D ≤ 95mm2</v>
      </c>
      <c r="B114" s="2124" t="s">
        <v>1525</v>
      </c>
      <c r="C114" s="2121"/>
      <c r="D114" s="2114" t="s">
        <v>5570</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ht="15" outlineLevel="1">
      <c r="A115" s="2102" t="str">
        <f t="shared" si="13"/>
        <v>Bảng tên trạm, bảng báo nguy hiểm + đinh vít</v>
      </c>
      <c r="B115" s="2124" t="s">
        <v>289</v>
      </c>
      <c r="C115" s="2154">
        <f>IF(G115&gt;0,C93+1,C93)</f>
        <v>0</v>
      </c>
      <c r="D115" s="2155"/>
      <c r="E115" s="2115" t="s">
        <v>5711</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ht="15" outlineLevel="1">
      <c r="A116" s="2102" t="e">
        <f t="shared" si="13"/>
        <v>#N/A</v>
      </c>
      <c r="B116" s="2124"/>
      <c r="C116" s="2159"/>
      <c r="D116" s="2160"/>
      <c r="E116" s="2109"/>
      <c r="F116" s="2616"/>
      <c r="G116" s="2616"/>
      <c r="H116" s="2616"/>
      <c r="I116" s="2616"/>
      <c r="J116" s="2652" t="s">
        <v>6130</v>
      </c>
      <c r="K116" s="2652"/>
      <c r="L116" s="2161">
        <f>SUM(L44:L115)</f>
        <v>0</v>
      </c>
      <c r="M116" s="2161"/>
      <c r="N116" s="2161">
        <f>SUM(N44:N115)</f>
        <v>0</v>
      </c>
      <c r="O116" s="2161">
        <f>SUM(O44:O115)</f>
        <v>0</v>
      </c>
      <c r="P116" s="2129"/>
    </row>
    <row r="117" spans="1:18" s="2099" customFormat="1" ht="13.9" customHeight="1">
      <c r="A117" s="2143" t="str">
        <f>IF(G122&lt;&gt;0,1,"")</f>
        <v/>
      </c>
      <c r="B117" s="2125"/>
      <c r="C117" s="2617"/>
      <c r="D117" s="2143"/>
    </row>
    <row r="118" spans="1:18" s="2099" customFormat="1" ht="15" outlineLevel="1">
      <c r="A118" s="2102" t="e">
        <f t="shared" ref="A118:A149" si="15">VLOOKUP(B118,DonGia,3,0)</f>
        <v>#N/A</v>
      </c>
      <c r="B118" s="2125"/>
      <c r="C118" s="2653" t="s">
        <v>6131</v>
      </c>
      <c r="D118" s="2618"/>
      <c r="E118" s="2653"/>
      <c r="F118" s="2653"/>
      <c r="G118" s="2653"/>
      <c r="H118" s="2653"/>
      <c r="I118" s="2653"/>
      <c r="J118" s="2653"/>
      <c r="K118" s="2653"/>
      <c r="L118" s="2653"/>
      <c r="M118" s="2653"/>
      <c r="N118" s="2653"/>
      <c r="O118" s="2653"/>
      <c r="P118" s="2653"/>
    </row>
    <row r="119" spans="1:18" s="2099" customFormat="1" ht="15" outlineLevel="1">
      <c r="A119" s="2102" t="e">
        <f t="shared" si="15"/>
        <v>#N/A</v>
      </c>
      <c r="B119" s="2124" t="s">
        <v>6111</v>
      </c>
      <c r="C119" s="2642" t="s">
        <v>1708</v>
      </c>
      <c r="D119" s="2643" t="s">
        <v>2597</v>
      </c>
      <c r="E119" s="2645" t="s">
        <v>2598</v>
      </c>
      <c r="F119" s="2642" t="s">
        <v>2593</v>
      </c>
      <c r="G119" s="2103" t="s">
        <v>6112</v>
      </c>
      <c r="H119" s="2106" t="s">
        <v>6113</v>
      </c>
      <c r="I119" s="2613"/>
      <c r="J119" s="2613"/>
      <c r="K119" s="2614"/>
      <c r="L119" s="2106" t="s">
        <v>6114</v>
      </c>
      <c r="M119" s="2613"/>
      <c r="N119" s="2613"/>
      <c r="O119" s="2614"/>
      <c r="P119" s="2642" t="s">
        <v>2599</v>
      </c>
    </row>
    <row r="120" spans="1:18" s="2099" customFormat="1" ht="15" outlineLevel="1">
      <c r="A120" s="2102" t="e">
        <f t="shared" si="15"/>
        <v>#N/A</v>
      </c>
      <c r="B120" s="2124"/>
      <c r="C120" s="2642"/>
      <c r="D120" s="2644"/>
      <c r="E120" s="2646"/>
      <c r="F120" s="2642"/>
      <c r="G120" s="2105" t="s">
        <v>2286</v>
      </c>
      <c r="H120" s="2106" t="s">
        <v>6115</v>
      </c>
      <c r="I120" s="2106" t="s">
        <v>6116</v>
      </c>
      <c r="J120" s="2106" t="s">
        <v>6117</v>
      </c>
      <c r="K120" s="2106" t="s">
        <v>6118</v>
      </c>
      <c r="L120" s="2106" t="s">
        <v>6115</v>
      </c>
      <c r="M120" s="2106" t="s">
        <v>6116</v>
      </c>
      <c r="N120" s="2106" t="s">
        <v>6117</v>
      </c>
      <c r="O120" s="2106" t="s">
        <v>6118</v>
      </c>
      <c r="P120" s="2642"/>
    </row>
    <row r="121" spans="1:18" s="2099" customFormat="1" ht="15"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ht="15" outlineLevel="1">
      <c r="A122" s="2102" t="str">
        <f t="shared" si="15"/>
        <v>Máy biến áp 12,7/0,22-0,44kV  25kVA</v>
      </c>
      <c r="B122" s="2112" t="str">
        <f>IF($F$8=22,"TR251","TR25")</f>
        <v>TR251</v>
      </c>
      <c r="C122" s="2113">
        <f>IF(G122&gt;0,1,0)</f>
        <v>0</v>
      </c>
      <c r="D122" s="2114" t="s">
        <v>5582</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ht="15" outlineLevel="1">
      <c r="A123" s="2102" t="str">
        <f t="shared" si="15"/>
        <v>FCO 24kV - 100A</v>
      </c>
      <c r="B123" s="2112" t="str">
        <f>"FCO100-"&amp;$F$8</f>
        <v>FCO100-22</v>
      </c>
      <c r="C123" s="2113">
        <f t="shared" ref="C123:C130" si="20">IF(G123&gt;0,C122+1,C122)</f>
        <v>0</v>
      </c>
      <c r="D123" s="2114" t="s">
        <v>5597</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ht="15"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ht="15" outlineLevel="1">
      <c r="A125" s="2102" t="str">
        <f t="shared" si="15"/>
        <v>Chống sét van LA-18KV-10KA</v>
      </c>
      <c r="B125" s="2124" t="str">
        <f>"LA"&amp;$F$6</f>
        <v>LA18</v>
      </c>
      <c r="C125" s="2113">
        <f>IF(G125&gt;0,C124+1,C124)</f>
        <v>0</v>
      </c>
      <c r="D125" s="2114" t="s">
        <v>5601</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ht="15" outlineLevel="1">
      <c r="A126" s="2102" t="str">
        <f t="shared" si="15"/>
        <v>MCCB 3 cực 400V -125A - 30KA</v>
      </c>
      <c r="B126" s="2126" t="s">
        <v>1419</v>
      </c>
      <c r="C126" s="2113">
        <f t="shared" si="20"/>
        <v>0</v>
      </c>
      <c r="D126" s="2114">
        <v>0</v>
      </c>
      <c r="E126" s="2115" t="s">
        <v>5679</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ht="15"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ht="15"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ht="15"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ht="15"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ht="15" outlineLevel="1">
      <c r="A131" s="2102" t="e">
        <f t="shared" si="15"/>
        <v>#N/A</v>
      </c>
      <c r="B131" s="2124"/>
      <c r="C131" s="2129"/>
      <c r="D131" s="2129"/>
      <c r="E131" s="2111"/>
      <c r="F131" s="2129"/>
      <c r="G131" s="2129"/>
      <c r="H131" s="2129"/>
      <c r="I131" s="2129"/>
      <c r="J131" s="2111" t="s">
        <v>6120</v>
      </c>
      <c r="K131" s="2129"/>
      <c r="L131" s="2111">
        <f>SUM(L122:L130)</f>
        <v>0</v>
      </c>
      <c r="M131" s="2111"/>
      <c r="N131" s="2111">
        <f>SUM(N122:N130)</f>
        <v>0</v>
      </c>
      <c r="O131" s="2111">
        <f>SUM(O122:O130)</f>
        <v>0</v>
      </c>
      <c r="P131" s="2164"/>
    </row>
    <row r="132" spans="1:18" s="2099" customFormat="1" ht="15"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ht="15"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ht="15"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5" outlineLevel="1">
      <c r="A135" s="2102" t="e">
        <f t="shared" si="15"/>
        <v>#N/A</v>
      </c>
      <c r="B135" s="2124"/>
      <c r="C135" s="2136"/>
      <c r="D135" s="2140"/>
      <c r="E135" s="2142" t="s">
        <v>6132</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ht="15"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ht="15"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ht="15"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ht="15"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5" outlineLevel="1">
      <c r="A140" s="2102" t="e">
        <f t="shared" si="15"/>
        <v>#N/A</v>
      </c>
      <c r="B140" s="2124"/>
      <c r="C140" s="2136"/>
      <c r="D140" s="2140"/>
      <c r="E140" s="2142" t="s">
        <v>6132</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ht="15" outlineLevel="1">
      <c r="A141" s="2102" t="str">
        <f t="shared" si="15"/>
        <v>Đà cản BTCT 1,2m</v>
      </c>
      <c r="B141" s="2127" t="s">
        <v>636</v>
      </c>
      <c r="C141" s="2121"/>
      <c r="D141" s="2114" t="s">
        <v>5046</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ht="15" outlineLevel="1">
      <c r="A142" s="2102" t="str">
        <f t="shared" si="15"/>
        <v>Boulon 22x550/100+ 2 long đền vuông D24-50x50x3/Zn</v>
      </c>
      <c r="B142" s="2127" t="s">
        <v>719</v>
      </c>
      <c r="C142" s="2121"/>
      <c r="D142" s="2114">
        <v>0</v>
      </c>
      <c r="E142" s="2115" t="s">
        <v>5070</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ht="15" outlineLevel="1">
      <c r="A143" s="2102" t="str">
        <f t="shared" si="15"/>
        <v>Đào hố móng đất cấp 3 sâu &gt;1m</v>
      </c>
      <c r="B143" s="2127" t="s">
        <v>639</v>
      </c>
      <c r="C143" s="2121"/>
      <c r="D143" s="2114" t="s">
        <v>1747</v>
      </c>
      <c r="E143" s="2115" t="s">
        <v>5323</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ht="15" outlineLevel="1">
      <c r="A144" s="2102" t="str">
        <f t="shared" si="15"/>
        <v>Đắp đất hố móng, độ chặt k=0,95</v>
      </c>
      <c r="B144" s="2127" t="s">
        <v>21</v>
      </c>
      <c r="C144" s="2121"/>
      <c r="D144" s="2114" t="s">
        <v>5324</v>
      </c>
      <c r="E144" s="2115" t="s">
        <v>5325</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ht="15"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5" outlineLevel="1">
      <c r="A146" s="2102" t="e">
        <f t="shared" si="15"/>
        <v>#N/A</v>
      </c>
      <c r="B146" s="2124"/>
      <c r="C146" s="2136"/>
      <c r="D146" s="2140"/>
      <c r="E146" s="2166" t="s">
        <v>6132</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ht="15" outlineLevel="1">
      <c r="A147" s="2102" t="str">
        <f t="shared" si="15"/>
        <v>Đà Composite 110x80x5x800</v>
      </c>
      <c r="B147" s="2167" t="s">
        <v>5156</v>
      </c>
      <c r="C147" s="2121"/>
      <c r="D147" s="2114">
        <v>0</v>
      </c>
      <c r="E147" s="2115" t="s">
        <v>4864</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ht="15" outlineLevel="1">
      <c r="A148" s="2102" t="str">
        <f t="shared" si="15"/>
        <v>Chống Composite 40x10x710</v>
      </c>
      <c r="B148" s="2127" t="s">
        <v>5160</v>
      </c>
      <c r="C148" s="2121"/>
      <c r="D148" s="2114">
        <v>0</v>
      </c>
      <c r="E148" s="2115" t="s">
        <v>5161</v>
      </c>
      <c r="F148" s="2114" t="s">
        <v>5159</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ht="15" outlineLevel="1">
      <c r="A149" s="2102" t="str">
        <f t="shared" si="15"/>
        <v>Bass LL bắt FCO, LA</v>
      </c>
      <c r="B149" s="2127" t="s">
        <v>1840</v>
      </c>
      <c r="C149" s="2121"/>
      <c r="D149" s="2114">
        <v>0</v>
      </c>
      <c r="E149" s="2115" t="s">
        <v>5077</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ht="15" outlineLevel="1">
      <c r="A150" s="2102" t="str">
        <f t="shared" ref="A150:A181" si="25">VLOOKUP(B150,DonGia,3,0)</f>
        <v>Nắp che đầu cực FCO</v>
      </c>
      <c r="B150" s="2127" t="s">
        <v>6124</v>
      </c>
      <c r="C150" s="2121"/>
      <c r="D150" s="2114">
        <v>0</v>
      </c>
      <c r="E150" s="2115" t="s">
        <v>5699</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ht="15" outlineLevel="1">
      <c r="A151" s="2102" t="str">
        <f t="shared" si="25"/>
        <v>Nắp che đầu cực LA</v>
      </c>
      <c r="B151" s="2127" t="s">
        <v>6125</v>
      </c>
      <c r="C151" s="2121"/>
      <c r="D151" s="2114">
        <v>0</v>
      </c>
      <c r="E151" s="2115" t="s">
        <v>5705</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ht="15"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ht="15"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ht="15" outlineLevel="1">
      <c r="A154" s="2102" t="str">
        <f t="shared" si="25"/>
        <v>Lắp xà đỡ ≤ 25kg</v>
      </c>
      <c r="B154" s="2127" t="s">
        <v>1995</v>
      </c>
      <c r="C154" s="2121"/>
      <c r="D154" s="2114" t="s">
        <v>5377</v>
      </c>
      <c r="E154" s="2115" t="s">
        <v>5378</v>
      </c>
      <c r="F154" s="2114" t="s">
        <v>2439</v>
      </c>
      <c r="G154" s="2121">
        <f>G145</f>
        <v>0</v>
      </c>
      <c r="H154" s="2117">
        <v>0</v>
      </c>
      <c r="I154" s="2122"/>
      <c r="J154" s="2147" t="s">
        <v>6305</v>
      </c>
      <c r="K154" s="2117">
        <v>0</v>
      </c>
      <c r="L154" s="2123">
        <f t="shared" si="21"/>
        <v>0</v>
      </c>
      <c r="M154" s="2123">
        <f>I154*G154</f>
        <v>0</v>
      </c>
      <c r="N154" s="2148">
        <f>106640*G154*1.5</f>
        <v>0</v>
      </c>
      <c r="O154" s="2122">
        <f t="shared" si="24"/>
        <v>0</v>
      </c>
      <c r="P154" s="2149"/>
    </row>
    <row r="155" spans="1:16" s="2099" customFormat="1" ht="15"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5" outlineLevel="1">
      <c r="A156" s="2102" t="e">
        <f t="shared" si="25"/>
        <v>#N/A</v>
      </c>
      <c r="B156" s="2124"/>
      <c r="C156" s="2121"/>
      <c r="D156" s="2144"/>
      <c r="E156" s="2166" t="s">
        <v>6132</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ht="15"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ht="15" outlineLevel="1">
      <c r="A158" s="2102" t="str">
        <f t="shared" si="25"/>
        <v>Cọc tiếp đất Þ 16- 2,4m + kẹp cọc mạ đồng</v>
      </c>
      <c r="B158" s="2127" t="s">
        <v>1508</v>
      </c>
      <c r="C158" s="2121"/>
      <c r="D158" s="2114">
        <v>0</v>
      </c>
      <c r="E158" s="2115" t="s">
        <v>5162</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ht="15"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ht="15"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ht="15" outlineLevel="1">
      <c r="A161" s="2102" t="str">
        <f t="shared" si="25"/>
        <v>Đầu cosse ép Cu 25mm2</v>
      </c>
      <c r="B161" s="2124" t="s">
        <v>1073</v>
      </c>
      <c r="C161" s="2121"/>
      <c r="D161" s="2114" t="s">
        <v>5723</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ht="15"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ht="15"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ht="15" outlineLevel="1">
      <c r="A164" s="2102" t="str">
        <f t="shared" si="25"/>
        <v>Cổ dê kẹp ống PVC  21</v>
      </c>
      <c r="B164" s="2127" t="s">
        <v>525</v>
      </c>
      <c r="C164" s="2121"/>
      <c r="D164" s="2114"/>
      <c r="E164" s="2115" t="s">
        <v>5251</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ht="15" outlineLevel="1">
      <c r="A165" s="2102" t="str">
        <f t="shared" si="25"/>
        <v>Lắp cổ dê</v>
      </c>
      <c r="B165" s="2127" t="s">
        <v>1130</v>
      </c>
      <c r="C165" s="2121"/>
      <c r="D165" s="2114" t="s">
        <v>5271</v>
      </c>
      <c r="E165" s="2115" t="s">
        <v>5469</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ht="15" outlineLevel="1">
      <c r="A166" s="2102" t="str">
        <f t="shared" si="25"/>
        <v>Đóng cọc tiếp địa trong TBA</v>
      </c>
      <c r="B166" s="2127" t="s">
        <v>902</v>
      </c>
      <c r="C166" s="2121"/>
      <c r="D166" s="2114" t="s">
        <v>5350</v>
      </c>
      <c r="E166" s="2115" t="s">
        <v>5351</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ht="15" outlineLevel="1">
      <c r="A167" s="2102" t="str">
        <f t="shared" si="25"/>
        <v>Kéo dây tiếp địa trong TBA</v>
      </c>
      <c r="B167" s="2127" t="s">
        <v>2183</v>
      </c>
      <c r="C167" s="2121"/>
      <c r="D167" s="2114" t="s">
        <v>5345</v>
      </c>
      <c r="E167" s="2115" t="s">
        <v>5346</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ht="15" outlineLevel="1">
      <c r="A168" s="2102" t="str">
        <f t="shared" si="25"/>
        <v>Đào rãnh tiếp địa đất cấp 3</v>
      </c>
      <c r="B168" s="2124" t="s">
        <v>1055</v>
      </c>
      <c r="C168" s="2121"/>
      <c r="D168" s="2114" t="s">
        <v>5335</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ht="15" outlineLevel="1">
      <c r="A169" s="2102" t="str">
        <f t="shared" si="25"/>
        <v>Đắp đất rãnh tiếp độ chặt k=0,85</v>
      </c>
      <c r="B169" s="2127" t="s">
        <v>1056</v>
      </c>
      <c r="C169" s="2121"/>
      <c r="D169" s="2114" t="s">
        <v>5324</v>
      </c>
      <c r="E169" s="2115" t="s">
        <v>5336</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ht="15"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5" outlineLevel="1">
      <c r="A171" s="2102" t="e">
        <f t="shared" si="25"/>
        <v>#N/A</v>
      </c>
      <c r="B171" s="2124"/>
      <c r="C171" s="2136"/>
      <c r="D171" s="2140"/>
      <c r="E171" s="2166" t="s">
        <v>6132</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ht="15" outlineLevel="1">
      <c r="A172" s="2102" t="str">
        <f t="shared" si="25"/>
        <v>Tủ MCCB trạm treo 1 pha</v>
      </c>
      <c r="B172" s="2124" t="s">
        <v>5653</v>
      </c>
      <c r="C172" s="2121"/>
      <c r="D172" s="2114" t="s">
        <v>5654</v>
      </c>
      <c r="E172" s="2115" t="s">
        <v>5655</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ht="15"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ht="15" outlineLevel="1">
      <c r="A174" s="2102" t="str">
        <f t="shared" si="25"/>
        <v xml:space="preserve">Bakelit 550x450 dầy 10mm </v>
      </c>
      <c r="B174" s="2124" t="s">
        <v>880</v>
      </c>
      <c r="C174" s="2121"/>
      <c r="D174" s="2114">
        <v>0</v>
      </c>
      <c r="E174" s="2115" t="s">
        <v>5798</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ht="15"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ht="15" outlineLevel="1">
      <c r="A176" s="2102" t="e">
        <f t="shared" si="25"/>
        <v>#N/A</v>
      </c>
      <c r="B176" s="2124"/>
      <c r="C176" s="2136">
        <f>IF(G176&gt;0,C170+1,C170)</f>
        <v>0</v>
      </c>
      <c r="D176" s="2140"/>
      <c r="E176" s="2165" t="s">
        <v>6133</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5" outlineLevel="1">
      <c r="A177" s="2102" t="e">
        <f t="shared" si="25"/>
        <v>#N/A</v>
      </c>
      <c r="B177" s="2124"/>
      <c r="C177" s="2136"/>
      <c r="D177" s="2140"/>
      <c r="E177" s="2166" t="s">
        <v>6132</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ht="15" outlineLevel="1">
      <c r="A178" s="2102" t="str">
        <f t="shared" si="25"/>
        <v>Cáp 24KV C/XLPE/PVC 25mm2</v>
      </c>
      <c r="B178" s="2153" t="s">
        <v>697</v>
      </c>
      <c r="C178" s="2121"/>
      <c r="D178" s="2114">
        <v>0</v>
      </c>
      <c r="E178" s="2115" t="s">
        <v>5086</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ht="15"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ht="15"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ht="15" outlineLevel="1">
      <c r="A181" s="2102" t="str">
        <f t="shared" si="25"/>
        <v>Kẹp hotline 2/0</v>
      </c>
      <c r="B181" s="2112" t="s">
        <v>1477</v>
      </c>
      <c r="C181" s="2121"/>
      <c r="D181" s="2114">
        <v>0</v>
      </c>
      <c r="E181" s="2115" t="s">
        <v>4334</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ht="15"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ht="15"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ht="15" outlineLevel="1">
      <c r="A184" s="2102" t="str">
        <f t="shared" si="26"/>
        <v>Lắp sứ đứng 24KV</v>
      </c>
      <c r="B184" s="2112" t="s">
        <v>347</v>
      </c>
      <c r="C184" s="2121"/>
      <c r="D184" s="2114" t="s">
        <v>5559</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ht="15" outlineLevel="1">
      <c r="A185" s="2102" t="str">
        <f t="shared" si="26"/>
        <v>Lắp cáp đồng xuống thiết bị D ≤ 95mm2</v>
      </c>
      <c r="B185" s="2112" t="s">
        <v>1525</v>
      </c>
      <c r="C185" s="2121"/>
      <c r="D185" s="2114" t="s">
        <v>5570</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ht="15" outlineLevel="1">
      <c r="A186" s="2102" t="e">
        <f t="shared" si="26"/>
        <v>#N/A</v>
      </c>
      <c r="B186" s="2124"/>
      <c r="C186" s="2136">
        <f>IF(G186&gt;0,C176+1,C176)</f>
        <v>0</v>
      </c>
      <c r="D186" s="2140"/>
      <c r="E186" s="2168" t="s">
        <v>6134</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5" outlineLevel="1">
      <c r="A187" s="2102" t="e">
        <f t="shared" si="26"/>
        <v>#N/A</v>
      </c>
      <c r="B187" s="2124"/>
      <c r="C187" s="2136"/>
      <c r="D187" s="2140"/>
      <c r="E187" s="2166" t="s">
        <v>6132</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ht="15"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ht="15"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ht="15" outlineLevel="1">
      <c r="A190" s="2102" t="str">
        <f t="shared" si="26"/>
        <v>Đầu cosse ép Cu 50mm2</v>
      </c>
      <c r="B190" s="2124" t="str">
        <f>"Cos"&amp;RIGHT(B188,2)</f>
        <v>Cos50</v>
      </c>
      <c r="C190" s="2121"/>
      <c r="D190" s="2114" t="s">
        <v>5724</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ht="15"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ht="15" outlineLevel="1">
      <c r="A192" s="2102" t="str">
        <f t="shared" si="26"/>
        <v>Nắp che đầu sứ MBA</v>
      </c>
      <c r="B192" s="2127" t="s">
        <v>5706</v>
      </c>
      <c r="C192" s="2121"/>
      <c r="D192" s="2114">
        <v>0</v>
      </c>
      <c r="E192" s="2115" t="s">
        <v>5707</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ht="15"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ht="15" outlineLevel="1">
      <c r="A194" s="2102" t="str">
        <f t="shared" si="26"/>
        <v>Cổ dê kẹp ống PVC Ø 90</v>
      </c>
      <c r="B194" s="2127" t="s">
        <v>276</v>
      </c>
      <c r="C194" s="2121"/>
      <c r="D194" s="2114">
        <v>0</v>
      </c>
      <c r="E194" s="2115" t="s">
        <v>5256</v>
      </c>
      <c r="F194" s="2114" t="s">
        <v>2439</v>
      </c>
      <c r="G194" s="2121">
        <f>G186*2</f>
        <v>0</v>
      </c>
      <c r="H194" s="2117">
        <v>49000</v>
      </c>
      <c r="I194" s="2122"/>
      <c r="J194" s="2117"/>
      <c r="K194" s="2117">
        <v>0</v>
      </c>
      <c r="L194" s="2123">
        <f>H194*G194</f>
        <v>0</v>
      </c>
      <c r="M194" s="2123"/>
      <c r="N194" s="2117"/>
      <c r="O194" s="2122">
        <f>K194*G194</f>
        <v>0</v>
      </c>
      <c r="P194" s="2149"/>
    </row>
    <row r="195" spans="1:16" s="2099" customFormat="1" ht="15"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ht="15" outlineLevel="1">
      <c r="A196" s="2102" t="str">
        <f t="shared" si="26"/>
        <v>Boulon 12x200+ 2 long đền vuông D14-50x50x3/Zn</v>
      </c>
      <c r="B196" s="2127" t="s">
        <v>6135</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ht="15" outlineLevel="1">
      <c r="A197" s="2102" t="str">
        <f t="shared" si="26"/>
        <v>Co  90 độ PVC 90</v>
      </c>
      <c r="B197" s="2124" t="s">
        <v>69</v>
      </c>
      <c r="C197" s="2121"/>
      <c r="D197" s="2114">
        <v>0</v>
      </c>
      <c r="E197" s="2115" t="s">
        <v>5796</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ht="15"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ht="15"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ht="15" outlineLevel="1">
      <c r="A200" s="2102" t="str">
        <f t="shared" si="26"/>
        <v>Keo silicon bít miệng ống</v>
      </c>
      <c r="B200" s="2124" t="s">
        <v>489</v>
      </c>
      <c r="C200" s="2121"/>
      <c r="D200" s="2114">
        <v>0</v>
      </c>
      <c r="E200" s="2115" t="s">
        <v>3567</v>
      </c>
      <c r="F200" s="2114" t="s">
        <v>5805</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ht="15" outlineLevel="1">
      <c r="A201" s="2102" t="str">
        <f t="shared" si="26"/>
        <v>Băng keo cách điện</v>
      </c>
      <c r="B201" s="2127" t="s">
        <v>672</v>
      </c>
      <c r="C201" s="2121"/>
      <c r="D201" s="2114">
        <v>0</v>
      </c>
      <c r="E201" s="2115" t="s">
        <v>5800</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ht="15" outlineLevel="1">
      <c r="A202" s="2102" t="str">
        <f t="shared" si="26"/>
        <v>Lắp ống nhựa PVC D90</v>
      </c>
      <c r="B202" s="2124" t="s">
        <v>2182</v>
      </c>
      <c r="C202" s="2121"/>
      <c r="D202" s="2114" t="s">
        <v>5546</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ht="15" outlineLevel="1">
      <c r="A203" s="2102" t="str">
        <f t="shared" si="26"/>
        <v>Lắp cáp đồng xuống thiết bị D ≤ 95mm2</v>
      </c>
      <c r="B203" s="2127" t="s">
        <v>1525</v>
      </c>
      <c r="C203" s="2121"/>
      <c r="D203" s="2114" t="s">
        <v>5570</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ht="15" outlineLevel="1">
      <c r="A204" s="2102" t="str">
        <f t="shared" si="26"/>
        <v>Bảng tên trạm, bảng báo nguy hiểm + đinh vít</v>
      </c>
      <c r="B204" s="2124" t="s">
        <v>289</v>
      </c>
      <c r="C204" s="2169">
        <f>IF(G204&gt;0,C186+1,C186)</f>
        <v>0</v>
      </c>
      <c r="D204" s="2170"/>
      <c r="E204" s="2115" t="s">
        <v>5711</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ht="15" outlineLevel="1">
      <c r="A205" s="2102" t="e">
        <f t="shared" si="26"/>
        <v>#N/A</v>
      </c>
      <c r="B205" s="2125"/>
      <c r="C205" s="2164"/>
      <c r="D205" s="2159"/>
      <c r="E205" s="2133"/>
      <c r="F205" s="2616"/>
      <c r="G205" s="2616"/>
      <c r="H205" s="2616"/>
      <c r="I205" s="2616"/>
      <c r="J205" s="2652" t="s">
        <v>6130</v>
      </c>
      <c r="K205" s="2652"/>
      <c r="L205" s="2161">
        <f>SUM(L133:L204)</f>
        <v>0</v>
      </c>
      <c r="M205" s="2161">
        <f>SUM(M133:M204)</f>
        <v>0</v>
      </c>
      <c r="N205" s="2161">
        <f>SUM(N133:N204)</f>
        <v>0</v>
      </c>
      <c r="O205" s="2161">
        <f>SUM(O133:O204)</f>
        <v>0</v>
      </c>
      <c r="P205" s="2164"/>
    </row>
    <row r="206" spans="1:16" s="2099" customFormat="1" ht="13.9" customHeight="1">
      <c r="A206" s="2143" t="str">
        <f>IF(G211&lt;&gt;0,1,"")</f>
        <v/>
      </c>
      <c r="B206" s="2125"/>
      <c r="C206" s="2617"/>
      <c r="D206" s="2143"/>
    </row>
    <row r="207" spans="1:16" s="2099" customFormat="1" ht="15" outlineLevel="1">
      <c r="A207" s="2102" t="e">
        <f t="shared" ref="A207:A238" si="27">VLOOKUP(B207,DonGia,3,0)</f>
        <v>#N/A</v>
      </c>
      <c r="B207" s="2125"/>
      <c r="C207" s="2653" t="s">
        <v>6136</v>
      </c>
      <c r="D207" s="2618"/>
      <c r="E207" s="2653"/>
      <c r="F207" s="2653"/>
      <c r="G207" s="2653"/>
      <c r="H207" s="2653"/>
      <c r="I207" s="2653"/>
      <c r="J207" s="2653"/>
      <c r="K207" s="2653"/>
      <c r="L207" s="2653"/>
      <c r="M207" s="2653"/>
      <c r="N207" s="2653"/>
      <c r="O207" s="2653"/>
      <c r="P207" s="2653"/>
    </row>
    <row r="208" spans="1:16" s="2099" customFormat="1" ht="15" outlineLevel="1">
      <c r="A208" s="2102" t="e">
        <f t="shared" si="27"/>
        <v>#N/A</v>
      </c>
      <c r="B208" s="2124" t="s">
        <v>6111</v>
      </c>
      <c r="C208" s="2642" t="s">
        <v>1708</v>
      </c>
      <c r="D208" s="2643" t="s">
        <v>2597</v>
      </c>
      <c r="E208" s="2645" t="s">
        <v>2598</v>
      </c>
      <c r="F208" s="2642" t="s">
        <v>2593</v>
      </c>
      <c r="G208" s="2103" t="s">
        <v>6112</v>
      </c>
      <c r="H208" s="2106" t="s">
        <v>6113</v>
      </c>
      <c r="I208" s="2613"/>
      <c r="J208" s="2613"/>
      <c r="K208" s="2614"/>
      <c r="L208" s="2106" t="s">
        <v>6114</v>
      </c>
      <c r="M208" s="2613"/>
      <c r="N208" s="2613"/>
      <c r="O208" s="2614"/>
      <c r="P208" s="2642" t="s">
        <v>2599</v>
      </c>
    </row>
    <row r="209" spans="1:18" s="2099" customFormat="1" ht="15" outlineLevel="1">
      <c r="A209" s="2102" t="e">
        <f t="shared" si="27"/>
        <v>#N/A</v>
      </c>
      <c r="B209" s="2124"/>
      <c r="C209" s="2642"/>
      <c r="D209" s="2644"/>
      <c r="E209" s="2646"/>
      <c r="F209" s="2642"/>
      <c r="G209" s="2105" t="s">
        <v>2286</v>
      </c>
      <c r="H209" s="2106" t="s">
        <v>6115</v>
      </c>
      <c r="I209" s="2106" t="s">
        <v>6116</v>
      </c>
      <c r="J209" s="2106" t="s">
        <v>6117</v>
      </c>
      <c r="K209" s="2106" t="s">
        <v>6118</v>
      </c>
      <c r="L209" s="2106" t="s">
        <v>6115</v>
      </c>
      <c r="M209" s="2106" t="s">
        <v>6116</v>
      </c>
      <c r="N209" s="2106" t="s">
        <v>6117</v>
      </c>
      <c r="O209" s="2106" t="s">
        <v>6118</v>
      </c>
      <c r="P209" s="2642"/>
    </row>
    <row r="210" spans="1:18" s="2099" customFormat="1" ht="15"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ht="15" outlineLevel="1">
      <c r="A211" s="2102" t="str">
        <f t="shared" si="27"/>
        <v>Máy biến áp 12,7/0,22-0,44kV  37,5kVA</v>
      </c>
      <c r="B211" s="2112" t="str">
        <f>IF($F$8=22,"TR371","TR37")</f>
        <v>TR371</v>
      </c>
      <c r="C211" s="2113">
        <f>IF(G211&gt;0,1,0)</f>
        <v>0</v>
      </c>
      <c r="D211" s="2114" t="s">
        <v>5583</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ht="15" outlineLevel="1">
      <c r="A212" s="2102" t="str">
        <f t="shared" si="27"/>
        <v>FCO 24kV - 100A</v>
      </c>
      <c r="B212" s="2112" t="str">
        <f>"FCO100-"&amp;$F$8</f>
        <v>FCO100-22</v>
      </c>
      <c r="C212" s="2113">
        <f t="shared" ref="C212:C217" si="32">IF(G212&gt;0,C211+1,C211)</f>
        <v>0</v>
      </c>
      <c r="D212" s="2114" t="s">
        <v>5597</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ht="15"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ht="15" outlineLevel="1">
      <c r="A214" s="2102" t="str">
        <f t="shared" si="27"/>
        <v>Chống sét van LA-18KV-10KA</v>
      </c>
      <c r="B214" s="2125" t="str">
        <f>"LA"&amp;$F$6</f>
        <v>LA18</v>
      </c>
      <c r="C214" s="2113">
        <f t="shared" si="32"/>
        <v>0</v>
      </c>
      <c r="D214" s="2114" t="s">
        <v>5601</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ht="15"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ht="15"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ht="15"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ht="15" outlineLevel="1">
      <c r="A218" s="2102" t="e">
        <f t="shared" si="27"/>
        <v>#N/A</v>
      </c>
      <c r="B218" s="2124"/>
      <c r="C218" s="2129"/>
      <c r="D218" s="2130"/>
      <c r="E218" s="2111"/>
      <c r="F218" s="2129"/>
      <c r="G218" s="2129"/>
      <c r="H218" s="2129"/>
      <c r="I218" s="2129"/>
      <c r="J218" s="2111" t="s">
        <v>6120</v>
      </c>
      <c r="K218" s="2129"/>
      <c r="L218" s="2111">
        <f>SUM(L211:L217)</f>
        <v>0</v>
      </c>
      <c r="M218" s="2111"/>
      <c r="N218" s="2111">
        <f>SUM(N211:N217)</f>
        <v>0</v>
      </c>
      <c r="O218" s="2111">
        <f>SUM(O211:O217)</f>
        <v>0</v>
      </c>
      <c r="P218" s="2164"/>
    </row>
    <row r="219" spans="1:18" s="2099" customFormat="1" ht="15"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ht="15"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ht="15" outlineLevel="1">
      <c r="A221" s="2102" t="e">
        <f t="shared" si="27"/>
        <v>#N/A</v>
      </c>
      <c r="B221" s="2124"/>
      <c r="C221" s="2139">
        <f>IF(G221&gt;0,C220+1,C220)</f>
        <v>0</v>
      </c>
      <c r="D221" s="2140"/>
      <c r="E221" s="2141" t="s">
        <v>6137</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5" outlineLevel="1">
      <c r="A222" s="2102" t="e">
        <f t="shared" si="27"/>
        <v>#N/A</v>
      </c>
      <c r="B222" s="2124"/>
      <c r="C222" s="2136"/>
      <c r="D222" s="2140"/>
      <c r="E222" s="2142" t="s">
        <v>6132</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ht="15"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ht="15"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ht="15"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ht="15"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5" outlineLevel="1">
      <c r="A227" s="2102" t="e">
        <f t="shared" si="27"/>
        <v>#N/A</v>
      </c>
      <c r="B227" s="2124"/>
      <c r="C227" s="2136"/>
      <c r="D227" s="2140"/>
      <c r="E227" s="2142" t="s">
        <v>6132</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ht="15" outlineLevel="1">
      <c r="A228" s="2102" t="str">
        <f t="shared" si="27"/>
        <v>Đà cản BTCT 1,2m</v>
      </c>
      <c r="B228" s="2127" t="s">
        <v>636</v>
      </c>
      <c r="C228" s="2121"/>
      <c r="D228" s="2114" t="s">
        <v>5046</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ht="15" outlineLevel="1">
      <c r="A229" s="2102" t="str">
        <f t="shared" si="27"/>
        <v>Boulon 22x650+ 2 long đền vuông D24-50x50x3/Zn</v>
      </c>
      <c r="B229" s="2127" t="s">
        <v>566</v>
      </c>
      <c r="C229" s="2121"/>
      <c r="D229" s="2114">
        <v>0</v>
      </c>
      <c r="E229" s="2115" t="s">
        <v>5071</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ht="15" outlineLevel="1">
      <c r="A230" s="2102" t="str">
        <f t="shared" si="27"/>
        <v>Đào hố móng đất cấp 3 sâu &gt;1m</v>
      </c>
      <c r="B230" s="2127" t="s">
        <v>639</v>
      </c>
      <c r="C230" s="2121"/>
      <c r="D230" s="2114" t="s">
        <v>1747</v>
      </c>
      <c r="E230" s="2115" t="s">
        <v>5323</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ht="15" outlineLevel="1">
      <c r="A231" s="2102" t="str">
        <f t="shared" si="27"/>
        <v>Đắp đất hố móng, độ chặt k=0,95</v>
      </c>
      <c r="B231" s="2127" t="s">
        <v>21</v>
      </c>
      <c r="C231" s="2121"/>
      <c r="D231" s="2114" t="s">
        <v>5324</v>
      </c>
      <c r="E231" s="2115" t="s">
        <v>5325</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ht="15"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5" outlineLevel="1">
      <c r="A233" s="2102" t="e">
        <f t="shared" si="27"/>
        <v>#N/A</v>
      </c>
      <c r="B233" s="2124"/>
      <c r="C233" s="2136"/>
      <c r="D233" s="2140"/>
      <c r="E233" s="2166" t="s">
        <v>6132</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ht="15" outlineLevel="1">
      <c r="A234" s="2102" t="str">
        <f t="shared" si="27"/>
        <v>Đà Composite 110x80x5x800</v>
      </c>
      <c r="B234" s="2127" t="s">
        <v>5156</v>
      </c>
      <c r="C234" s="2121"/>
      <c r="D234" s="2114">
        <v>0</v>
      </c>
      <c r="E234" s="2115" t="s">
        <v>4864</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ht="15" outlineLevel="1">
      <c r="A235" s="2102" t="str">
        <f t="shared" si="27"/>
        <v>Chống Composite 40x10x710</v>
      </c>
      <c r="B235" s="2127" t="s">
        <v>5160</v>
      </c>
      <c r="C235" s="2121"/>
      <c r="D235" s="2114">
        <v>0</v>
      </c>
      <c r="E235" s="2115" t="s">
        <v>5161</v>
      </c>
      <c r="F235" s="2114" t="s">
        <v>5159</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ht="15" outlineLevel="1">
      <c r="A236" s="2102" t="str">
        <f t="shared" si="27"/>
        <v>Bass LL bắt FCO, LA</v>
      </c>
      <c r="B236" s="2127" t="s">
        <v>1840</v>
      </c>
      <c r="C236" s="2121"/>
      <c r="D236" s="2114">
        <v>0</v>
      </c>
      <c r="E236" s="2115" t="s">
        <v>5077</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ht="15" outlineLevel="1">
      <c r="A237" s="2102" t="str">
        <f t="shared" si="27"/>
        <v>Nắp che đầu cực FCO</v>
      </c>
      <c r="B237" s="2127" t="s">
        <v>6124</v>
      </c>
      <c r="C237" s="2121"/>
      <c r="D237" s="2114">
        <v>0</v>
      </c>
      <c r="E237" s="2115" t="s">
        <v>5699</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ht="15"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ht="15"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ht="15"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ht="15" outlineLevel="1">
      <c r="A241" s="2102" t="str">
        <f t="shared" si="37"/>
        <v>Lắp xà đỡ composite dài 800mm (3kg)</v>
      </c>
      <c r="B241" s="2174" t="s">
        <v>5369</v>
      </c>
      <c r="C241" s="2121"/>
      <c r="D241" s="2114" t="s">
        <v>5147</v>
      </c>
      <c r="E241" s="2115" t="s">
        <v>5370</v>
      </c>
      <c r="F241" s="2114" t="s">
        <v>2439</v>
      </c>
      <c r="G241" s="2121">
        <f>G232</f>
        <v>0</v>
      </c>
      <c r="H241" s="2117">
        <v>0</v>
      </c>
      <c r="I241" s="2122"/>
      <c r="J241" s="2147" t="s">
        <v>6312</v>
      </c>
      <c r="K241" s="2117">
        <v>0</v>
      </c>
      <c r="L241" s="2123">
        <f t="shared" si="33"/>
        <v>0</v>
      </c>
      <c r="M241" s="2123">
        <f>I241*G241</f>
        <v>0</v>
      </c>
      <c r="N241" s="2148">
        <f>106640*G241*1.5</f>
        <v>0</v>
      </c>
      <c r="O241" s="2122">
        <f t="shared" si="36"/>
        <v>0</v>
      </c>
      <c r="P241" s="2149"/>
    </row>
    <row r="242" spans="1:16" s="2099" customFormat="1" ht="15"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5" outlineLevel="1">
      <c r="A243" s="2102" t="e">
        <f t="shared" si="37"/>
        <v>#N/A</v>
      </c>
      <c r="B243" s="2124"/>
      <c r="C243" s="2121"/>
      <c r="D243" s="2144"/>
      <c r="E243" s="2166" t="s">
        <v>6132</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ht="15" outlineLevel="1">
      <c r="A244" s="2102" t="str">
        <f t="shared" si="37"/>
        <v>Cáp đồng trần M25mm2</v>
      </c>
      <c r="B244" s="2124" t="s">
        <v>1033</v>
      </c>
      <c r="C244" s="2121"/>
      <c r="D244" s="2114">
        <v>0</v>
      </c>
      <c r="E244" s="2115" t="s">
        <v>6313</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ht="15" outlineLevel="1">
      <c r="A245" s="2102" t="str">
        <f t="shared" si="37"/>
        <v>Cọc tiếp đất Þ 16- 2,4m + kẹp cọc mạ đồng</v>
      </c>
      <c r="B245" s="2127" t="s">
        <v>1508</v>
      </c>
      <c r="C245" s="2121"/>
      <c r="D245" s="2114">
        <v>0</v>
      </c>
      <c r="E245" s="2115" t="s">
        <v>5162</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ht="15"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ht="15"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ht="15"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ht="15" outlineLevel="1">
      <c r="A249" s="2102" t="str">
        <f t="shared" si="37"/>
        <v>Cổ dê kẹp ống PVC  21</v>
      </c>
      <c r="B249" s="2127" t="s">
        <v>525</v>
      </c>
      <c r="C249" s="2121"/>
      <c r="D249" s="2114">
        <v>0</v>
      </c>
      <c r="E249" s="2115" t="s">
        <v>5251</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ht="15" outlineLevel="1">
      <c r="A250" s="2102" t="str">
        <f t="shared" si="37"/>
        <v>Kéo dây tiếp địa trong TBA</v>
      </c>
      <c r="B250" s="2124" t="s">
        <v>2183</v>
      </c>
      <c r="C250" s="2121"/>
      <c r="D250" s="2114" t="s">
        <v>5345</v>
      </c>
      <c r="E250" s="2115" t="s">
        <v>5346</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ht="15" outlineLevel="1">
      <c r="A251" s="2102" t="str">
        <f t="shared" si="37"/>
        <v>Đóng cọc tiếp địa trong TBA</v>
      </c>
      <c r="B251" s="2127" t="s">
        <v>902</v>
      </c>
      <c r="C251" s="2121"/>
      <c r="D251" s="2114" t="s">
        <v>5350</v>
      </c>
      <c r="E251" s="2115" t="s">
        <v>5351</v>
      </c>
      <c r="F251" s="2114" t="s">
        <v>2278</v>
      </c>
      <c r="G251" s="2121">
        <f>G245</f>
        <v>0</v>
      </c>
      <c r="H251" s="2117">
        <v>0</v>
      </c>
      <c r="I251" s="2122"/>
      <c r="J251" s="2117" t="s">
        <v>6314</v>
      </c>
      <c r="K251" s="2117">
        <v>1573.075</v>
      </c>
      <c r="L251" s="2123">
        <f>H251*G251</f>
        <v>0</v>
      </c>
      <c r="M251" s="2123">
        <f>I251*G251</f>
        <v>0</v>
      </c>
      <c r="N251" s="2117">
        <v>0</v>
      </c>
      <c r="O251" s="2122">
        <f>K251*G251</f>
        <v>0</v>
      </c>
      <c r="P251" s="2149"/>
    </row>
    <row r="252" spans="1:16" s="2099" customFormat="1" ht="15" outlineLevel="1">
      <c r="A252" s="2102" t="str">
        <f t="shared" si="37"/>
        <v>Đào rãnh tiếp địa đất cấp 3</v>
      </c>
      <c r="B252" s="2124" t="s">
        <v>1055</v>
      </c>
      <c r="C252" s="2121"/>
      <c r="D252" s="2114" t="s">
        <v>5335</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ht="15" outlineLevel="1">
      <c r="A253" s="2102" t="str">
        <f t="shared" si="37"/>
        <v>Đắp đất rãnh tiếp độ chặt k=0,85</v>
      </c>
      <c r="B253" s="2127" t="s">
        <v>1056</v>
      </c>
      <c r="C253" s="2121"/>
      <c r="D253" s="2114" t="s">
        <v>5324</v>
      </c>
      <c r="E253" s="2115" t="s">
        <v>5336</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ht="15"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5" outlineLevel="1">
      <c r="A255" s="2102" t="e">
        <f t="shared" si="37"/>
        <v>#N/A</v>
      </c>
      <c r="B255" s="2124"/>
      <c r="C255" s="2136"/>
      <c r="D255" s="2114"/>
      <c r="E255" s="2166" t="s">
        <v>6132</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ht="15" outlineLevel="1">
      <c r="A256" s="2102" t="str">
        <f t="shared" si="37"/>
        <v>Tủ MCCB trạm treo 1 pha</v>
      </c>
      <c r="B256" s="2175" t="s">
        <v>5653</v>
      </c>
      <c r="C256" s="2121"/>
      <c r="D256" s="2114" t="s">
        <v>5654</v>
      </c>
      <c r="E256" s="2115" t="s">
        <v>5655</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ht="15"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ht="15" outlineLevel="1">
      <c r="A258" s="2102" t="str">
        <f t="shared" si="37"/>
        <v xml:space="preserve">Bakelit 550x450 dầy 10mm </v>
      </c>
      <c r="B258" s="2124" t="s">
        <v>880</v>
      </c>
      <c r="C258" s="2121"/>
      <c r="D258" s="2114">
        <v>0</v>
      </c>
      <c r="E258" s="2115" t="s">
        <v>5798</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ht="15" outlineLevel="1">
      <c r="A259" s="2102" t="e">
        <f t="shared" si="37"/>
        <v>#N/A</v>
      </c>
      <c r="B259" s="2124"/>
      <c r="C259" s="2136">
        <f>IF(G259&gt;0,C254+1,C254)</f>
        <v>0</v>
      </c>
      <c r="D259" s="2114"/>
      <c r="E259" s="2165" t="s">
        <v>6138</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5" outlineLevel="1">
      <c r="A260" s="2102" t="e">
        <f t="shared" si="37"/>
        <v>#N/A</v>
      </c>
      <c r="B260" s="2124"/>
      <c r="C260" s="2136"/>
      <c r="D260" s="2114"/>
      <c r="E260" s="2166" t="s">
        <v>6132</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ht="15" outlineLevel="1">
      <c r="A261" s="2102" t="str">
        <f t="shared" si="37"/>
        <v>Cáp 24KV C/XLPE/PVC 25mm2</v>
      </c>
      <c r="B261" s="2153" t="s">
        <v>697</v>
      </c>
      <c r="C261" s="2121"/>
      <c r="D261" s="2114">
        <v>0</v>
      </c>
      <c r="E261" s="2115" t="s">
        <v>5086</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ht="15" outlineLevel="1">
      <c r="A262" s="2102" t="str">
        <f t="shared" si="37"/>
        <v>Nắp che đầu cực FCO</v>
      </c>
      <c r="B262" s="2127" t="s">
        <v>6124</v>
      </c>
      <c r="C262" s="2121"/>
      <c r="D262" s="2114">
        <v>0</v>
      </c>
      <c r="E262" s="2115" t="s">
        <v>5699</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ht="15" outlineLevel="1">
      <c r="A263" s="2102" t="str">
        <f t="shared" si="37"/>
        <v>Nắp che đầu cực LA</v>
      </c>
      <c r="B263" s="2127" t="s">
        <v>6125</v>
      </c>
      <c r="C263" s="2121"/>
      <c r="D263" s="2114">
        <v>0</v>
      </c>
      <c r="E263" s="2115" t="s">
        <v>5705</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ht="15" outlineLevel="1">
      <c r="A264" s="2102" t="str">
        <f t="shared" si="37"/>
        <v>Nắp che đầu sứ MBA</v>
      </c>
      <c r="B264" s="2112" t="s">
        <v>6129</v>
      </c>
      <c r="C264" s="2121"/>
      <c r="D264" s="2114">
        <v>0</v>
      </c>
      <c r="E264" s="2115" t="s">
        <v>5707</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ht="15" outlineLevel="1">
      <c r="A265" s="2102" t="str">
        <f t="shared" si="37"/>
        <v>Chụp cách điện kẹp quai</v>
      </c>
      <c r="B265" s="2112" t="s">
        <v>5703</v>
      </c>
      <c r="C265" s="2121"/>
      <c r="D265" s="2114">
        <v>0</v>
      </c>
      <c r="E265" s="2115" t="s">
        <v>4537</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ht="15"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ht="15" outlineLevel="1">
      <c r="A267" s="2102" t="str">
        <f t="shared" si="37"/>
        <v>Kẹp hotline 2/0</v>
      </c>
      <c r="B267" s="2112" t="s">
        <v>1477</v>
      </c>
      <c r="C267" s="2121"/>
      <c r="D267" s="2114"/>
      <c r="E267" s="2115" t="s">
        <v>4334</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ht="15" outlineLevel="1">
      <c r="A268" s="2102" t="str">
        <f t="shared" si="37"/>
        <v>Lắp cáp đồng xuống thiết bị D ≤ 95mm2</v>
      </c>
      <c r="B268" s="2112" t="s">
        <v>1525</v>
      </c>
      <c r="C268" s="2121"/>
      <c r="D268" s="2114" t="s">
        <v>5570</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ht="15" outlineLevel="1">
      <c r="A269" s="2102" t="e">
        <f t="shared" si="37"/>
        <v>#N/A</v>
      </c>
      <c r="B269" s="2124"/>
      <c r="C269" s="2136">
        <f>IF(G269&gt;0,C259+1,C259)</f>
        <v>0</v>
      </c>
      <c r="D269" s="2114"/>
      <c r="E269" s="2152" t="s">
        <v>6139</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5" outlineLevel="1">
      <c r="A270" s="2102" t="e">
        <f t="shared" si="37"/>
        <v>#N/A</v>
      </c>
      <c r="B270" s="2124"/>
      <c r="C270" s="2136"/>
      <c r="D270" s="2114"/>
      <c r="E270" s="2142" t="s">
        <v>6132</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ht="15" outlineLevel="1">
      <c r="A271" s="2102" t="str">
        <f t="shared" ref="A271:A294" si="38">VLOOKUP(B271,DonGia,3,0)</f>
        <v>Cáp đồng bọc CV50</v>
      </c>
      <c r="B271" s="2124" t="s">
        <v>273</v>
      </c>
      <c r="C271" s="2136"/>
      <c r="D271" s="2114">
        <v>0</v>
      </c>
      <c r="E271" s="2115" t="s">
        <v>6315</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ht="15" outlineLevel="1">
      <c r="A272" s="2102" t="str">
        <f t="shared" si="38"/>
        <v>Cáp đồng bọc CV25</v>
      </c>
      <c r="B272" s="2124" t="s">
        <v>1526</v>
      </c>
      <c r="C272" s="2136"/>
      <c r="D272" s="2114">
        <v>0</v>
      </c>
      <c r="E272" s="2115" t="s">
        <v>6316</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ht="15" outlineLevel="1">
      <c r="A273" s="2102" t="str">
        <f t="shared" si="38"/>
        <v xml:space="preserve">Cáp CVV 4x4mm2  </v>
      </c>
      <c r="B273" s="2124" t="s">
        <v>4517</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ht="15" outlineLevel="1">
      <c r="A274" s="2102" t="str">
        <f t="shared" si="38"/>
        <v>Cáp đồng bọc CV50</v>
      </c>
      <c r="B274" s="2124" t="s">
        <v>273</v>
      </c>
      <c r="C274" s="2121"/>
      <c r="D274" s="2114">
        <v>0</v>
      </c>
      <c r="E274" s="2115" t="s">
        <v>6317</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ht="15" outlineLevel="1">
      <c r="A275" s="2102" t="str">
        <f t="shared" si="38"/>
        <v>Kẹp ép WR cỡ dây 50mm2</v>
      </c>
      <c r="B275" s="2124" t="s">
        <v>905</v>
      </c>
      <c r="C275" s="2121"/>
      <c r="D275" s="2114">
        <v>0</v>
      </c>
      <c r="E275" s="2115" t="s">
        <v>6318</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ht="15" outlineLevel="1">
      <c r="A276" s="2102" t="str">
        <f t="shared" si="38"/>
        <v>Kẹp ép WR cỡ dây 50mm2</v>
      </c>
      <c r="B276" s="2124" t="s">
        <v>905</v>
      </c>
      <c r="C276" s="2121"/>
      <c r="D276" s="2114">
        <v>0</v>
      </c>
      <c r="E276" s="2115" t="s">
        <v>6319</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ht="15" outlineLevel="1">
      <c r="A277" s="2102" t="str">
        <f t="shared" si="38"/>
        <v>Băng keo cách điện</v>
      </c>
      <c r="B277" s="2124" t="s">
        <v>6140</v>
      </c>
      <c r="C277" s="2121"/>
      <c r="D277" s="2114">
        <v>0</v>
      </c>
      <c r="E277" s="2115" t="s">
        <v>5800</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ht="15" outlineLevel="1">
      <c r="A278" s="2102" t="str">
        <f t="shared" si="38"/>
        <v xml:space="preserve">Đầu cosse ép Cu 25mm2 </v>
      </c>
      <c r="B278" s="2124" t="s">
        <v>6141</v>
      </c>
      <c r="C278" s="2121"/>
      <c r="D278" s="2114" t="s">
        <v>5723</v>
      </c>
      <c r="E278" s="2115" t="s">
        <v>5736</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ht="15" outlineLevel="1">
      <c r="A279" s="2102" t="str">
        <f t="shared" si="38"/>
        <v xml:space="preserve">Đầu cosse ép Cu 25mm2 </v>
      </c>
      <c r="B279" s="2124" t="s">
        <v>6141</v>
      </c>
      <c r="C279" s="2121"/>
      <c r="D279" s="2114" t="s">
        <v>5723</v>
      </c>
      <c r="E279" s="2115" t="s">
        <v>5736</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ht="15" outlineLevel="1">
      <c r="A280" s="2102" t="str">
        <f t="shared" si="38"/>
        <v>Đầu cosse ép Cu 50mm2</v>
      </c>
      <c r="B280" s="2124" t="s">
        <v>6142</v>
      </c>
      <c r="C280" s="2121"/>
      <c r="D280" s="2114" t="s">
        <v>5724</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ht="15"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ht="15"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ht="15" outlineLevel="1">
      <c r="A283" s="2102" t="str">
        <f t="shared" si="38"/>
        <v>Nắp che đầu sứ MBA</v>
      </c>
      <c r="B283" s="2125" t="s">
        <v>6129</v>
      </c>
      <c r="C283" s="2121"/>
      <c r="D283" s="2114">
        <v>0</v>
      </c>
      <c r="E283" s="2115" t="s">
        <v>5707</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ht="15"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ht="15" outlineLevel="1">
      <c r="A285" s="2102" t="str">
        <f t="shared" si="38"/>
        <v>Cổ dê kẹp ống PVC Ø 114</v>
      </c>
      <c r="B285" s="2127" t="s">
        <v>1862</v>
      </c>
      <c r="C285" s="2121"/>
      <c r="D285" s="2114">
        <v>0</v>
      </c>
      <c r="E285" s="2115" t="s">
        <v>5257</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ht="15"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ht="15"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ht="15"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ht="15" outlineLevel="1">
      <c r="A289" s="2102" t="str">
        <f t="shared" si="38"/>
        <v>Keo silicon bít miệng ống</v>
      </c>
      <c r="B289" s="2124" t="s">
        <v>489</v>
      </c>
      <c r="C289" s="2121"/>
      <c r="D289" s="2114">
        <v>0</v>
      </c>
      <c r="E289" s="2115" t="s">
        <v>3567</v>
      </c>
      <c r="F289" s="2114" t="s">
        <v>5805</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ht="15" outlineLevel="1">
      <c r="A290" s="2102" t="str">
        <f t="shared" si="38"/>
        <v>Băng keo cách điện</v>
      </c>
      <c r="B290" s="2127" t="s">
        <v>672</v>
      </c>
      <c r="C290" s="2121"/>
      <c r="D290" s="2114">
        <v>0</v>
      </c>
      <c r="E290" s="2115" t="s">
        <v>5800</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ht="15" outlineLevel="1">
      <c r="A291" s="2102" t="str">
        <f t="shared" si="38"/>
        <v>Lắp ống nhựa PVC D90</v>
      </c>
      <c r="B291" s="2124" t="s">
        <v>2182</v>
      </c>
      <c r="C291" s="2121"/>
      <c r="D291" s="2114" t="s">
        <v>5546</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ht="15" outlineLevel="1">
      <c r="A292" s="2102" t="str">
        <f t="shared" si="38"/>
        <v>Lắp cáp đồng xuống thiết bị D ≤ 95mm2</v>
      </c>
      <c r="B292" s="2127" t="s">
        <v>1525</v>
      </c>
      <c r="C292" s="2121"/>
      <c r="D292" s="2114" t="s">
        <v>5570</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ht="15" outlineLevel="1">
      <c r="A293" s="2102" t="str">
        <f t="shared" si="38"/>
        <v>Bảng tên trạm, bảng báo nguy hiểm + đinh vít</v>
      </c>
      <c r="B293" s="2124" t="s">
        <v>289</v>
      </c>
      <c r="C293" s="2154">
        <f>IF(G293&gt;0,C269+1,C269)</f>
        <v>0</v>
      </c>
      <c r="D293" s="2155"/>
      <c r="E293" s="2115" t="s">
        <v>5711</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ht="15" outlineLevel="1">
      <c r="A294" s="2102" t="e">
        <f t="shared" si="38"/>
        <v>#N/A</v>
      </c>
      <c r="B294" s="2124"/>
      <c r="C294" s="2159"/>
      <c r="D294" s="2160"/>
      <c r="E294" s="2133"/>
      <c r="F294" s="2616"/>
      <c r="G294" s="2616"/>
      <c r="H294" s="2616"/>
      <c r="I294" s="2616"/>
      <c r="J294" s="2652" t="s">
        <v>6130</v>
      </c>
      <c r="K294" s="2652"/>
      <c r="L294" s="2161">
        <f>SUM(L220:L293)</f>
        <v>0</v>
      </c>
      <c r="M294" s="2161">
        <f>SUM(M211:M293)</f>
        <v>0</v>
      </c>
      <c r="N294" s="2161">
        <f>SUM(N220:N293)</f>
        <v>0</v>
      </c>
      <c r="O294" s="2161">
        <f>SUM(O220:O293)</f>
        <v>0</v>
      </c>
      <c r="P294" s="2164"/>
    </row>
    <row r="295" spans="1:16" s="2099" customFormat="1" ht="13.9" customHeight="1">
      <c r="A295" s="2143" t="str">
        <f>IF(G300&lt;&gt;0,1,"")</f>
        <v/>
      </c>
      <c r="B295" s="2125"/>
      <c r="C295" s="2617"/>
      <c r="D295" s="2143"/>
    </row>
    <row r="296" spans="1:16" s="2099" customFormat="1" ht="15"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ht="15" outlineLevel="1">
      <c r="A297" s="2102" t="e">
        <f t="shared" si="39"/>
        <v>#N/A</v>
      </c>
      <c r="B297" s="2124" t="s">
        <v>6111</v>
      </c>
      <c r="C297" s="2642" t="s">
        <v>1708</v>
      </c>
      <c r="D297" s="2643" t="s">
        <v>2597</v>
      </c>
      <c r="E297" s="2645" t="s">
        <v>2598</v>
      </c>
      <c r="F297" s="2642" t="s">
        <v>2593</v>
      </c>
      <c r="G297" s="2103" t="s">
        <v>6112</v>
      </c>
      <c r="H297" s="2106" t="s">
        <v>6113</v>
      </c>
      <c r="I297" s="2613"/>
      <c r="J297" s="2613"/>
      <c r="K297" s="2614"/>
      <c r="L297" s="2106" t="s">
        <v>6114</v>
      </c>
      <c r="M297" s="2613"/>
      <c r="N297" s="2613"/>
      <c r="O297" s="2614"/>
      <c r="P297" s="2642" t="s">
        <v>2599</v>
      </c>
    </row>
    <row r="298" spans="1:16" s="2099" customFormat="1" ht="15" outlineLevel="1">
      <c r="A298" s="2102" t="e">
        <f t="shared" si="39"/>
        <v>#N/A</v>
      </c>
      <c r="B298" s="2124"/>
      <c r="C298" s="2642"/>
      <c r="D298" s="2644"/>
      <c r="E298" s="2646"/>
      <c r="F298" s="2642"/>
      <c r="G298" s="2105" t="s">
        <v>2286</v>
      </c>
      <c r="H298" s="2106" t="s">
        <v>6115</v>
      </c>
      <c r="I298" s="2106" t="s">
        <v>6116</v>
      </c>
      <c r="J298" s="2106" t="s">
        <v>6117</v>
      </c>
      <c r="K298" s="2106" t="s">
        <v>6118</v>
      </c>
      <c r="L298" s="2106" t="s">
        <v>6115</v>
      </c>
      <c r="M298" s="2106" t="s">
        <v>6116</v>
      </c>
      <c r="N298" s="2106" t="s">
        <v>6117</v>
      </c>
      <c r="O298" s="2106" t="s">
        <v>6118</v>
      </c>
      <c r="P298" s="2642"/>
    </row>
    <row r="299" spans="1:16" s="2099" customFormat="1" ht="15"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ht="15" outlineLevel="1">
      <c r="A300" s="2102" t="str">
        <f t="shared" si="39"/>
        <v>Máy biến áp 12,7/0,23-0,46kV 50kVA</v>
      </c>
      <c r="B300" s="2112" t="str">
        <f>IF($F$8=22,"TR501","TR50")</f>
        <v>TR501</v>
      </c>
      <c r="C300" s="2113">
        <f>IF(G300&gt;0,1,0)</f>
        <v>0</v>
      </c>
      <c r="D300" s="2114" t="s">
        <v>5583</v>
      </c>
      <c r="E300" s="2115" t="s">
        <v>5586</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ht="15" outlineLevel="1">
      <c r="A301" s="2102" t="str">
        <f t="shared" si="39"/>
        <v>FCO 24kV - 100A</v>
      </c>
      <c r="B301" s="2112" t="str">
        <f>"FCO100-"&amp;$F$8</f>
        <v>FCO100-22</v>
      </c>
      <c r="C301" s="2113">
        <f t="shared" ref="C301:C308" si="44">IF(G301&gt;0,C300+1,C300)</f>
        <v>0</v>
      </c>
      <c r="D301" s="2114" t="s">
        <v>5597</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ht="15"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ht="15" outlineLevel="1">
      <c r="A303" s="2102" t="str">
        <f t="shared" si="39"/>
        <v>Chống sét van LA-18KV-10KA</v>
      </c>
      <c r="B303" s="2125" t="str">
        <f>"LA"&amp;$F$6</f>
        <v>LA18</v>
      </c>
      <c r="C303" s="2113">
        <f t="shared" si="44"/>
        <v>0</v>
      </c>
      <c r="D303" s="2114" t="s">
        <v>5601</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ht="15" outlineLevel="1">
      <c r="A304" s="2102" t="str">
        <f t="shared" si="39"/>
        <v xml:space="preserve">MCCB 3 cực 600V -250A - 36KA </v>
      </c>
      <c r="B304" s="2126" t="s">
        <v>1560</v>
      </c>
      <c r="C304" s="2113">
        <f t="shared" si="44"/>
        <v>0</v>
      </c>
      <c r="D304" s="2114">
        <v>0</v>
      </c>
      <c r="E304" s="2115" t="s">
        <v>5681</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ht="15"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ht="15"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ht="15"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ht="15"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ht="15" outlineLevel="1">
      <c r="A309" s="2102" t="e">
        <f t="shared" si="39"/>
        <v>#N/A</v>
      </c>
      <c r="B309" s="2124"/>
      <c r="C309" s="2129"/>
      <c r="D309" s="2130"/>
      <c r="E309" s="2111"/>
      <c r="F309" s="2129"/>
      <c r="G309" s="2129"/>
      <c r="H309" s="2129"/>
      <c r="I309" s="2129"/>
      <c r="J309" s="2111" t="s">
        <v>6120</v>
      </c>
      <c r="K309" s="2129"/>
      <c r="L309" s="2111">
        <f>SUM(L300:L308)</f>
        <v>0</v>
      </c>
      <c r="M309" s="2111"/>
      <c r="N309" s="2111">
        <f>SUM(N300:N308)</f>
        <v>0</v>
      </c>
      <c r="O309" s="2111">
        <f>SUM(O300:O308)</f>
        <v>0</v>
      </c>
      <c r="P309" s="2164"/>
    </row>
    <row r="310" spans="1:18" s="2099" customFormat="1" ht="15"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ht="15"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ht="15" outlineLevel="1">
      <c r="A312" s="2102" t="e">
        <f t="shared" si="39"/>
        <v>#N/A</v>
      </c>
      <c r="B312" s="2124"/>
      <c r="C312" s="2139">
        <f>IF(G312&gt;0,C311+1,C311)</f>
        <v>0</v>
      </c>
      <c r="D312" s="2140"/>
      <c r="E312" s="2141" t="s">
        <v>6137</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5" outlineLevel="1">
      <c r="A313" s="2102" t="e">
        <f t="shared" si="39"/>
        <v>#N/A</v>
      </c>
      <c r="B313" s="2124"/>
      <c r="C313" s="2136"/>
      <c r="D313" s="2140"/>
      <c r="E313" s="2142" t="s">
        <v>6132</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ht="15"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ht="15"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ht="15"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ht="15"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5" outlineLevel="1">
      <c r="A318" s="2102" t="e">
        <f t="shared" si="39"/>
        <v>#N/A</v>
      </c>
      <c r="B318" s="2124"/>
      <c r="C318" s="2136"/>
      <c r="D318" s="2140"/>
      <c r="E318" s="2142" t="s">
        <v>6132</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ht="15" outlineLevel="1">
      <c r="A319" s="2102" t="str">
        <f t="shared" si="39"/>
        <v>Đà cản BTCT 1,2m</v>
      </c>
      <c r="B319" s="2127" t="s">
        <v>636</v>
      </c>
      <c r="C319" s="2121"/>
      <c r="D319" s="2114" t="s">
        <v>5046</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ht="15" outlineLevel="1">
      <c r="A320" s="2102" t="str">
        <f t="shared" si="39"/>
        <v>Boulon 22x650+ 2 long đền vuông D24-50x50x3/Zn</v>
      </c>
      <c r="B320" s="2127" t="s">
        <v>566</v>
      </c>
      <c r="C320" s="2121"/>
      <c r="D320" s="2114">
        <v>0</v>
      </c>
      <c r="E320" s="2115" t="s">
        <v>5071</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ht="15" outlineLevel="1">
      <c r="A321" s="2102" t="str">
        <f t="shared" si="39"/>
        <v>Đào hố móng đất cấp 3 sâu &gt;1m</v>
      </c>
      <c r="B321" s="2127" t="s">
        <v>639</v>
      </c>
      <c r="C321" s="2121"/>
      <c r="D321" s="2114" t="s">
        <v>1747</v>
      </c>
      <c r="E321" s="2115" t="s">
        <v>5323</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ht="15" outlineLevel="1">
      <c r="A322" s="2102" t="str">
        <f t="shared" si="39"/>
        <v>Đắp đất hố móng, độ chặt k=0,95</v>
      </c>
      <c r="B322" s="2127" t="s">
        <v>21</v>
      </c>
      <c r="C322" s="2121"/>
      <c r="D322" s="2114" t="s">
        <v>5324</v>
      </c>
      <c r="E322" s="2115" t="s">
        <v>5325</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ht="15"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5" outlineLevel="1">
      <c r="A324" s="2102" t="e">
        <f t="shared" si="39"/>
        <v>#N/A</v>
      </c>
      <c r="B324" s="2124"/>
      <c r="C324" s="2136"/>
      <c r="D324" s="2140"/>
      <c r="E324" s="2166" t="s">
        <v>6132</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ht="15" outlineLevel="1">
      <c r="A325" s="2102" t="str">
        <f t="shared" si="39"/>
        <v>Đà Composite 110x80x5x800</v>
      </c>
      <c r="B325" s="2127" t="s">
        <v>5156</v>
      </c>
      <c r="C325" s="2121"/>
      <c r="D325" s="2114">
        <v>0</v>
      </c>
      <c r="E325" s="2115" t="s">
        <v>4864</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ht="15" outlineLevel="1">
      <c r="A326" s="2102" t="str">
        <f t="shared" si="39"/>
        <v>Chống Composite 40x10x710</v>
      </c>
      <c r="B326" s="2127" t="s">
        <v>5160</v>
      </c>
      <c r="C326" s="2121"/>
      <c r="D326" s="2114">
        <v>0</v>
      </c>
      <c r="E326" s="2115" t="s">
        <v>5161</v>
      </c>
      <c r="F326" s="2114" t="s">
        <v>5159</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ht="15" outlineLevel="1">
      <c r="A327" s="2102" t="str">
        <f t="shared" si="39"/>
        <v>Bass LL bắt FCO, LA</v>
      </c>
      <c r="B327" s="2127" t="s">
        <v>1840</v>
      </c>
      <c r="C327" s="2121"/>
      <c r="D327" s="2114">
        <v>0</v>
      </c>
      <c r="E327" s="2115" t="s">
        <v>5077</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ht="15" outlineLevel="1">
      <c r="A328" s="2102" t="str">
        <f t="shared" ref="A328:A359" si="49">VLOOKUP(B328,DonGia,3,0)</f>
        <v>Nắp che đầu cực FCO</v>
      </c>
      <c r="B328" s="2127" t="s">
        <v>6124</v>
      </c>
      <c r="C328" s="2121"/>
      <c r="D328" s="2114">
        <v>0</v>
      </c>
      <c r="E328" s="2115" t="s">
        <v>5699</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ht="15" outlineLevel="1">
      <c r="A329" s="2102" t="str">
        <f t="shared" si="49"/>
        <v>Nắp che đầu cực LA</v>
      </c>
      <c r="B329" s="2127" t="s">
        <v>6125</v>
      </c>
      <c r="C329" s="2121"/>
      <c r="D329" s="2114">
        <v>0</v>
      </c>
      <c r="E329" s="2115" t="s">
        <v>5705</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ht="15"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ht="15"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ht="15" outlineLevel="1">
      <c r="A332" s="2102" t="str">
        <f t="shared" si="49"/>
        <v>Lắp xà đỡ ≤ 25kg</v>
      </c>
      <c r="B332" s="2127" t="s">
        <v>1995</v>
      </c>
      <c r="C332" s="2121"/>
      <c r="D332" s="2114" t="s">
        <v>5377</v>
      </c>
      <c r="E332" s="2115" t="s">
        <v>5378</v>
      </c>
      <c r="F332" s="2114" t="s">
        <v>2439</v>
      </c>
      <c r="G332" s="2121">
        <f>G323</f>
        <v>0</v>
      </c>
      <c r="H332" s="2117">
        <v>0</v>
      </c>
      <c r="I332" s="2122"/>
      <c r="J332" s="2147" t="s">
        <v>6305</v>
      </c>
      <c r="K332" s="2117">
        <v>0</v>
      </c>
      <c r="L332" s="2123">
        <f t="shared" si="45"/>
        <v>0</v>
      </c>
      <c r="M332" s="2123">
        <f>I332*G332</f>
        <v>0</v>
      </c>
      <c r="N332" s="2148">
        <f>106640*G332*1.5</f>
        <v>0</v>
      </c>
      <c r="O332" s="2122">
        <f t="shared" si="48"/>
        <v>0</v>
      </c>
      <c r="P332" s="2149"/>
    </row>
    <row r="333" spans="1:18" s="2099" customFormat="1" ht="15"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5" outlineLevel="1">
      <c r="A334" s="2102" t="e">
        <f t="shared" si="49"/>
        <v>#N/A</v>
      </c>
      <c r="B334" s="2124"/>
      <c r="C334" s="2121"/>
      <c r="D334" s="2144"/>
      <c r="E334" s="2166" t="s">
        <v>6132</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ht="15"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ht="15" outlineLevel="1">
      <c r="A336" s="2102" t="str">
        <f t="shared" si="49"/>
        <v>Cọc tiếp đất Þ 16- 2,4m + kẹp cọc mạ đồng</v>
      </c>
      <c r="B336" s="2127" t="s">
        <v>1508</v>
      </c>
      <c r="C336" s="2121"/>
      <c r="D336" s="2114">
        <v>0</v>
      </c>
      <c r="E336" s="2115" t="s">
        <v>5162</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ht="15"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ht="15"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ht="15"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ht="15" outlineLevel="1">
      <c r="A340" s="2102" t="str">
        <f t="shared" si="49"/>
        <v>Cổ dê kẹp ống PVC  21</v>
      </c>
      <c r="B340" s="2127" t="s">
        <v>525</v>
      </c>
      <c r="C340" s="2121"/>
      <c r="D340" s="2114">
        <v>0</v>
      </c>
      <c r="E340" s="2115" t="s">
        <v>5251</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ht="15" outlineLevel="1">
      <c r="A341" s="2102" t="str">
        <f t="shared" si="49"/>
        <v>Kéo dây tiếp địa trong TBA</v>
      </c>
      <c r="B341" s="2124" t="s">
        <v>2183</v>
      </c>
      <c r="C341" s="2121"/>
      <c r="D341" s="2114" t="s">
        <v>5345</v>
      </c>
      <c r="E341" s="2115" t="s">
        <v>5346</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ht="15" outlineLevel="1">
      <c r="A342" s="2102" t="str">
        <f t="shared" si="49"/>
        <v>Đóng cọc tiếp địa trong TBA</v>
      </c>
      <c r="B342" s="2127" t="s">
        <v>902</v>
      </c>
      <c r="C342" s="2121"/>
      <c r="D342" s="2114" t="s">
        <v>5350</v>
      </c>
      <c r="E342" s="2115" t="s">
        <v>5351</v>
      </c>
      <c r="F342" s="2114" t="s">
        <v>2278</v>
      </c>
      <c r="G342" s="2121">
        <f>G336</f>
        <v>0</v>
      </c>
      <c r="H342" s="2117">
        <v>0</v>
      </c>
      <c r="I342" s="2122"/>
      <c r="J342" s="2117" t="s">
        <v>6314</v>
      </c>
      <c r="K342" s="2117">
        <v>1573.075</v>
      </c>
      <c r="L342" s="2123">
        <f>H342*G342</f>
        <v>0</v>
      </c>
      <c r="M342" s="2123">
        <f>I342*G342</f>
        <v>0</v>
      </c>
      <c r="N342" s="2117">
        <v>0</v>
      </c>
      <c r="O342" s="2122">
        <f>K342*G342</f>
        <v>0</v>
      </c>
      <c r="P342" s="2149"/>
    </row>
    <row r="343" spans="1:16" s="2099" customFormat="1" ht="15" outlineLevel="1">
      <c r="A343" s="2102" t="str">
        <f t="shared" si="49"/>
        <v>Đào rãnh tiếp địa đất cấp 3</v>
      </c>
      <c r="B343" s="2124" t="s">
        <v>1055</v>
      </c>
      <c r="C343" s="2121"/>
      <c r="D343" s="2114" t="s">
        <v>5335</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ht="15" outlineLevel="1">
      <c r="A344" s="2102" t="str">
        <f t="shared" si="49"/>
        <v>Đắp đất rãnh tiếp độ chặt k=0,85</v>
      </c>
      <c r="B344" s="2127" t="s">
        <v>1056</v>
      </c>
      <c r="C344" s="2121"/>
      <c r="D344" s="2114" t="s">
        <v>5324</v>
      </c>
      <c r="E344" s="2115" t="s">
        <v>5336</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ht="15"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5" outlineLevel="1">
      <c r="A346" s="2102" t="e">
        <f t="shared" si="49"/>
        <v>#N/A</v>
      </c>
      <c r="B346" s="2124"/>
      <c r="C346" s="2136"/>
      <c r="D346" s="2140"/>
      <c r="E346" s="2166" t="s">
        <v>6132</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ht="15" outlineLevel="1">
      <c r="A347" s="2102" t="str">
        <f t="shared" si="49"/>
        <v>Tủ MCCB trạm treo 1 pha</v>
      </c>
      <c r="B347" s="2175" t="s">
        <v>5653</v>
      </c>
      <c r="C347" s="2121"/>
      <c r="D347" s="2114" t="s">
        <v>5654</v>
      </c>
      <c r="E347" s="2115" t="s">
        <v>5655</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ht="15"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ht="15" outlineLevel="1">
      <c r="A349" s="2102" t="str">
        <f t="shared" si="49"/>
        <v xml:space="preserve">Bakelit 550x450 dầy 10mm </v>
      </c>
      <c r="B349" s="2124" t="s">
        <v>880</v>
      </c>
      <c r="C349" s="2121"/>
      <c r="D349" s="2114">
        <v>0</v>
      </c>
      <c r="E349" s="2115" t="s">
        <v>5798</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ht="15" outlineLevel="1">
      <c r="A350" s="2102" t="e">
        <f t="shared" si="49"/>
        <v>#N/A</v>
      </c>
      <c r="B350" s="2124"/>
      <c r="C350" s="2136">
        <f>IF(G350&gt;0,C345+1,C345)</f>
        <v>0</v>
      </c>
      <c r="D350" s="2140"/>
      <c r="E350" s="2165" t="s">
        <v>6138</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5" outlineLevel="1">
      <c r="A351" s="2102" t="e">
        <f t="shared" si="49"/>
        <v>#N/A</v>
      </c>
      <c r="B351" s="2124"/>
      <c r="C351" s="2136"/>
      <c r="D351" s="2140"/>
      <c r="E351" s="2166" t="s">
        <v>6132</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ht="15" outlineLevel="1">
      <c r="A352" s="2102" t="str">
        <f t="shared" si="49"/>
        <v>Cáp 24KV C/XLPE/PVC 25mm2</v>
      </c>
      <c r="B352" s="2127" t="s">
        <v>697</v>
      </c>
      <c r="C352" s="2121"/>
      <c r="D352" s="2114">
        <v>0</v>
      </c>
      <c r="E352" s="2115" t="s">
        <v>5086</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ht="15"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ht="15" outlineLevel="1">
      <c r="A354" s="2102" t="str">
        <f t="shared" si="49"/>
        <v>Kẹp hotline 2/0</v>
      </c>
      <c r="B354" s="2112" t="s">
        <v>1477</v>
      </c>
      <c r="C354" s="2121"/>
      <c r="D354" s="2114">
        <v>0</v>
      </c>
      <c r="E354" s="2115" t="s">
        <v>4334</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ht="15" outlineLevel="1">
      <c r="A355" s="2102" t="str">
        <f t="shared" si="49"/>
        <v>Lắp cáp đồng xuống thiết bị D ≤ 95mm2</v>
      </c>
      <c r="B355" s="2112" t="s">
        <v>1525</v>
      </c>
      <c r="C355" s="2121"/>
      <c r="D355" s="2114" t="s">
        <v>5570</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ht="15" outlineLevel="1">
      <c r="A356" s="2102" t="e">
        <f t="shared" si="49"/>
        <v>#N/A</v>
      </c>
      <c r="B356" s="2124"/>
      <c r="C356" s="2136">
        <f>IF(G356&gt;0,C350+1,C350)</f>
        <v>0</v>
      </c>
      <c r="D356" s="2140"/>
      <c r="E356" s="2152" t="s">
        <v>6143</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5" outlineLevel="1">
      <c r="A357" s="2102" t="e">
        <f t="shared" si="49"/>
        <v>#N/A</v>
      </c>
      <c r="B357" s="2124"/>
      <c r="C357" s="2136"/>
      <c r="D357" s="2140"/>
      <c r="E357" s="2142" t="s">
        <v>6132</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ht="15"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ht="15"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ht="15" outlineLevel="1">
      <c r="A360" s="2102" t="str">
        <f t="shared" ref="A360:A375" si="50">VLOOKUP(B360,DonGia,3,0)</f>
        <v>Đầu cosse ép Cu 95mm2</v>
      </c>
      <c r="B360" s="2124" t="s">
        <v>6144</v>
      </c>
      <c r="C360" s="2121"/>
      <c r="D360" s="2114" t="s">
        <v>5726</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ht="15" outlineLevel="1">
      <c r="A361" s="2102" t="str">
        <f t="shared" si="50"/>
        <v>Đầu cosse ép Cu 50mm2</v>
      </c>
      <c r="B361" s="2124" t="s">
        <v>6145</v>
      </c>
      <c r="C361" s="2121"/>
      <c r="D361" s="2114" t="s">
        <v>5724</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ht="15"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ht="15" outlineLevel="1">
      <c r="A363" s="2102" t="str">
        <f t="shared" si="50"/>
        <v>Chụp đầu cosse  50mm2</v>
      </c>
      <c r="B363" s="2124" t="s">
        <v>6146</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ht="15" outlineLevel="1">
      <c r="A364" s="2102" t="str">
        <f t="shared" si="50"/>
        <v>Nắp che đầu sứ MBA</v>
      </c>
      <c r="B364" s="2124" t="s">
        <v>6129</v>
      </c>
      <c r="C364" s="2121"/>
      <c r="D364" s="2114">
        <v>0</v>
      </c>
      <c r="E364" s="2115" t="s">
        <v>5707</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ht="15"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ht="15" outlineLevel="1">
      <c r="A366" s="2102" t="str">
        <f t="shared" si="50"/>
        <v>Cổ dê kẹp ống PVC Ø 90</v>
      </c>
      <c r="B366" s="2127" t="s">
        <v>276</v>
      </c>
      <c r="C366" s="2121"/>
      <c r="D366" s="2114">
        <v>0</v>
      </c>
      <c r="E366" s="2115" t="s">
        <v>5256</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ht="15" outlineLevel="1">
      <c r="A367" s="2102" t="str">
        <f t="shared" si="50"/>
        <v>Co  90 độ PVC 90</v>
      </c>
      <c r="B367" s="2124" t="s">
        <v>69</v>
      </c>
      <c r="C367" s="2121"/>
      <c r="D367" s="2114">
        <v>0</v>
      </c>
      <c r="E367" s="2115" t="s">
        <v>5796</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ht="15"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ht="15"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ht="15" outlineLevel="1">
      <c r="A370" s="2102" t="str">
        <f t="shared" si="50"/>
        <v>Keo silicon bít miệng ống</v>
      </c>
      <c r="B370" s="2124" t="s">
        <v>489</v>
      </c>
      <c r="C370" s="2121"/>
      <c r="D370" s="2114">
        <v>0</v>
      </c>
      <c r="E370" s="2115" t="s">
        <v>3567</v>
      </c>
      <c r="F370" s="2114" t="s">
        <v>5805</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ht="15" outlineLevel="1">
      <c r="A371" s="2102" t="str">
        <f t="shared" si="50"/>
        <v>Băng keo cách điện</v>
      </c>
      <c r="B371" s="2127" t="s">
        <v>672</v>
      </c>
      <c r="C371" s="2121"/>
      <c r="D371" s="2144"/>
      <c r="E371" s="2115" t="s">
        <v>5800</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ht="15" outlineLevel="1">
      <c r="A372" s="2102" t="str">
        <f t="shared" si="50"/>
        <v>Lắp ống nhựa PVC D90</v>
      </c>
      <c r="B372" s="2124" t="s">
        <v>2182</v>
      </c>
      <c r="C372" s="2121"/>
      <c r="D372" s="2114" t="s">
        <v>5546</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ht="15" outlineLevel="1">
      <c r="A373" s="2102" t="str">
        <f t="shared" si="50"/>
        <v>Lắp cáp đồng xuống thiết bị D ≤ 95mm2</v>
      </c>
      <c r="B373" s="2127" t="s">
        <v>1525</v>
      </c>
      <c r="C373" s="2121"/>
      <c r="D373" s="2114" t="s">
        <v>5570</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ht="15" outlineLevel="1">
      <c r="A374" s="2102" t="str">
        <f t="shared" si="50"/>
        <v>Bảng tên trạm, bảng báo nguy hiểm + đinh vít</v>
      </c>
      <c r="B374" s="2124" t="s">
        <v>289</v>
      </c>
      <c r="C374" s="2154">
        <f>IF(G374&gt;0,C356+1,C356)</f>
        <v>0</v>
      </c>
      <c r="D374" s="2155"/>
      <c r="E374" s="2115" t="s">
        <v>5711</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ht="15" outlineLevel="1">
      <c r="A375" s="2102" t="e">
        <f t="shared" si="50"/>
        <v>#N/A</v>
      </c>
      <c r="B375" s="2124"/>
      <c r="C375" s="2159"/>
      <c r="D375" s="2160"/>
      <c r="E375" s="2133"/>
      <c r="F375" s="2616"/>
      <c r="G375" s="2616"/>
      <c r="H375" s="2616"/>
      <c r="I375" s="2616"/>
      <c r="J375" s="2652" t="s">
        <v>6130</v>
      </c>
      <c r="K375" s="2652"/>
      <c r="L375" s="2161">
        <f>SUM(L311:L374)</f>
        <v>0</v>
      </c>
      <c r="M375" s="2161"/>
      <c r="N375" s="2161">
        <f>SUM(N311:N374)</f>
        <v>0</v>
      </c>
      <c r="O375" s="2161">
        <f>SUM(O311:O374)</f>
        <v>0</v>
      </c>
      <c r="P375" s="2164"/>
    </row>
    <row r="376" spans="1:16" s="2099" customFormat="1" ht="13.9" customHeight="1">
      <c r="A376" s="2143" t="str">
        <f>IF(G381&lt;&gt;0,1,"")</f>
        <v/>
      </c>
      <c r="B376" s="2125"/>
      <c r="C376" s="2617"/>
      <c r="D376" s="2143"/>
    </row>
    <row r="377" spans="1:16" s="2099" customFormat="1" ht="15"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ht="15" outlineLevel="1">
      <c r="A378" s="2102" t="e">
        <f t="shared" si="51"/>
        <v>#N/A</v>
      </c>
      <c r="B378" s="2124" t="s">
        <v>6111</v>
      </c>
      <c r="C378" s="2642" t="s">
        <v>1708</v>
      </c>
      <c r="D378" s="2643" t="s">
        <v>2597</v>
      </c>
      <c r="E378" s="2645" t="s">
        <v>2598</v>
      </c>
      <c r="F378" s="2642" t="s">
        <v>2593</v>
      </c>
      <c r="G378" s="2103" t="s">
        <v>6112</v>
      </c>
      <c r="H378" s="2106" t="s">
        <v>6113</v>
      </c>
      <c r="I378" s="2613"/>
      <c r="J378" s="2613"/>
      <c r="K378" s="2614"/>
      <c r="L378" s="2106" t="s">
        <v>6114</v>
      </c>
      <c r="M378" s="2613"/>
      <c r="N378" s="2613"/>
      <c r="O378" s="2614"/>
      <c r="P378" s="2642" t="s">
        <v>2599</v>
      </c>
    </row>
    <row r="379" spans="1:16" s="2099" customFormat="1" ht="15" outlineLevel="1">
      <c r="A379" s="2102" t="e">
        <f t="shared" si="51"/>
        <v>#N/A</v>
      </c>
      <c r="B379" s="2124"/>
      <c r="C379" s="2642"/>
      <c r="D379" s="2644"/>
      <c r="E379" s="2646"/>
      <c r="F379" s="2642"/>
      <c r="G379" s="2105" t="s">
        <v>2286</v>
      </c>
      <c r="H379" s="2106" t="s">
        <v>6115</v>
      </c>
      <c r="I379" s="2106" t="s">
        <v>6116</v>
      </c>
      <c r="J379" s="2106" t="s">
        <v>6117</v>
      </c>
      <c r="K379" s="2106" t="s">
        <v>6118</v>
      </c>
      <c r="L379" s="2106" t="s">
        <v>6115</v>
      </c>
      <c r="M379" s="2106" t="s">
        <v>6116</v>
      </c>
      <c r="N379" s="2106" t="s">
        <v>6117</v>
      </c>
      <c r="O379" s="2106" t="s">
        <v>6118</v>
      </c>
      <c r="P379" s="2642"/>
    </row>
    <row r="380" spans="1:16" s="2099" customFormat="1" ht="15"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ht="15" outlineLevel="1">
      <c r="A381" s="2102" t="str">
        <f t="shared" si="51"/>
        <v>Máy biến áp 12,7/0,23-0,46kV  75kVA</v>
      </c>
      <c r="B381" s="2112" t="str">
        <f>IF($F$8=22,"TR751","TR75")</f>
        <v>TR751</v>
      </c>
      <c r="C381" s="2113">
        <f>IF(G381&gt;0,1,0)</f>
        <v>0</v>
      </c>
      <c r="D381" s="2114" t="s">
        <v>5584</v>
      </c>
      <c r="E381" s="2115" t="s">
        <v>5587</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ht="15" outlineLevel="1">
      <c r="A382" s="2102" t="str">
        <f t="shared" si="51"/>
        <v>FCO 24kV - 100A</v>
      </c>
      <c r="B382" s="2112" t="str">
        <f>"FCO100-"&amp;$F$8</f>
        <v>FCO100-22</v>
      </c>
      <c r="C382" s="2113">
        <f t="shared" ref="C382:C389" si="56">IF(G382&gt;0,C381+1,C381)</f>
        <v>0</v>
      </c>
      <c r="D382" s="2114" t="s">
        <v>5597</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ht="15"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ht="15" outlineLevel="1">
      <c r="A384" s="2102" t="str">
        <f t="shared" si="51"/>
        <v>Chống sét van LA-18KV-10KA</v>
      </c>
      <c r="B384" s="2125" t="str">
        <f>"LA"&amp;$F$6</f>
        <v>LA18</v>
      </c>
      <c r="C384" s="2113">
        <f t="shared" si="56"/>
        <v>0</v>
      </c>
      <c r="D384" s="2114" t="s">
        <v>5601</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ht="15"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ht="15" outlineLevel="1">
      <c r="A386" s="2102" t="str">
        <f t="shared" si="51"/>
        <v>MCCB 3 cực 400V -200A - 35KA</v>
      </c>
      <c r="B386" s="2153" t="s">
        <v>1427</v>
      </c>
      <c r="C386" s="2113">
        <f t="shared" si="56"/>
        <v>0</v>
      </c>
      <c r="D386" s="2114">
        <v>0</v>
      </c>
      <c r="E386" s="2115" t="s">
        <v>5680</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ht="15"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ht="15"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ht="15"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ht="15" outlineLevel="1">
      <c r="A390" s="2102" t="e">
        <f t="shared" si="51"/>
        <v>#N/A</v>
      </c>
      <c r="B390" s="2124"/>
      <c r="C390" s="2129"/>
      <c r="D390" s="2130"/>
      <c r="E390" s="2111"/>
      <c r="F390" s="2129"/>
      <c r="G390" s="2620"/>
      <c r="H390" s="2129"/>
      <c r="I390" s="2129"/>
      <c r="J390" s="2111" t="s">
        <v>6120</v>
      </c>
      <c r="K390" s="2129"/>
      <c r="L390" s="2111">
        <f>SUM(L381:L389)</f>
        <v>0</v>
      </c>
      <c r="M390" s="2111"/>
      <c r="N390" s="2111">
        <f>SUM(N381:N389)</f>
        <v>0</v>
      </c>
      <c r="O390" s="2111">
        <f>SUM(O381:O389)</f>
        <v>0</v>
      </c>
      <c r="P390" s="2164"/>
    </row>
    <row r="391" spans="1:18" s="2099" customFormat="1" ht="15"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ht="15"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ht="15" outlineLevel="1">
      <c r="A393" s="2102" t="e">
        <f t="shared" si="51"/>
        <v>#N/A</v>
      </c>
      <c r="B393" s="2124"/>
      <c r="C393" s="2139">
        <f>IF(G393&gt;0,C392+1,C392)</f>
        <v>0</v>
      </c>
      <c r="D393" s="2140"/>
      <c r="E393" s="2141" t="s">
        <v>6137</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5" outlineLevel="1">
      <c r="A394" s="2102" t="e">
        <f t="shared" si="51"/>
        <v>#N/A</v>
      </c>
      <c r="B394" s="2124"/>
      <c r="C394" s="2136"/>
      <c r="D394" s="2140"/>
      <c r="E394" s="2142" t="s">
        <v>6132</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ht="15"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ht="15"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ht="15"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ht="15" outlineLevel="1">
      <c r="A398" s="2102" t="e">
        <f t="shared" si="51"/>
        <v>#N/A</v>
      </c>
      <c r="B398" s="2124"/>
      <c r="C398" s="2139">
        <f>IF(G398&gt;0,C393+1,C393)</f>
        <v>0</v>
      </c>
      <c r="D398" s="2140"/>
      <c r="E398" s="2141" t="s">
        <v>6147</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5" outlineLevel="1">
      <c r="A399" s="2102" t="e">
        <f t="shared" si="51"/>
        <v>#N/A</v>
      </c>
      <c r="B399" s="2124"/>
      <c r="C399" s="2136"/>
      <c r="D399" s="2140"/>
      <c r="E399" s="2142" t="s">
        <v>6132</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ht="15" outlineLevel="1">
      <c r="A400" s="2102" t="str">
        <f t="shared" si="51"/>
        <v>Đà U160x68x5x2800 đỡ MBA</v>
      </c>
      <c r="B400" s="2174" t="s">
        <v>1136</v>
      </c>
      <c r="C400" s="2121"/>
      <c r="D400" s="2114">
        <v>0</v>
      </c>
      <c r="E400" s="2115" t="s">
        <v>6320</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ht="15" outlineLevel="1">
      <c r="A401" s="2102" t="str">
        <f t="shared" si="51"/>
        <v>Boulon 16x250+ 2 long đền vuông D18-50x50x3/Zn</v>
      </c>
      <c r="B401" s="2127" t="s">
        <v>6148</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ht="15" outlineLevel="1">
      <c r="A402" s="2102" t="str">
        <f t="shared" si="51"/>
        <v>Lắp xà đỡ 2,8m đơn (42,84kg)</v>
      </c>
      <c r="B402" s="2174" t="s">
        <v>5397</v>
      </c>
      <c r="C402" s="2121"/>
      <c r="D402" s="2114" t="s">
        <v>5398</v>
      </c>
      <c r="E402" s="2115" t="s">
        <v>5399</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ht="15" outlineLevel="1">
      <c r="A403" s="2102" t="str">
        <f t="shared" si="51"/>
        <v>Đắp đất hố móng, độ chặt k=0,95</v>
      </c>
      <c r="B403" s="2127" t="s">
        <v>21</v>
      </c>
      <c r="C403" s="2121"/>
      <c r="D403" s="2114" t="s">
        <v>5324</v>
      </c>
      <c r="E403" s="2115" t="s">
        <v>5325</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ht="15"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5" outlineLevel="1">
      <c r="A405" s="2102" t="e">
        <f t="shared" si="51"/>
        <v>#N/A</v>
      </c>
      <c r="B405" s="2124"/>
      <c r="C405" s="2136"/>
      <c r="D405" s="2140"/>
      <c r="E405" s="2166" t="s">
        <v>6132</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ht="15" outlineLevel="1">
      <c r="A406" s="2102" t="str">
        <f t="shared" si="51"/>
        <v>Đà Composite 110x80x5x800</v>
      </c>
      <c r="B406" s="2127" t="s">
        <v>5156</v>
      </c>
      <c r="C406" s="2121"/>
      <c r="D406" s="2114">
        <v>0</v>
      </c>
      <c r="E406" s="2115" t="s">
        <v>4864</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ht="15" outlineLevel="1">
      <c r="A407" s="2102" t="str">
        <f t="shared" si="51"/>
        <v>Chống Composite 40x10x710</v>
      </c>
      <c r="B407" s="2127" t="s">
        <v>5160</v>
      </c>
      <c r="C407" s="2121"/>
      <c r="D407" s="2114">
        <v>0</v>
      </c>
      <c r="E407" s="2115" t="s">
        <v>5161</v>
      </c>
      <c r="F407" s="2114" t="s">
        <v>5159</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ht="15" outlineLevel="1">
      <c r="A408" s="2102" t="str">
        <f t="shared" si="51"/>
        <v>Bass LL bắt FCO, LA</v>
      </c>
      <c r="B408" s="2127" t="s">
        <v>1840</v>
      </c>
      <c r="C408" s="2121"/>
      <c r="D408" s="2114">
        <v>0</v>
      </c>
      <c r="E408" s="2115" t="s">
        <v>5077</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ht="15"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ht="15"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ht="15"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ht="15" outlineLevel="1">
      <c r="A412" s="2102" t="str">
        <f t="shared" si="61"/>
        <v>Lắp xà đỡ composite dài 800mm (3kg)</v>
      </c>
      <c r="B412" s="2127" t="s">
        <v>5369</v>
      </c>
      <c r="C412" s="2121"/>
      <c r="D412" s="2114" t="s">
        <v>5147</v>
      </c>
      <c r="E412" s="2115" t="s">
        <v>5370</v>
      </c>
      <c r="F412" s="2114" t="s">
        <v>2439</v>
      </c>
      <c r="G412" s="2178">
        <f>G404</f>
        <v>0</v>
      </c>
      <c r="H412" s="2117">
        <v>0</v>
      </c>
      <c r="I412" s="2122"/>
      <c r="J412" s="2147" t="s">
        <v>6312</v>
      </c>
      <c r="K412" s="2117">
        <v>0</v>
      </c>
      <c r="L412" s="2123">
        <f t="shared" si="57"/>
        <v>0</v>
      </c>
      <c r="M412" s="2123">
        <f>I412*G412</f>
        <v>0</v>
      </c>
      <c r="N412" s="2123">
        <v>0</v>
      </c>
      <c r="O412" s="2122">
        <f t="shared" si="60"/>
        <v>0</v>
      </c>
      <c r="P412" s="2149"/>
    </row>
    <row r="413" spans="1:18" s="2099" customFormat="1" ht="15"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5" outlineLevel="1">
      <c r="A414" s="2102" t="e">
        <f t="shared" si="61"/>
        <v>#N/A</v>
      </c>
      <c r="B414" s="2124"/>
      <c r="C414" s="2121"/>
      <c r="D414" s="2144"/>
      <c r="E414" s="2166" t="s">
        <v>6132</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ht="15" outlineLevel="1">
      <c r="A415" s="2102" t="str">
        <f t="shared" si="61"/>
        <v>Cáp đồng trần M25mm2</v>
      </c>
      <c r="B415" s="2124" t="s">
        <v>1033</v>
      </c>
      <c r="C415" s="2121"/>
      <c r="D415" s="2114">
        <v>0</v>
      </c>
      <c r="E415" s="2115" t="s">
        <v>6313</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ht="15" outlineLevel="1">
      <c r="A416" s="2102" t="str">
        <f t="shared" si="61"/>
        <v>Cọc tiếp đất Þ 16- 2,4m + kẹp cọc mạ đồng</v>
      </c>
      <c r="B416" s="2124" t="s">
        <v>1508</v>
      </c>
      <c r="C416" s="2121"/>
      <c r="D416" s="2114">
        <v>0</v>
      </c>
      <c r="E416" s="2115" t="s">
        <v>5162</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ht="15"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ht="15" outlineLevel="1">
      <c r="A418" s="2102" t="str">
        <f t="shared" si="61"/>
        <v>Cut PVC 21</v>
      </c>
      <c r="B418" s="2124" t="s">
        <v>6149</v>
      </c>
      <c r="C418" s="2121"/>
      <c r="D418" s="2114">
        <v>0</v>
      </c>
      <c r="E418" s="2115" t="s">
        <v>5795</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ht="15"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ht="15"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ht="15" outlineLevel="1">
      <c r="A421" s="2102" t="str">
        <f t="shared" si="61"/>
        <v>Cổ dê kẹp ống PVC  21</v>
      </c>
      <c r="B421" s="2124" t="s">
        <v>525</v>
      </c>
      <c r="C421" s="2121"/>
      <c r="D421" s="2114">
        <v>0</v>
      </c>
      <c r="E421" s="2115" t="s">
        <v>5251</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ht="15"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ht="15" outlineLevel="1">
      <c r="A423" s="2102" t="str">
        <f t="shared" si="61"/>
        <v>Đai thép Inox</v>
      </c>
      <c r="B423" s="2124" t="s">
        <v>5180</v>
      </c>
      <c r="C423" s="2121"/>
      <c r="D423" s="2114">
        <v>0</v>
      </c>
      <c r="E423" s="2115" t="s">
        <v>5181</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ht="15" outlineLevel="1">
      <c r="A424" s="2102" t="str">
        <f t="shared" si="61"/>
        <v>Khóa đai Inox</v>
      </c>
      <c r="B424" s="2124" t="s">
        <v>5182</v>
      </c>
      <c r="C424" s="2121"/>
      <c r="D424" s="2114">
        <v>0</v>
      </c>
      <c r="E424" s="2115" t="s">
        <v>5183</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ht="15" outlineLevel="1">
      <c r="A425" s="2102" t="str">
        <f t="shared" si="61"/>
        <v>Cổ dê kẹp ống PVC  21</v>
      </c>
      <c r="B425" s="2127" t="s">
        <v>525</v>
      </c>
      <c r="C425" s="2121"/>
      <c r="D425" s="2114">
        <v>0</v>
      </c>
      <c r="E425" s="2115" t="s">
        <v>5251</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ht="15" outlineLevel="1">
      <c r="A426" s="2102" t="str">
        <f t="shared" si="61"/>
        <v>Giếng tiếp địa khoan đất</v>
      </c>
      <c r="B426" s="2124" t="s">
        <v>6150</v>
      </c>
      <c r="C426" s="2121"/>
      <c r="D426" s="2114">
        <v>0</v>
      </c>
      <c r="E426" s="2115" t="s">
        <v>5712</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ht="15" outlineLevel="1">
      <c r="A427" s="2102" t="str">
        <f t="shared" si="61"/>
        <v>Kéo dây tiếp địa trong TBA</v>
      </c>
      <c r="B427" s="2124" t="s">
        <v>2183</v>
      </c>
      <c r="C427" s="2121"/>
      <c r="D427" s="2114" t="s">
        <v>5345</v>
      </c>
      <c r="E427" s="2115" t="s">
        <v>5346</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ht="15" outlineLevel="1">
      <c r="A428" s="2102" t="str">
        <f t="shared" si="61"/>
        <v>Đóng cọc tiếp địa trong TBA</v>
      </c>
      <c r="B428" s="2127" t="s">
        <v>902</v>
      </c>
      <c r="C428" s="2121"/>
      <c r="D428" s="2114" t="s">
        <v>5350</v>
      </c>
      <c r="E428" s="2115" t="s">
        <v>5351</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ht="15" outlineLevel="1">
      <c r="A429" s="2102" t="str">
        <f t="shared" si="61"/>
        <v>Đào rãnh tiếp địa đất cấp 3</v>
      </c>
      <c r="B429" s="2124" t="s">
        <v>1055</v>
      </c>
      <c r="C429" s="2121"/>
      <c r="D429" s="2114" t="s">
        <v>5335</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ht="15" outlineLevel="1">
      <c r="A430" s="2102" t="str">
        <f t="shared" si="61"/>
        <v>Đắp đất rãnh tiếp độ chặt k=0,85</v>
      </c>
      <c r="B430" s="2127" t="s">
        <v>1056</v>
      </c>
      <c r="C430" s="2121"/>
      <c r="D430" s="2114" t="s">
        <v>5324</v>
      </c>
      <c r="E430" s="2115" t="s">
        <v>5336</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ht="15"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5" outlineLevel="1">
      <c r="A432" s="2102" t="e">
        <f t="shared" si="61"/>
        <v>#N/A</v>
      </c>
      <c r="B432" s="2124"/>
      <c r="C432" s="2136"/>
      <c r="D432" s="2140"/>
      <c r="E432" s="2166" t="s">
        <v>6132</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ht="15" outlineLevel="1">
      <c r="A433" s="2102" t="str">
        <f t="shared" si="61"/>
        <v>Tủ MCCB trạm treo 1 pha</v>
      </c>
      <c r="B433" s="2124" t="s">
        <v>5653</v>
      </c>
      <c r="C433" s="2121"/>
      <c r="D433" s="2114" t="s">
        <v>5654</v>
      </c>
      <c r="E433" s="2115" t="s">
        <v>5655</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ht="15"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ht="15" outlineLevel="1">
      <c r="A435" s="2102" t="str">
        <f t="shared" si="61"/>
        <v xml:space="preserve">Bakelit 550x450 dầy 10mm </v>
      </c>
      <c r="B435" s="2124" t="s">
        <v>880</v>
      </c>
      <c r="C435" s="2121"/>
      <c r="D435" s="2114">
        <v>0</v>
      </c>
      <c r="E435" s="2115" t="s">
        <v>5798</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ht="15" outlineLevel="1">
      <c r="A436" s="2102" t="e">
        <f t="shared" si="61"/>
        <v>#N/A</v>
      </c>
      <c r="B436" s="2124"/>
      <c r="C436" s="2136">
        <f>IF(G436&gt;0,C431+1,C431)</f>
        <v>0</v>
      </c>
      <c r="D436" s="2140"/>
      <c r="E436" s="2165" t="s">
        <v>6151</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5" outlineLevel="1">
      <c r="A437" s="2102" t="e">
        <f t="shared" si="61"/>
        <v>#N/A</v>
      </c>
      <c r="B437" s="2124"/>
      <c r="C437" s="2136"/>
      <c r="D437" s="2140"/>
      <c r="E437" s="2166" t="s">
        <v>6132</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ht="15" outlineLevel="1">
      <c r="A438" s="2102" t="str">
        <f t="shared" si="61"/>
        <v>Cáp 24KV C/XLPE/PVC 25mm2</v>
      </c>
      <c r="B438" s="2127" t="s">
        <v>697</v>
      </c>
      <c r="C438" s="2121"/>
      <c r="D438" s="2114">
        <v>0</v>
      </c>
      <c r="E438" s="2115" t="s">
        <v>5086</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ht="15"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ht="15" outlineLevel="1">
      <c r="A440" s="2102" t="str">
        <f t="shared" si="61"/>
        <v>Kẹp hotline 2/0</v>
      </c>
      <c r="B440" s="2112" t="s">
        <v>1477</v>
      </c>
      <c r="C440" s="2121"/>
      <c r="D440" s="2114"/>
      <c r="E440" s="2115" t="s">
        <v>4334</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ht="15" outlineLevel="1">
      <c r="A441" s="2102" t="str">
        <f t="shared" ref="A441:A472" si="63">VLOOKUP(B441,DonGia,3,0)</f>
        <v>Nắp che đầu cực FCO</v>
      </c>
      <c r="B441" s="2127" t="s">
        <v>6124</v>
      </c>
      <c r="C441" s="2121"/>
      <c r="D441" s="2114">
        <v>0</v>
      </c>
      <c r="E441" s="2115" t="s">
        <v>5699</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ht="15" outlineLevel="1">
      <c r="A442" s="2102" t="str">
        <f t="shared" si="63"/>
        <v>Nắp che đầu cực LA</v>
      </c>
      <c r="B442" s="2127" t="s">
        <v>6125</v>
      </c>
      <c r="C442" s="2121"/>
      <c r="D442" s="2114">
        <v>0</v>
      </c>
      <c r="E442" s="2115" t="s">
        <v>5705</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ht="15" outlineLevel="1">
      <c r="A443" s="2102" t="str">
        <f t="shared" si="63"/>
        <v>Nắp che đầu sứ MBA</v>
      </c>
      <c r="B443" s="2112" t="s">
        <v>6129</v>
      </c>
      <c r="C443" s="2121"/>
      <c r="D443" s="2114">
        <v>0</v>
      </c>
      <c r="E443" s="2115" t="s">
        <v>5707</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ht="15" outlineLevel="1">
      <c r="A444" s="2102" t="str">
        <f t="shared" si="63"/>
        <v>Chụp cách điện kẹp quai</v>
      </c>
      <c r="B444" s="2112" t="s">
        <v>5703</v>
      </c>
      <c r="C444" s="2121"/>
      <c r="D444" s="2114">
        <v>0</v>
      </c>
      <c r="E444" s="2115" t="s">
        <v>4537</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ht="15" outlineLevel="1">
      <c r="A445" s="2102" t="str">
        <f t="shared" si="63"/>
        <v>Lắp cáp đồng xuống thiết bị D ≤ 95mm2</v>
      </c>
      <c r="B445" s="2112" t="s">
        <v>1525</v>
      </c>
      <c r="C445" s="2121"/>
      <c r="D445" s="2114" t="s">
        <v>5570</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ht="15" outlineLevel="1">
      <c r="A446" s="2102" t="e">
        <f t="shared" si="63"/>
        <v>#N/A</v>
      </c>
      <c r="B446" s="2124"/>
      <c r="C446" s="2136">
        <f>IF(G446&gt;0,C436+1,C436)</f>
        <v>0</v>
      </c>
      <c r="D446" s="2140"/>
      <c r="E446" s="2152" t="s">
        <v>6152</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5" outlineLevel="1">
      <c r="A447" s="2102" t="e">
        <f t="shared" si="63"/>
        <v>#N/A</v>
      </c>
      <c r="B447" s="2124"/>
      <c r="C447" s="2136"/>
      <c r="D447" s="2140"/>
      <c r="E447" s="2142" t="s">
        <v>6132</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ht="15" outlineLevel="1">
      <c r="A448" s="2102" t="str">
        <f t="shared" si="63"/>
        <v>Cáp đồng bọc CV120</v>
      </c>
      <c r="B448" s="2124" t="s">
        <v>32</v>
      </c>
      <c r="C448" s="2136"/>
      <c r="D448" s="2114">
        <v>0</v>
      </c>
      <c r="E448" s="2115" t="s">
        <v>6321</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ht="15" outlineLevel="1">
      <c r="A449" s="2102" t="str">
        <f t="shared" si="63"/>
        <v>Cáp đồng bọc CV25</v>
      </c>
      <c r="B449" s="2124" t="s">
        <v>1526</v>
      </c>
      <c r="C449" s="2136"/>
      <c r="D449" s="2114">
        <v>0</v>
      </c>
      <c r="E449" s="2115" t="s">
        <v>6322</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ht="15" outlineLevel="1">
      <c r="A450" s="2102" t="str">
        <f t="shared" si="63"/>
        <v xml:space="preserve">Cáp CVV 4x4mm2  </v>
      </c>
      <c r="B450" s="2124" t="s">
        <v>4517</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ht="15" outlineLevel="1">
      <c r="A451" s="2102" t="str">
        <f t="shared" si="63"/>
        <v>Cáp đồng bọc CV120</v>
      </c>
      <c r="B451" s="2124" t="s">
        <v>32</v>
      </c>
      <c r="C451" s="2121"/>
      <c r="D451" s="2114">
        <v>0</v>
      </c>
      <c r="E451" s="2115" t="s">
        <v>6323</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ht="15"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ht="15" outlineLevel="1">
      <c r="A453" s="2102" t="str">
        <f t="shared" si="63"/>
        <v>Băng keo cách điện</v>
      </c>
      <c r="B453" s="2124" t="s">
        <v>672</v>
      </c>
      <c r="C453" s="2121"/>
      <c r="D453" s="2114">
        <v>0</v>
      </c>
      <c r="E453" s="2115" t="s">
        <v>5800</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ht="15" outlineLevel="1">
      <c r="A454" s="2102" t="str">
        <f t="shared" si="63"/>
        <v>Đầu cosse ép Cu 120mm2</v>
      </c>
      <c r="B454" s="2124" t="s">
        <v>1305</v>
      </c>
      <c r="C454" s="2121"/>
      <c r="D454" s="2114" t="s">
        <v>5727</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ht="15" outlineLevel="1">
      <c r="A455" s="2102" t="str">
        <f t="shared" si="63"/>
        <v>Đầu cosse ép Cu 25mm2</v>
      </c>
      <c r="B455" s="2124" t="s">
        <v>1073</v>
      </c>
      <c r="C455" s="2121"/>
      <c r="D455" s="2114" t="s">
        <v>5723</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ht="15"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ht="15" outlineLevel="1">
      <c r="A457" s="2102" t="str">
        <f t="shared" si="63"/>
        <v>Chụp đầu cosse  25mm2</v>
      </c>
      <c r="B457" s="2124" t="s">
        <v>6153</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ht="15"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ht="15" outlineLevel="1">
      <c r="A459" s="2102" t="str">
        <f t="shared" si="63"/>
        <v>Cổ dê kẹp ống PVC Ø 114</v>
      </c>
      <c r="B459" s="2127" t="s">
        <v>1862</v>
      </c>
      <c r="C459" s="2121"/>
      <c r="D459" s="2114">
        <v>0</v>
      </c>
      <c r="E459" s="2115" t="s">
        <v>5257</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ht="15"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ht="15" outlineLevel="1">
      <c r="A461" s="2102" t="str">
        <f t="shared" si="63"/>
        <v>Lắp cổ dê</v>
      </c>
      <c r="B461" s="2127" t="s">
        <v>1131</v>
      </c>
      <c r="C461" s="2121"/>
      <c r="D461" s="2114" t="s">
        <v>5271</v>
      </c>
      <c r="E461" s="2115" t="s">
        <v>5469</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ht="15" outlineLevel="1">
      <c r="A462" s="2102" t="str">
        <f t="shared" si="63"/>
        <v>Co  90 độ PVC 90</v>
      </c>
      <c r="B462" s="2124" t="s">
        <v>69</v>
      </c>
      <c r="C462" s="2121"/>
      <c r="D462" s="2114">
        <v>0</v>
      </c>
      <c r="E462" s="2115" t="s">
        <v>5796</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ht="15" outlineLevel="1">
      <c r="A463" s="2102" t="str">
        <f t="shared" si="63"/>
        <v>Nối ống PVC 114</v>
      </c>
      <c r="B463" s="2124" t="s">
        <v>688</v>
      </c>
      <c r="C463" s="2121"/>
      <c r="D463" s="2114">
        <v>0</v>
      </c>
      <c r="E463" s="2115" t="s">
        <v>4450</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ht="15"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ht="15"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ht="15"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ht="15" outlineLevel="1">
      <c r="A467" s="2102" t="str">
        <f t="shared" si="63"/>
        <v>Keo silicon bít miệng ống</v>
      </c>
      <c r="B467" s="2124" t="s">
        <v>489</v>
      </c>
      <c r="C467" s="2121"/>
      <c r="D467" s="2114">
        <v>0</v>
      </c>
      <c r="E467" s="2115" t="s">
        <v>3567</v>
      </c>
      <c r="F467" s="2114" t="s">
        <v>5805</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ht="15" outlineLevel="1">
      <c r="A468" s="2102" t="str">
        <f t="shared" si="63"/>
        <v>Băng keo cách điện</v>
      </c>
      <c r="B468" s="2127" t="s">
        <v>672</v>
      </c>
      <c r="C468" s="2121"/>
      <c r="D468" s="2144"/>
      <c r="E468" s="2115" t="s">
        <v>5800</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ht="15" outlineLevel="1">
      <c r="A469" s="2102" t="str">
        <f t="shared" si="63"/>
        <v>Lắp ống nhựa PVC D90</v>
      </c>
      <c r="B469" s="2124" t="s">
        <v>2182</v>
      </c>
      <c r="C469" s="2121"/>
      <c r="D469" s="2114" t="s">
        <v>5546</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ht="15" outlineLevel="1">
      <c r="A470" s="2102" t="str">
        <f t="shared" si="63"/>
        <v>Lắp cáp đồng xuống thiết bị D ≤ 150mm2</v>
      </c>
      <c r="B470" s="2127" t="s">
        <v>2006</v>
      </c>
      <c r="C470" s="2121"/>
      <c r="D470" s="2114" t="s">
        <v>5571</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ht="15" outlineLevel="1">
      <c r="A471" s="2102" t="str">
        <f t="shared" si="63"/>
        <v>Bảng tên trạm, bảng báo nguy hiểm + đinh vít</v>
      </c>
      <c r="B471" s="2124" t="s">
        <v>289</v>
      </c>
      <c r="C471" s="2154">
        <f>IF(G471&gt;0,C446+1,C446)</f>
        <v>0</v>
      </c>
      <c r="D471" s="2155"/>
      <c r="E471" s="2115" t="s">
        <v>5711</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ht="15" outlineLevel="1">
      <c r="A472" s="2102" t="e">
        <f t="shared" si="63"/>
        <v>#N/A</v>
      </c>
      <c r="B472" s="2124"/>
      <c r="C472" s="2159"/>
      <c r="D472" s="2160"/>
      <c r="E472" s="2133"/>
      <c r="F472" s="2616"/>
      <c r="G472" s="2616"/>
      <c r="H472" s="2616"/>
      <c r="I472" s="2616"/>
      <c r="J472" s="2652" t="s">
        <v>6130</v>
      </c>
      <c r="K472" s="2652"/>
      <c r="L472" s="2161">
        <f>SUM(L392:L471)</f>
        <v>0</v>
      </c>
      <c r="M472" s="2161"/>
      <c r="N472" s="2161">
        <f>SUM(N392:N471)</f>
        <v>0</v>
      </c>
      <c r="O472" s="2161">
        <f>SUM(O392:O471)</f>
        <v>0</v>
      </c>
      <c r="P472" s="2164"/>
    </row>
    <row r="473" spans="1:16" s="2099" customFormat="1" ht="13.9" customHeight="1">
      <c r="A473" s="2143" t="str">
        <f>IF(G478&lt;&gt;0,1,"")</f>
        <v/>
      </c>
      <c r="B473" s="2124"/>
      <c r="C473" s="2617"/>
      <c r="D473" s="2621"/>
      <c r="E473" s="2183"/>
    </row>
    <row r="474" spans="1:16" s="2099" customFormat="1" ht="15"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ht="15" outlineLevel="1">
      <c r="A475" s="2102" t="e">
        <f t="shared" si="67"/>
        <v>#N/A</v>
      </c>
      <c r="B475" s="2124" t="s">
        <v>6111</v>
      </c>
      <c r="C475" s="2642" t="s">
        <v>1708</v>
      </c>
      <c r="D475" s="2643" t="s">
        <v>2597</v>
      </c>
      <c r="E475" s="2645" t="s">
        <v>2598</v>
      </c>
      <c r="F475" s="2642" t="s">
        <v>2593</v>
      </c>
      <c r="G475" s="2103" t="s">
        <v>6112</v>
      </c>
      <c r="H475" s="2106" t="s">
        <v>6113</v>
      </c>
      <c r="I475" s="2613"/>
      <c r="J475" s="2613"/>
      <c r="K475" s="2614"/>
      <c r="L475" s="2106" t="s">
        <v>6114</v>
      </c>
      <c r="M475" s="2613"/>
      <c r="N475" s="2613"/>
      <c r="O475" s="2614"/>
      <c r="P475" s="2642" t="s">
        <v>2599</v>
      </c>
    </row>
    <row r="476" spans="1:16" s="2099" customFormat="1" ht="15" outlineLevel="1">
      <c r="A476" s="2102" t="e">
        <f t="shared" si="67"/>
        <v>#N/A</v>
      </c>
      <c r="B476" s="2124"/>
      <c r="C476" s="2642"/>
      <c r="D476" s="2644"/>
      <c r="E476" s="2646"/>
      <c r="F476" s="2642"/>
      <c r="G476" s="2105" t="s">
        <v>2286</v>
      </c>
      <c r="H476" s="2106" t="s">
        <v>6115</v>
      </c>
      <c r="I476" s="2106" t="s">
        <v>6116</v>
      </c>
      <c r="J476" s="2106" t="s">
        <v>6117</v>
      </c>
      <c r="K476" s="2106" t="s">
        <v>6118</v>
      </c>
      <c r="L476" s="2106" t="s">
        <v>6115</v>
      </c>
      <c r="M476" s="2106" t="s">
        <v>6116</v>
      </c>
      <c r="N476" s="2106" t="s">
        <v>6117</v>
      </c>
      <c r="O476" s="2106" t="s">
        <v>6118</v>
      </c>
      <c r="P476" s="2642"/>
    </row>
    <row r="477" spans="1:16" s="2099" customFormat="1" ht="15"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ht="15" outlineLevel="1">
      <c r="A478" s="2102" t="str">
        <f t="shared" si="67"/>
        <v>Máy biến áp 12,7/0,22-0,44kV  100kVA</v>
      </c>
      <c r="B478" s="2112" t="s">
        <v>503</v>
      </c>
      <c r="C478" s="2113">
        <f>IF(G478&gt;0,1,0)</f>
        <v>0</v>
      </c>
      <c r="D478" s="2114" t="s">
        <v>5585</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ht="15" outlineLevel="1">
      <c r="A479" s="2102" t="str">
        <f t="shared" si="67"/>
        <v>FCO 24kV - 100A</v>
      </c>
      <c r="B479" s="2112" t="str">
        <f>"FCO100-"&amp;$F$8</f>
        <v>FCO100-22</v>
      </c>
      <c r="C479" s="2113">
        <f t="shared" ref="C479:C486" si="72">IF(G479&gt;0,C478+1,C478)</f>
        <v>0</v>
      </c>
      <c r="D479" s="2114" t="s">
        <v>5597</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ht="15"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ht="15" outlineLevel="1">
      <c r="A481" s="2102" t="str">
        <f t="shared" si="67"/>
        <v>Chống sét van LA-18KV-10KA</v>
      </c>
      <c r="B481" s="2125" t="str">
        <f>"LA"&amp;$F$6</f>
        <v>LA18</v>
      </c>
      <c r="C481" s="2113">
        <f t="shared" si="72"/>
        <v>0</v>
      </c>
      <c r="D481" s="2114" t="s">
        <v>5601</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ht="15"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ht="15" outlineLevel="1">
      <c r="A483" s="2102" t="str">
        <f t="shared" si="67"/>
        <v xml:space="preserve">MCCB 3 cực 600V -250A - 36KA </v>
      </c>
      <c r="B483" s="2153" t="s">
        <v>710</v>
      </c>
      <c r="C483" s="2113">
        <f t="shared" si="72"/>
        <v>0</v>
      </c>
      <c r="D483" s="2114">
        <v>0</v>
      </c>
      <c r="E483" s="2115" t="s">
        <v>5681</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ht="15"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ht="15"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ht="15"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ht="15" outlineLevel="1">
      <c r="A487" s="2102" t="e">
        <f t="shared" si="67"/>
        <v>#N/A</v>
      </c>
      <c r="B487" s="2124"/>
      <c r="C487" s="2129"/>
      <c r="D487" s="2130"/>
      <c r="E487" s="2111"/>
      <c r="F487" s="2129"/>
      <c r="G487" s="2186"/>
      <c r="H487" s="2129"/>
      <c r="I487" s="2129"/>
      <c r="J487" s="2111" t="s">
        <v>6120</v>
      </c>
      <c r="K487" s="2129"/>
      <c r="L487" s="2111">
        <f>SUM(L478:L486)</f>
        <v>0</v>
      </c>
      <c r="M487" s="2111"/>
      <c r="N487" s="2111">
        <f>SUM(N478:N486)</f>
        <v>0</v>
      </c>
      <c r="O487" s="2111">
        <f>SUM(O478:O486)</f>
        <v>0</v>
      </c>
      <c r="P487" s="2164"/>
    </row>
    <row r="488" spans="1:18" s="2099" customFormat="1" ht="15"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ht="15"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ht="15" outlineLevel="1">
      <c r="A490" s="2102" t="e">
        <f t="shared" si="67"/>
        <v>#N/A</v>
      </c>
      <c r="B490" s="2124"/>
      <c r="C490" s="2139">
        <f>IF(G490&gt;0,C489+1,C489)</f>
        <v>0</v>
      </c>
      <c r="D490" s="2140"/>
      <c r="E490" s="2141" t="s">
        <v>6137</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5" outlineLevel="1">
      <c r="A491" s="2102" t="e">
        <f t="shared" si="67"/>
        <v>#N/A</v>
      </c>
      <c r="B491" s="2124"/>
      <c r="C491" s="2136"/>
      <c r="D491" s="2140"/>
      <c r="E491" s="2142" t="s">
        <v>6132</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ht="15"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ht="15"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ht="15"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ht="15"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5" outlineLevel="1">
      <c r="A496" s="2102" t="e">
        <f t="shared" si="67"/>
        <v>#N/A</v>
      </c>
      <c r="B496" s="2124"/>
      <c r="C496" s="2136"/>
      <c r="D496" s="2140"/>
      <c r="E496" s="2142" t="s">
        <v>6132</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ht="15" outlineLevel="1">
      <c r="A497" s="2102" t="str">
        <f t="shared" si="67"/>
        <v>Đà cản BTCT 1,2m</v>
      </c>
      <c r="B497" s="2127" t="s">
        <v>636</v>
      </c>
      <c r="C497" s="2121"/>
      <c r="D497" s="2114" t="s">
        <v>5046</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ht="15" outlineLevel="1">
      <c r="A498" s="2102" t="str">
        <f t="shared" si="67"/>
        <v>Boulon 22x650+ 2 long đền vuông D24-50x50x3/Zn</v>
      </c>
      <c r="B498" s="2127" t="s">
        <v>566</v>
      </c>
      <c r="C498" s="2121"/>
      <c r="D498" s="2114">
        <v>0</v>
      </c>
      <c r="E498" s="2115" t="s">
        <v>5071</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ht="15" outlineLevel="1">
      <c r="A499" s="2102" t="str">
        <f t="shared" si="67"/>
        <v>Đào hố móng đất cấp 3 sâu &gt;1m</v>
      </c>
      <c r="B499" s="2127" t="s">
        <v>639</v>
      </c>
      <c r="C499" s="2121"/>
      <c r="D499" s="2114" t="s">
        <v>1747</v>
      </c>
      <c r="E499" s="2115" t="s">
        <v>5323</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ht="15" outlineLevel="1">
      <c r="A500" s="2102" t="str">
        <f t="shared" si="67"/>
        <v>Đắp đất hố móng, độ chặt k=0,95</v>
      </c>
      <c r="B500" s="2127" t="s">
        <v>21</v>
      </c>
      <c r="C500" s="2121"/>
      <c r="D500" s="2114" t="s">
        <v>5324</v>
      </c>
      <c r="E500" s="2115" t="s">
        <v>5325</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ht="15"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5" outlineLevel="1">
      <c r="A502" s="2102" t="e">
        <f t="shared" si="67"/>
        <v>#N/A</v>
      </c>
      <c r="B502" s="2124"/>
      <c r="C502" s="2136"/>
      <c r="D502" s="2140"/>
      <c r="E502" s="2166" t="s">
        <v>6132</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ht="15" outlineLevel="1">
      <c r="A503" s="2102" t="str">
        <f t="shared" si="67"/>
        <v>Đà Composite 110x80x5x800</v>
      </c>
      <c r="B503" s="2127" t="s">
        <v>5156</v>
      </c>
      <c r="C503" s="2121"/>
      <c r="D503" s="2114">
        <v>0</v>
      </c>
      <c r="E503" s="2115" t="s">
        <v>4864</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ht="15" outlineLevel="1">
      <c r="A504" s="2102" t="str">
        <f t="shared" si="67"/>
        <v>Chống Composite 40x10x710</v>
      </c>
      <c r="B504" s="2127" t="s">
        <v>5160</v>
      </c>
      <c r="C504" s="2121"/>
      <c r="D504" s="2144"/>
      <c r="E504" s="2115" t="s">
        <v>5161</v>
      </c>
      <c r="F504" s="2114" t="s">
        <v>5159</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ht="15" outlineLevel="1">
      <c r="A505" s="2102" t="str">
        <f t="shared" si="67"/>
        <v>Bass LL bắt FCO, LA</v>
      </c>
      <c r="B505" s="2127" t="s">
        <v>6154</v>
      </c>
      <c r="C505" s="2121"/>
      <c r="D505" s="2144"/>
      <c r="E505" s="2115" t="s">
        <v>5077</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ht="15"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ht="15"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ht="15" outlineLevel="1">
      <c r="A508" s="2102" t="str">
        <f t="shared" si="77"/>
        <v>Lắp xà đỡ 15kg</v>
      </c>
      <c r="B508" s="2124" t="s">
        <v>5375</v>
      </c>
      <c r="C508" s="2121"/>
      <c r="D508" s="2144"/>
      <c r="E508" s="2115" t="s">
        <v>5376</v>
      </c>
      <c r="F508" s="2114" t="s">
        <v>2439</v>
      </c>
      <c r="G508" s="2185">
        <f>G506</f>
        <v>0</v>
      </c>
      <c r="H508" s="2117">
        <v>0</v>
      </c>
      <c r="I508" s="2122"/>
      <c r="J508" s="2147" t="s">
        <v>6324</v>
      </c>
      <c r="K508" s="2117">
        <v>0</v>
      </c>
      <c r="L508" s="2123">
        <f>H508*G508</f>
        <v>0</v>
      </c>
      <c r="M508" s="2123">
        <f>I508*G508</f>
        <v>0</v>
      </c>
      <c r="N508" s="2123">
        <v>0</v>
      </c>
      <c r="O508" s="2122">
        <f>K508*G508</f>
        <v>0</v>
      </c>
      <c r="P508" s="2149"/>
    </row>
    <row r="509" spans="1:18" s="2099" customFormat="1" ht="15"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5" outlineLevel="1">
      <c r="A510" s="2102" t="e">
        <f t="shared" si="77"/>
        <v>#N/A</v>
      </c>
      <c r="B510" s="2124"/>
      <c r="C510" s="2121"/>
      <c r="D510" s="2144"/>
      <c r="E510" s="2166" t="s">
        <v>6132</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ht="15"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ht="15" outlineLevel="1">
      <c r="A512" s="2102" t="str">
        <f t="shared" si="77"/>
        <v>Cọc tiếp đất Þ 16- 2,4m + kẹp cọc mạ đồng</v>
      </c>
      <c r="B512" s="2127" t="s">
        <v>1508</v>
      </c>
      <c r="C512" s="2121"/>
      <c r="D512" s="2114">
        <v>0</v>
      </c>
      <c r="E512" s="2115" t="s">
        <v>5162</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ht="15" outlineLevel="1">
      <c r="A513" s="2102" t="str">
        <f t="shared" si="77"/>
        <v>Ông sắt tráng kẽm D21</v>
      </c>
      <c r="B513" s="2127" t="s">
        <v>5298</v>
      </c>
      <c r="C513" s="2121"/>
      <c r="D513" s="2114" t="s">
        <v>5299</v>
      </c>
      <c r="E513" s="2115" t="s">
        <v>5300</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ht="15" outlineLevel="1">
      <c r="A514" s="2102" t="str">
        <f t="shared" si="77"/>
        <v>Cut PVC 21</v>
      </c>
      <c r="B514" s="2127" t="s">
        <v>6149</v>
      </c>
      <c r="C514" s="2121"/>
      <c r="D514" s="2114">
        <v>0</v>
      </c>
      <c r="E514" s="2115" t="s">
        <v>5795</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ht="15"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ht="15"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ht="15" outlineLevel="1">
      <c r="A517" s="2102" t="str">
        <f t="shared" si="77"/>
        <v>Đầu cosse ép Cu 35mm2</v>
      </c>
      <c r="B517" s="2124" t="s">
        <v>377</v>
      </c>
      <c r="C517" s="2121"/>
      <c r="D517" s="2114" t="s">
        <v>5724</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ht="15"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ht="15" outlineLevel="1">
      <c r="A519" s="2102" t="str">
        <f t="shared" si="77"/>
        <v>Đai thép Inox</v>
      </c>
      <c r="B519" s="2124" t="s">
        <v>5180</v>
      </c>
      <c r="C519" s="2121"/>
      <c r="D519" s="2114">
        <v>0</v>
      </c>
      <c r="E519" s="2115" t="s">
        <v>5181</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ht="15" outlineLevel="1">
      <c r="A520" s="2102" t="str">
        <f t="shared" si="77"/>
        <v>Khóa đai Inox</v>
      </c>
      <c r="B520" s="2124" t="s">
        <v>5182</v>
      </c>
      <c r="C520" s="2121"/>
      <c r="D520" s="2114">
        <v>0</v>
      </c>
      <c r="E520" s="2115" t="s">
        <v>5183</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ht="15" outlineLevel="1">
      <c r="A521" s="2102" t="str">
        <f t="shared" si="77"/>
        <v>Cổ dê kẹp ống PVC  21</v>
      </c>
      <c r="B521" s="2127" t="s">
        <v>525</v>
      </c>
      <c r="C521" s="2121"/>
      <c r="D521" s="2114">
        <v>0</v>
      </c>
      <c r="E521" s="2115" t="s">
        <v>5251</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ht="15" outlineLevel="1">
      <c r="A522" s="2102" t="str">
        <f t="shared" si="77"/>
        <v>Giếng tiếp địa khoan đất</v>
      </c>
      <c r="B522" s="2124" t="s">
        <v>6150</v>
      </c>
      <c r="C522" s="2121"/>
      <c r="D522" s="2114">
        <v>0</v>
      </c>
      <c r="E522" s="2115" t="s">
        <v>5712</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ht="15" outlineLevel="1">
      <c r="A523" s="2102" t="str">
        <f t="shared" si="77"/>
        <v>Kéo dây tiếp địa trong TBA</v>
      </c>
      <c r="B523" s="2124" t="s">
        <v>2183</v>
      </c>
      <c r="C523" s="2121"/>
      <c r="D523" s="2114" t="s">
        <v>5345</v>
      </c>
      <c r="E523" s="2115" t="s">
        <v>5346</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ht="15" outlineLevel="1">
      <c r="A524" s="2102" t="str">
        <f t="shared" si="77"/>
        <v>Đóng cọc tiếp địa trong TBA</v>
      </c>
      <c r="B524" s="2127" t="s">
        <v>902</v>
      </c>
      <c r="C524" s="2121"/>
      <c r="D524" s="2114" t="s">
        <v>5350</v>
      </c>
      <c r="E524" s="2115" t="s">
        <v>5351</v>
      </c>
      <c r="F524" s="2114" t="s">
        <v>2278</v>
      </c>
      <c r="G524" s="2185">
        <f>G512</f>
        <v>0</v>
      </c>
      <c r="H524" s="2117">
        <v>0</v>
      </c>
      <c r="I524" s="2122"/>
      <c r="J524" s="2117" t="s">
        <v>6314</v>
      </c>
      <c r="K524" s="2117">
        <v>1573.075</v>
      </c>
      <c r="L524" s="2123">
        <f t="shared" si="73"/>
        <v>0</v>
      </c>
      <c r="M524" s="2123">
        <f t="shared" si="74"/>
        <v>0</v>
      </c>
      <c r="N524" s="2117">
        <v>0</v>
      </c>
      <c r="O524" s="2122">
        <f t="shared" si="76"/>
        <v>0</v>
      </c>
      <c r="P524" s="2149"/>
    </row>
    <row r="525" spans="1:16" s="2099" customFormat="1" ht="15" outlineLevel="1">
      <c r="A525" s="2102" t="str">
        <f t="shared" si="77"/>
        <v>Đào rãnh tiếp địa đất cấp 3</v>
      </c>
      <c r="B525" s="2124" t="s">
        <v>1055</v>
      </c>
      <c r="C525" s="2121"/>
      <c r="D525" s="2114" t="s">
        <v>5335</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ht="15" outlineLevel="1">
      <c r="A526" s="2102" t="str">
        <f t="shared" si="77"/>
        <v>Đắp đất rãnh tiếp độ chặt k=0,85</v>
      </c>
      <c r="B526" s="2127" t="s">
        <v>1056</v>
      </c>
      <c r="C526" s="2121"/>
      <c r="D526" s="2114" t="s">
        <v>5324</v>
      </c>
      <c r="E526" s="2115" t="s">
        <v>5336</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ht="15"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5" outlineLevel="1">
      <c r="A528" s="2102" t="e">
        <f t="shared" si="77"/>
        <v>#N/A</v>
      </c>
      <c r="B528" s="2124"/>
      <c r="C528" s="2136"/>
      <c r="D528" s="2140"/>
      <c r="E528" s="2166" t="s">
        <v>6132</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ht="15" outlineLevel="1">
      <c r="A529" s="2102" t="str">
        <f t="shared" si="77"/>
        <v>Tủ MCCB trạm treo 1 pha</v>
      </c>
      <c r="B529" s="2175" t="s">
        <v>5653</v>
      </c>
      <c r="C529" s="2121"/>
      <c r="D529" s="2114" t="s">
        <v>5654</v>
      </c>
      <c r="E529" s="2115" t="s">
        <v>5655</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ht="15" outlineLevel="1">
      <c r="A530" s="2102" t="str">
        <f t="shared" si="77"/>
        <v>Cổ dê CDĐKĐT( bắt thùng điện kế)</v>
      </c>
      <c r="B530" s="2124" t="s">
        <v>319</v>
      </c>
      <c r="C530" s="2121"/>
      <c r="D530" s="2114">
        <v>0</v>
      </c>
      <c r="E530" s="2115" t="s">
        <v>5268</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ht="15" outlineLevel="1">
      <c r="A531" s="2102" t="str">
        <f t="shared" si="77"/>
        <v xml:space="preserve">Bakelit 550x450 dầy 10mm </v>
      </c>
      <c r="B531" s="2124" t="s">
        <v>880</v>
      </c>
      <c r="C531" s="2121"/>
      <c r="D531" s="2114">
        <v>0</v>
      </c>
      <c r="E531" s="2115" t="s">
        <v>5798</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ht="15" outlineLevel="1">
      <c r="A532" s="2102" t="e">
        <f t="shared" si="77"/>
        <v>#N/A</v>
      </c>
      <c r="B532" s="2124"/>
      <c r="C532" s="2136">
        <f>IF(G532&gt;0,C527+1,C527)</f>
        <v>0</v>
      </c>
      <c r="D532" s="2140"/>
      <c r="E532" s="2165" t="s">
        <v>6138</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5" outlineLevel="1">
      <c r="A533" s="2102" t="e">
        <f t="shared" si="77"/>
        <v>#N/A</v>
      </c>
      <c r="B533" s="2124"/>
      <c r="C533" s="2136"/>
      <c r="D533" s="2140"/>
      <c r="E533" s="2166" t="s">
        <v>6132</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ht="15" outlineLevel="1">
      <c r="A534" s="2102" t="str">
        <f t="shared" si="77"/>
        <v>Cáp 24KV C/XLPE/PVC 25mm2</v>
      </c>
      <c r="B534" s="2127" t="s">
        <v>697</v>
      </c>
      <c r="C534" s="2121"/>
      <c r="D534" s="2114">
        <v>0</v>
      </c>
      <c r="E534" s="2115" t="s">
        <v>5086</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ht="15"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ht="15" outlineLevel="1">
      <c r="A536" s="2102" t="str">
        <f t="shared" si="77"/>
        <v>Kẹp hotline 2/0</v>
      </c>
      <c r="B536" s="2112" t="s">
        <v>1477</v>
      </c>
      <c r="C536" s="2121"/>
      <c r="D536" s="2114">
        <v>0</v>
      </c>
      <c r="E536" s="2115" t="s">
        <v>4334</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ht="15" outlineLevel="1">
      <c r="A537" s="2102" t="str">
        <f t="shared" si="77"/>
        <v>Nắp che đầu cực FCO</v>
      </c>
      <c r="B537" s="2112" t="s">
        <v>6124</v>
      </c>
      <c r="C537" s="2121"/>
      <c r="D537" s="2114">
        <v>0</v>
      </c>
      <c r="E537" s="2188" t="s">
        <v>5699</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ht="15" outlineLevel="1">
      <c r="A538" s="2102" t="str">
        <f t="shared" ref="A538:A561" si="79">VLOOKUP(B538,DonGia,3,0)</f>
        <v>Nắp che đầu cực LA</v>
      </c>
      <c r="B538" s="2112" t="s">
        <v>5704</v>
      </c>
      <c r="C538" s="2121"/>
      <c r="D538" s="2114">
        <v>0</v>
      </c>
      <c r="E538" s="2188" t="s">
        <v>5705</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ht="15" outlineLevel="1">
      <c r="A539" s="2102" t="str">
        <f t="shared" si="79"/>
        <v>Nắp che đầu sứ MBA</v>
      </c>
      <c r="B539" s="2112" t="s">
        <v>5706</v>
      </c>
      <c r="C539" s="2121"/>
      <c r="D539" s="2114">
        <v>0</v>
      </c>
      <c r="E539" s="2188" t="s">
        <v>5707</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ht="15" outlineLevel="1">
      <c r="A540" s="2102" t="str">
        <f t="shared" si="79"/>
        <v>Chụp cách điện kẹp quai</v>
      </c>
      <c r="B540" s="2112" t="s">
        <v>6155</v>
      </c>
      <c r="C540" s="2121"/>
      <c r="D540" s="2114">
        <v>0</v>
      </c>
      <c r="E540" s="2188" t="s">
        <v>4537</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ht="15" outlineLevel="1">
      <c r="A541" s="2102" t="str">
        <f t="shared" si="79"/>
        <v>Lắp cáp đồng xuống thiết bị D ≤ 95mm2</v>
      </c>
      <c r="B541" s="2112" t="s">
        <v>1525</v>
      </c>
      <c r="C541" s="2121"/>
      <c r="D541" s="2114" t="s">
        <v>5570</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ht="15" outlineLevel="1">
      <c r="A542" s="2102" t="e">
        <f t="shared" si="79"/>
        <v>#N/A</v>
      </c>
      <c r="B542" s="2124"/>
      <c r="C542" s="2136">
        <f>IF(G542&gt;0,C532+1,C532)</f>
        <v>0</v>
      </c>
      <c r="D542" s="2140"/>
      <c r="E542" s="2152" t="s">
        <v>6156</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5" outlineLevel="1">
      <c r="A543" s="2102" t="e">
        <f t="shared" si="79"/>
        <v>#N/A</v>
      </c>
      <c r="B543" s="2124"/>
      <c r="C543" s="2136"/>
      <c r="D543" s="2140"/>
      <c r="E543" s="2142" t="s">
        <v>6132</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ht="15" outlineLevel="1">
      <c r="A544" s="2102" t="str">
        <f t="shared" si="79"/>
        <v>Cáp đồng bọc CV150</v>
      </c>
      <c r="B544" s="2124" t="s">
        <v>6157</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ht="15"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ht="15" outlineLevel="1">
      <c r="A546" s="2102" t="str">
        <f t="shared" si="79"/>
        <v xml:space="preserve">Cáp CVV 4x4mm2  </v>
      </c>
      <c r="B546" s="2124" t="s">
        <v>4517</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ht="15" outlineLevel="1">
      <c r="A547" s="2102" t="str">
        <f t="shared" si="79"/>
        <v>Đầu cosse ép Cu 150mm2</v>
      </c>
      <c r="B547" s="2124" t="s">
        <v>0</v>
      </c>
      <c r="C547" s="2121"/>
      <c r="D547" s="2114" t="s">
        <v>5728</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ht="15" outlineLevel="1">
      <c r="A548" s="2102" t="str">
        <f t="shared" si="79"/>
        <v>Đầu cosse ép Cu 120mm2</v>
      </c>
      <c r="B548" s="2124" t="str">
        <f>IF(G542=1,"Cos"&amp;RIGHT(B$545,3),"Cos"&amp;RIGHT(B$545,3))</f>
        <v>Cos120</v>
      </c>
      <c r="C548" s="2121"/>
      <c r="D548" s="2114" t="s">
        <v>5727</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ht="15"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ht="15"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ht="15"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ht="15" outlineLevel="1">
      <c r="A552" s="2102" t="str">
        <f t="shared" si="79"/>
        <v>Cổ dê kẹp ống PVC Ø 90</v>
      </c>
      <c r="B552" s="2127" t="s">
        <v>276</v>
      </c>
      <c r="C552" s="2121"/>
      <c r="D552" s="2114">
        <v>0</v>
      </c>
      <c r="E552" s="2115" t="s">
        <v>5256</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ht="15" outlineLevel="1">
      <c r="A553" s="2102" t="str">
        <f t="shared" si="79"/>
        <v>Co  90 độ PVC 90</v>
      </c>
      <c r="B553" s="2124" t="s">
        <v>69</v>
      </c>
      <c r="C553" s="2121"/>
      <c r="D553" s="2114">
        <v>0</v>
      </c>
      <c r="E553" s="2115" t="s">
        <v>5796</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ht="15"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ht="15"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ht="15" outlineLevel="1">
      <c r="A556" s="2102" t="str">
        <f t="shared" si="79"/>
        <v>Keo silicon bít miệng ống</v>
      </c>
      <c r="B556" s="2124" t="s">
        <v>489</v>
      </c>
      <c r="C556" s="2121"/>
      <c r="D556" s="2114">
        <v>0</v>
      </c>
      <c r="E556" s="2115" t="s">
        <v>3567</v>
      </c>
      <c r="F556" s="2114" t="s">
        <v>5805</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ht="15" outlineLevel="1">
      <c r="A557" s="2102" t="str">
        <f t="shared" si="79"/>
        <v>Băng keo cách điện</v>
      </c>
      <c r="B557" s="2127" t="s">
        <v>672</v>
      </c>
      <c r="C557" s="2121"/>
      <c r="D557" s="2144"/>
      <c r="E557" s="2115" t="s">
        <v>5800</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ht="15" outlineLevel="1">
      <c r="A558" s="2102" t="str">
        <f t="shared" si="79"/>
        <v>Lắp ống nhựa PVC D90</v>
      </c>
      <c r="B558" s="2124" t="s">
        <v>2182</v>
      </c>
      <c r="C558" s="2121"/>
      <c r="D558" s="2114" t="s">
        <v>5546</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ht="15" outlineLevel="1">
      <c r="A559" s="2102" t="str">
        <f t="shared" si="79"/>
        <v>Lắp cáp đồng xuống thiết bị D ≤ 150mm2</v>
      </c>
      <c r="B559" s="2127" t="s">
        <v>2006</v>
      </c>
      <c r="C559" s="2121"/>
      <c r="D559" s="2114" t="s">
        <v>5571</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ht="15" outlineLevel="1">
      <c r="A560" s="2102" t="str">
        <f t="shared" si="79"/>
        <v>Bảng tên trạm, bảng báo nguy hiểm + đinh vít</v>
      </c>
      <c r="B560" s="2124" t="s">
        <v>289</v>
      </c>
      <c r="C560" s="2154">
        <f>IF(G560&gt;0,C542+1,C542)</f>
        <v>0</v>
      </c>
      <c r="D560" s="2155"/>
      <c r="E560" s="2115" t="s">
        <v>5711</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ht="15" outlineLevel="1">
      <c r="A561" s="2102" t="e">
        <f t="shared" si="79"/>
        <v>#N/A</v>
      </c>
      <c r="B561" s="2124"/>
      <c r="C561" s="2159"/>
      <c r="D561" s="2160"/>
      <c r="E561" s="2133"/>
      <c r="F561" s="2616"/>
      <c r="G561" s="2616"/>
      <c r="H561" s="2616"/>
      <c r="I561" s="2616"/>
      <c r="J561" s="2652" t="s">
        <v>6130</v>
      </c>
      <c r="K561" s="2652"/>
      <c r="L561" s="2161">
        <f>SUM(L489:L560)</f>
        <v>0</v>
      </c>
      <c r="M561" s="2161"/>
      <c r="N561" s="2161">
        <f>SUM(N489:N560)</f>
        <v>0</v>
      </c>
      <c r="O561" s="2161">
        <f>SUM(O489:O560)</f>
        <v>0</v>
      </c>
      <c r="P561" s="2164"/>
    </row>
    <row r="562" spans="1:16" s="2099" customFormat="1" ht="13.9" customHeight="1">
      <c r="A562" s="2143" t="str">
        <f>IF(G567&lt;&gt;0,1,"")</f>
        <v/>
      </c>
      <c r="B562" s="2124"/>
      <c r="C562" s="2617"/>
      <c r="D562" s="2621"/>
      <c r="E562" s="2183"/>
    </row>
    <row r="563" spans="1:16" s="2099" customFormat="1" ht="15"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ht="15" outlineLevel="1">
      <c r="A564" s="2102" t="e">
        <f t="shared" si="83"/>
        <v>#N/A</v>
      </c>
      <c r="B564" s="2124" t="s">
        <v>6111</v>
      </c>
      <c r="C564" s="2642" t="s">
        <v>1708</v>
      </c>
      <c r="D564" s="2643" t="s">
        <v>2597</v>
      </c>
      <c r="E564" s="2645" t="s">
        <v>2598</v>
      </c>
      <c r="F564" s="2642" t="s">
        <v>2593</v>
      </c>
      <c r="G564" s="2103" t="s">
        <v>6112</v>
      </c>
      <c r="H564" s="2106" t="s">
        <v>6113</v>
      </c>
      <c r="I564" s="2613"/>
      <c r="J564" s="2613"/>
      <c r="K564" s="2614"/>
      <c r="L564" s="2106" t="s">
        <v>6114</v>
      </c>
      <c r="M564" s="2613"/>
      <c r="N564" s="2613"/>
      <c r="O564" s="2614"/>
      <c r="P564" s="2642" t="s">
        <v>2599</v>
      </c>
    </row>
    <row r="565" spans="1:16" s="2099" customFormat="1" ht="15" outlineLevel="1">
      <c r="A565" s="2102" t="e">
        <f t="shared" si="83"/>
        <v>#N/A</v>
      </c>
      <c r="B565" s="2124"/>
      <c r="C565" s="2642"/>
      <c r="D565" s="2644"/>
      <c r="E565" s="2646"/>
      <c r="F565" s="2642"/>
      <c r="G565" s="2105" t="s">
        <v>2286</v>
      </c>
      <c r="H565" s="2106" t="s">
        <v>6115</v>
      </c>
      <c r="I565" s="2106" t="s">
        <v>6116</v>
      </c>
      <c r="J565" s="2106" t="s">
        <v>6117</v>
      </c>
      <c r="K565" s="2106" t="s">
        <v>6118</v>
      </c>
      <c r="L565" s="2106" t="s">
        <v>6115</v>
      </c>
      <c r="M565" s="2106" t="s">
        <v>6116</v>
      </c>
      <c r="N565" s="2106" t="s">
        <v>6117</v>
      </c>
      <c r="O565" s="2106" t="s">
        <v>6118</v>
      </c>
      <c r="P565" s="2642"/>
    </row>
    <row r="566" spans="1:16" s="2099" customFormat="1" ht="15"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ht="15" outlineLevel="1">
      <c r="A567" s="2102" t="str">
        <f t="shared" si="83"/>
        <v>Máy biến áp 12,7/0,22-0,44kV  15kVA</v>
      </c>
      <c r="B567" s="2112" t="str">
        <f>IF($F$8=22,"TR151","TR15")</f>
        <v>TR151</v>
      </c>
      <c r="C567" s="2113">
        <f>IF(G567&gt;0,1,0)</f>
        <v>0</v>
      </c>
      <c r="D567" s="2114" t="s">
        <v>5582</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ht="15" outlineLevel="1">
      <c r="A568" s="2102" t="str">
        <f t="shared" si="83"/>
        <v>FCO 24kV - 100A</v>
      </c>
      <c r="B568" s="2112" t="str">
        <f>"FCO100-"&amp;$F$8</f>
        <v>FCO100-22</v>
      </c>
      <c r="C568" s="2121">
        <f>IF(G568&gt;0,C567+1,C567)</f>
        <v>0</v>
      </c>
      <c r="D568" s="2114" t="s">
        <v>5597</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ht="15"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ht="15" outlineLevel="1">
      <c r="A570" s="2102" t="str">
        <f t="shared" si="83"/>
        <v>Chống sét van LA-18KV-10KA</v>
      </c>
      <c r="B570" s="2124" t="str">
        <f>"LA"&amp;$F$6</f>
        <v>LA18</v>
      </c>
      <c r="C570" s="2121">
        <f>IF(G570&gt;0,C569+1,C569)</f>
        <v>0</v>
      </c>
      <c r="D570" s="2114" t="s">
        <v>5601</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ht="15" outlineLevel="1">
      <c r="A571" s="2102" t="str">
        <f t="shared" si="83"/>
        <v>MCCB 3 cực 400V-75A - 10KA</v>
      </c>
      <c r="B571" s="2126" t="s">
        <v>81</v>
      </c>
      <c r="C571" s="2121">
        <f>IF(G571&gt;0,C570+1,C570)</f>
        <v>0</v>
      </c>
      <c r="D571" s="2114">
        <v>0</v>
      </c>
      <c r="E571" s="2115" t="s">
        <v>5678</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ht="15"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ht="15" outlineLevel="1">
      <c r="A573" s="2102" t="e">
        <f t="shared" si="83"/>
        <v>#N/A</v>
      </c>
      <c r="B573" s="2124"/>
      <c r="C573" s="2129"/>
      <c r="D573" s="2190"/>
      <c r="E573" s="2111"/>
      <c r="F573" s="2129"/>
      <c r="G573" s="2129"/>
      <c r="H573" s="2129"/>
      <c r="I573" s="2129"/>
      <c r="J573" s="2111" t="s">
        <v>6120</v>
      </c>
      <c r="K573" s="2129"/>
      <c r="L573" s="2111">
        <f>SUM(L567:L572)</f>
        <v>0</v>
      </c>
      <c r="M573" s="2111"/>
      <c r="N573" s="2111">
        <f>SUM(N567:N572)</f>
        <v>0</v>
      </c>
      <c r="O573" s="2111">
        <f>SUM(O567:O572)</f>
        <v>0</v>
      </c>
      <c r="P573" s="2191"/>
    </row>
    <row r="574" spans="1:16" s="2099" customFormat="1" ht="15"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ht="15"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5" outlineLevel="1">
      <c r="A576" s="2102" t="e">
        <f t="shared" si="83"/>
        <v>#N/A</v>
      </c>
      <c r="B576" s="2124"/>
      <c r="C576" s="2136"/>
      <c r="D576" s="2196"/>
      <c r="E576" s="2166" t="s">
        <v>6132</v>
      </c>
      <c r="F576" s="2121"/>
      <c r="G576" s="2121"/>
      <c r="H576" s="2197"/>
      <c r="I576" s="2197"/>
      <c r="J576" s="2197"/>
      <c r="K576" s="2197"/>
      <c r="L576" s="2197"/>
      <c r="M576" s="2197"/>
      <c r="N576" s="2197"/>
      <c r="O576" s="2198"/>
      <c r="P576" s="2149"/>
    </row>
    <row r="577" spans="1:18" s="2099" customFormat="1" ht="15" outlineLevel="1">
      <c r="A577" s="2102" t="str">
        <f t="shared" si="83"/>
        <v>Giá chùm treo máy biến áp 3x15</v>
      </c>
      <c r="B577" s="2127" t="s">
        <v>1586</v>
      </c>
      <c r="C577" s="2136"/>
      <c r="D577" s="2114">
        <v>0</v>
      </c>
      <c r="E577" s="2115" t="s">
        <v>5713</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ht="15"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ht="15"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ht="15" outlineLevel="1">
      <c r="A580" s="2102" t="e">
        <f t="shared" si="83"/>
        <v>#N/A</v>
      </c>
      <c r="B580" s="2124"/>
      <c r="C580" s="2139">
        <f>IF(G580&gt;0,C575+1,C575)</f>
        <v>0</v>
      </c>
      <c r="D580" s="2140"/>
      <c r="E580" s="2141" t="s">
        <v>6137</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5" outlineLevel="1">
      <c r="A581" s="2102" t="e">
        <f t="shared" si="83"/>
        <v>#N/A</v>
      </c>
      <c r="B581" s="2124"/>
      <c r="C581" s="2136"/>
      <c r="D581" s="2140"/>
      <c r="E581" s="2142" t="s">
        <v>6132</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ht="15"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ht="15"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ht="15"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ht="15"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5" outlineLevel="1">
      <c r="A586" s="2102" t="e">
        <f t="shared" si="83"/>
        <v>#N/A</v>
      </c>
      <c r="B586" s="2124"/>
      <c r="C586" s="2136"/>
      <c r="D586" s="2140"/>
      <c r="E586" s="2142" t="s">
        <v>6132</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ht="15" outlineLevel="1">
      <c r="A587" s="2102" t="str">
        <f t="shared" si="83"/>
        <v>Đà cản BTCT 1,2m</v>
      </c>
      <c r="B587" s="2127" t="s">
        <v>230</v>
      </c>
      <c r="C587" s="2121"/>
      <c r="D587" s="2114" t="s">
        <v>5046</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ht="15" outlineLevel="1">
      <c r="A588" s="2102" t="str">
        <f t="shared" si="83"/>
        <v>Boulon 22x650+ 2 long đền vuông D24-50x50x3/Zn</v>
      </c>
      <c r="B588" s="2127" t="s">
        <v>398</v>
      </c>
      <c r="C588" s="2121"/>
      <c r="D588" s="2114">
        <v>0</v>
      </c>
      <c r="E588" s="2115" t="s">
        <v>5071</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ht="15" outlineLevel="1">
      <c r="A589" s="2102" t="str">
        <f t="shared" si="83"/>
        <v>Đào hố móng đất cấp 3 sâu &gt;1m</v>
      </c>
      <c r="B589" s="2127" t="s">
        <v>639</v>
      </c>
      <c r="C589" s="2121"/>
      <c r="D589" s="2114" t="s">
        <v>1747</v>
      </c>
      <c r="E589" s="2115" t="s">
        <v>5323</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ht="15" outlineLevel="1">
      <c r="A590" s="2102" t="str">
        <f t="shared" si="83"/>
        <v>Đắp đất hố móng, độ chặt k=0,95</v>
      </c>
      <c r="B590" s="2127" t="s">
        <v>21</v>
      </c>
      <c r="C590" s="2121"/>
      <c r="D590" s="2114" t="s">
        <v>5324</v>
      </c>
      <c r="E590" s="2115" t="s">
        <v>5325</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ht="15" outlineLevel="1">
      <c r="A591" s="2102" t="e">
        <f t="shared" si="83"/>
        <v>#N/A</v>
      </c>
      <c r="B591" s="2127" t="s">
        <v>6158</v>
      </c>
      <c r="C591" s="2136">
        <f>IF(G591&gt;0,C585+1,C585)</f>
        <v>0</v>
      </c>
      <c r="D591" s="2196"/>
      <c r="E591" s="2165" t="s">
        <v>6159</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ht="15" outlineLevel="1">
      <c r="A592" s="2102" t="str">
        <f t="shared" si="83"/>
        <v>Đà Composite 110x80x5x2400</v>
      </c>
      <c r="B592" s="2127" t="s">
        <v>5150</v>
      </c>
      <c r="C592" s="2121"/>
      <c r="D592" s="2114">
        <v>0</v>
      </c>
      <c r="E592" s="2115" t="s">
        <v>5151</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ht="15" outlineLevel="1">
      <c r="A593" s="2102" t="str">
        <f t="shared" si="83"/>
        <v>Chống Composite 40x10x920</v>
      </c>
      <c r="B593" s="2127" t="s">
        <v>5157</v>
      </c>
      <c r="C593" s="2121"/>
      <c r="D593" s="2114">
        <v>0</v>
      </c>
      <c r="E593" s="2115" t="s">
        <v>5158</v>
      </c>
      <c r="F593" s="2114" t="s">
        <v>5159</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ht="15" outlineLevel="1">
      <c r="A594" s="2102" t="str">
        <f t="shared" si="83"/>
        <v>Bass LL bắt FCO, LA</v>
      </c>
      <c r="B594" s="2124" t="s">
        <v>488</v>
      </c>
      <c r="C594" s="2121"/>
      <c r="D594" s="2114">
        <v>0</v>
      </c>
      <c r="E594" s="2115" t="s">
        <v>5077</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ht="15"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ht="15"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ht="15"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ht="15" outlineLevel="1">
      <c r="A598" s="2102" t="str">
        <f t="shared" si="92"/>
        <v>Lắp xà đỡ ≤ 50kg</v>
      </c>
      <c r="B598" s="2124" t="s">
        <v>516</v>
      </c>
      <c r="C598" s="2136"/>
      <c r="D598" s="2114" t="s">
        <v>5420</v>
      </c>
      <c r="E598" s="2115" t="s">
        <v>5421</v>
      </c>
      <c r="F598" s="2114" t="s">
        <v>2439</v>
      </c>
      <c r="G598" s="2121">
        <f>G591</f>
        <v>0</v>
      </c>
      <c r="H598" s="2117">
        <v>0</v>
      </c>
      <c r="I598" s="2128"/>
      <c r="J598" s="2147" t="s">
        <v>6325</v>
      </c>
      <c r="K598" s="2117">
        <v>0</v>
      </c>
      <c r="L598" s="2123">
        <f t="shared" si="90"/>
        <v>0</v>
      </c>
      <c r="M598" s="2123">
        <f t="shared" si="88"/>
        <v>0</v>
      </c>
      <c r="N598" s="2117">
        <v>0</v>
      </c>
      <c r="O598" s="2122">
        <f t="shared" si="89"/>
        <v>0</v>
      </c>
      <c r="P598" s="2149"/>
    </row>
    <row r="599" spans="1:18" s="2099" customFormat="1" ht="15" outlineLevel="1">
      <c r="A599" s="2102" t="e">
        <f t="shared" si="92"/>
        <v>#N/A</v>
      </c>
      <c r="B599" s="2124"/>
      <c r="C599" s="2136">
        <f>IF(G599&gt;0,C585+1,C585)</f>
        <v>0</v>
      </c>
      <c r="D599" s="2196"/>
      <c r="E599" s="2165" t="s">
        <v>6160</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5" outlineLevel="1">
      <c r="A600" s="2102" t="e">
        <f t="shared" si="92"/>
        <v>#N/A</v>
      </c>
      <c r="B600" s="2124"/>
      <c r="C600" s="2136"/>
      <c r="D600" s="2196"/>
      <c r="E600" s="2166" t="s">
        <v>6132</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ht="15"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ht="15"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ht="15"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ht="15"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ht="15" outlineLevel="1">
      <c r="A605" s="2102" t="str">
        <f t="shared" si="92"/>
        <v>Lắp xà đỡ ≤ 50kg</v>
      </c>
      <c r="B605" s="2124" t="s">
        <v>516</v>
      </c>
      <c r="C605" s="2136"/>
      <c r="D605" s="2114" t="s">
        <v>5420</v>
      </c>
      <c r="E605" s="2115" t="s">
        <v>5421</v>
      </c>
      <c r="F605" s="2114" t="s">
        <v>2439</v>
      </c>
      <c r="G605" s="2121">
        <f>G599</f>
        <v>0</v>
      </c>
      <c r="H605" s="2117">
        <v>0</v>
      </c>
      <c r="I605" s="2128"/>
      <c r="J605" s="2147" t="s">
        <v>6325</v>
      </c>
      <c r="K605" s="2117">
        <v>0</v>
      </c>
      <c r="L605" s="2123">
        <f>H605*G605</f>
        <v>0</v>
      </c>
      <c r="M605" s="2123">
        <f>I605*G605</f>
        <v>0</v>
      </c>
      <c r="N605" s="2117">
        <v>0</v>
      </c>
      <c r="O605" s="2122">
        <f>K605*G605</f>
        <v>0</v>
      </c>
      <c r="P605" s="2149"/>
    </row>
    <row r="606" spans="1:18" s="2099" customFormat="1" ht="15"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5" outlineLevel="1">
      <c r="A607" s="2102" t="e">
        <f t="shared" si="92"/>
        <v>#N/A</v>
      </c>
      <c r="B607" s="2124"/>
      <c r="C607" s="2136"/>
      <c r="D607" s="2196"/>
      <c r="E607" s="2166" t="s">
        <v>6161</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ht="15"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ht="15" outlineLevel="1">
      <c r="A609" s="2102" t="str">
        <f t="shared" si="92"/>
        <v>Cọc tiếp đất Þ 16- 2,4m + kẹp cọc mạ đồng</v>
      </c>
      <c r="B609" s="2127" t="s">
        <v>1508</v>
      </c>
      <c r="C609" s="2121"/>
      <c r="D609" s="2114">
        <v>0</v>
      </c>
      <c r="E609" s="2115" t="s">
        <v>5162</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ht="15"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ht="15"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ht="15"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ht="15"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ht="15" outlineLevel="1">
      <c r="A614" s="2102" t="str">
        <f t="shared" si="92"/>
        <v>Cổ dê kẹp ống PVC  21</v>
      </c>
      <c r="B614" s="2127" t="s">
        <v>1592</v>
      </c>
      <c r="C614" s="2121"/>
      <c r="D614" s="2114">
        <v>0</v>
      </c>
      <c r="E614" s="2115" t="s">
        <v>5251</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ht="15" outlineLevel="1">
      <c r="A615" s="2102" t="str">
        <f t="shared" si="92"/>
        <v>Lắp cổ dê</v>
      </c>
      <c r="B615" s="2127" t="s">
        <v>1130</v>
      </c>
      <c r="C615" s="2121"/>
      <c r="D615" s="2114" t="s">
        <v>5271</v>
      </c>
      <c r="E615" s="2115" t="s">
        <v>5469</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ht="15" outlineLevel="1">
      <c r="A616" s="2102" t="str">
        <f t="shared" si="92"/>
        <v>Kéo dây tiếp địa trong TBA</v>
      </c>
      <c r="B616" s="2124" t="s">
        <v>389</v>
      </c>
      <c r="C616" s="2121"/>
      <c r="D616" s="2114" t="s">
        <v>5345</v>
      </c>
      <c r="E616" s="2115" t="s">
        <v>5346</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ht="15" outlineLevel="1">
      <c r="A617" s="2102" t="str">
        <f t="shared" si="92"/>
        <v>Đóng cọc tiếp địa trong TBA</v>
      </c>
      <c r="B617" s="2127" t="s">
        <v>1438</v>
      </c>
      <c r="C617" s="2121"/>
      <c r="D617" s="2114" t="s">
        <v>5350</v>
      </c>
      <c r="E617" s="2115" t="s">
        <v>5351</v>
      </c>
      <c r="F617" s="2114" t="s">
        <v>2278</v>
      </c>
      <c r="G617" s="2121">
        <f>G609</f>
        <v>0</v>
      </c>
      <c r="H617" s="2117">
        <v>0</v>
      </c>
      <c r="I617" s="2122"/>
      <c r="J617" s="2147" t="s">
        <v>6314</v>
      </c>
      <c r="K617" s="2117">
        <v>1573.075</v>
      </c>
      <c r="L617" s="2123">
        <f>H617*G617</f>
        <v>0</v>
      </c>
      <c r="M617" s="2123">
        <f>I617*G617</f>
        <v>0</v>
      </c>
      <c r="N617" s="2117">
        <v>0</v>
      </c>
      <c r="O617" s="2122">
        <f>K617*G617</f>
        <v>0</v>
      </c>
      <c r="P617" s="2149"/>
    </row>
    <row r="618" spans="1:16" s="2099" customFormat="1" ht="15" outlineLevel="1">
      <c r="A618" s="2102" t="str">
        <f t="shared" si="92"/>
        <v>Đào rãnh tiếp địa đất cấp 2</v>
      </c>
      <c r="B618" s="2124" t="s">
        <v>24</v>
      </c>
      <c r="C618" s="2121"/>
      <c r="D618" s="2114" t="s">
        <v>5334</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ht="15" outlineLevel="1">
      <c r="A619" s="2102" t="str">
        <f t="shared" si="92"/>
        <v>Đắp đất rãnh tiếp độ chặt k=0,85</v>
      </c>
      <c r="B619" s="2124" t="s">
        <v>1056</v>
      </c>
      <c r="C619" s="2121"/>
      <c r="D619" s="2114" t="s">
        <v>5324</v>
      </c>
      <c r="E619" s="2115" t="s">
        <v>5336</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ht="15"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5" outlineLevel="1">
      <c r="A621" s="2102" t="e">
        <f t="shared" si="92"/>
        <v>#N/A</v>
      </c>
      <c r="B621" s="2124"/>
      <c r="C621" s="2136"/>
      <c r="D621" s="2196"/>
      <c r="E621" s="2166" t="s">
        <v>6132</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ht="15" outlineLevel="1">
      <c r="A622" s="2102" t="str">
        <f t="shared" si="92"/>
        <v>Tủ CB trạm 1 pha + khóa + boulon</v>
      </c>
      <c r="B622" s="2127" t="s">
        <v>616</v>
      </c>
      <c r="C622" s="2121"/>
      <c r="D622" s="2114" t="s">
        <v>5654</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ht="15"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ht="15" outlineLevel="1">
      <c r="A624" s="2102" t="str">
        <f t="shared" si="92"/>
        <v>Lắp cổ dê</v>
      </c>
      <c r="B624" s="2127" t="s">
        <v>1130</v>
      </c>
      <c r="C624" s="2121"/>
      <c r="D624" s="2114" t="s">
        <v>5271</v>
      </c>
      <c r="E624" s="2115" t="s">
        <v>5469</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ht="15"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ht="15" outlineLevel="1">
      <c r="A626" s="2102" t="str">
        <f t="shared" si="92"/>
        <v xml:space="preserve">Bakelit 550x450 dầy 10mm </v>
      </c>
      <c r="B626" s="2124" t="s">
        <v>880</v>
      </c>
      <c r="C626" s="2121"/>
      <c r="D626" s="2114">
        <v>0</v>
      </c>
      <c r="E626" s="2115" t="s">
        <v>5798</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ht="15" outlineLevel="1">
      <c r="A627" s="2102" t="e">
        <f t="shared" ref="A627:A654" si="93">VLOOKUP(B627,DonGia,3,0)</f>
        <v>#N/A</v>
      </c>
      <c r="B627" s="2124"/>
      <c r="C627" s="2136">
        <f>IF(G627&gt;0,C620+1,C620)</f>
        <v>0</v>
      </c>
      <c r="D627" s="2196"/>
      <c r="E627" s="2168" t="s">
        <v>6162</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5" outlineLevel="1">
      <c r="A628" s="2102" t="e">
        <f t="shared" si="93"/>
        <v>#N/A</v>
      </c>
      <c r="B628" s="2124"/>
      <c r="C628" s="2136"/>
      <c r="D628" s="2196"/>
      <c r="E628" s="2166" t="s">
        <v>6132</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ht="15" outlineLevel="1">
      <c r="A629" s="2102" t="str">
        <f t="shared" si="93"/>
        <v>Cáp 24KV C/XLPE/PVC 25mm2</v>
      </c>
      <c r="B629" s="2127" t="s">
        <v>697</v>
      </c>
      <c r="C629" s="2121"/>
      <c r="D629" s="2114">
        <v>0</v>
      </c>
      <c r="E629" s="2115" t="s">
        <v>6326</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ht="15"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ht="15" outlineLevel="1">
      <c r="A631" s="2102" t="str">
        <f t="shared" si="93"/>
        <v>Kẹp hotline 2/0</v>
      </c>
      <c r="B631" s="2112" t="s">
        <v>1477</v>
      </c>
      <c r="C631" s="2121"/>
      <c r="D631" s="2114">
        <v>0</v>
      </c>
      <c r="E631" s="2115" t="s">
        <v>4334</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ht="15" outlineLevel="1">
      <c r="A632" s="2102" t="str">
        <f t="shared" si="93"/>
        <v>Nắp che đầu cực FCO</v>
      </c>
      <c r="B632" s="2112" t="s">
        <v>5698</v>
      </c>
      <c r="C632" s="2121"/>
      <c r="D632" s="2114">
        <v>0</v>
      </c>
      <c r="E632" s="2115" t="s">
        <v>5699</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ht="15" outlineLevel="1">
      <c r="A633" s="2102" t="str">
        <f t="shared" si="93"/>
        <v>Nắp che đầu cực LA</v>
      </c>
      <c r="B633" s="2112" t="s">
        <v>5704</v>
      </c>
      <c r="C633" s="2121"/>
      <c r="D633" s="2114">
        <v>0</v>
      </c>
      <c r="E633" s="2115" t="s">
        <v>5705</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ht="15" outlineLevel="1">
      <c r="A634" s="2102" t="str">
        <f t="shared" si="93"/>
        <v>Nắp che đầu sứ MBA</v>
      </c>
      <c r="B634" s="2112" t="s">
        <v>5706</v>
      </c>
      <c r="C634" s="2121"/>
      <c r="D634" s="2114">
        <v>0</v>
      </c>
      <c r="E634" s="2115" t="s">
        <v>5707</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ht="15" outlineLevel="1">
      <c r="A635" s="2102" t="str">
        <f t="shared" si="93"/>
        <v>Lắp cáp đồng xuống thiết bị D ≤ 95mm2</v>
      </c>
      <c r="B635" s="2112" t="s">
        <v>1525</v>
      </c>
      <c r="C635" s="2121"/>
      <c r="D635" s="2114" t="s">
        <v>5570</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ht="15" outlineLevel="1">
      <c r="A636" s="2102" t="e">
        <f t="shared" si="93"/>
        <v>#N/A</v>
      </c>
      <c r="B636" s="2124"/>
      <c r="C636" s="2136">
        <f>IF(G636&gt;0,C627+1,C627)</f>
        <v>0</v>
      </c>
      <c r="D636" s="2196"/>
      <c r="E636" s="2152" t="s">
        <v>6163</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5" outlineLevel="1">
      <c r="A637" s="2102" t="e">
        <f t="shared" si="93"/>
        <v>#N/A</v>
      </c>
      <c r="B637" s="2124"/>
      <c r="C637" s="2136"/>
      <c r="D637" s="2196"/>
      <c r="E637" s="2166" t="s">
        <v>6132</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ht="15"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ht="15"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ht="15" outlineLevel="1">
      <c r="A640" s="2102" t="str">
        <f t="shared" si="93"/>
        <v>Đầu cosse ép Cu 50mm2</v>
      </c>
      <c r="B640" s="2124" t="s">
        <v>1302</v>
      </c>
      <c r="C640" s="2121"/>
      <c r="D640" s="2114" t="s">
        <v>5724</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ht="15"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ht="15"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ht="15" outlineLevel="1">
      <c r="A643" s="2102" t="str">
        <f t="shared" si="93"/>
        <v>Cổ dê kẹp ống PVC Ø 90</v>
      </c>
      <c r="B643" s="2127" t="s">
        <v>1990</v>
      </c>
      <c r="C643" s="2121"/>
      <c r="D643" s="2114">
        <v>0</v>
      </c>
      <c r="E643" s="2115" t="s">
        <v>5256</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ht="15" outlineLevel="1">
      <c r="A644" s="2102" t="str">
        <f t="shared" si="93"/>
        <v>Lắp cổ dê</v>
      </c>
      <c r="B644" s="2127" t="s">
        <v>1130</v>
      </c>
      <c r="C644" s="2121"/>
      <c r="D644" s="2114" t="s">
        <v>5271</v>
      </c>
      <c r="E644" s="2115" t="s">
        <v>5469</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ht="15" outlineLevel="1">
      <c r="A645" s="2102" t="str">
        <f t="shared" si="93"/>
        <v>Co  90 độ PVC 90</v>
      </c>
      <c r="B645" s="2124" t="s">
        <v>70</v>
      </c>
      <c r="C645" s="2121"/>
      <c r="D645" s="2114">
        <v>0</v>
      </c>
      <c r="E645" s="2115" t="s">
        <v>5796</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ht="15"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ht="15"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ht="15"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ht="15" outlineLevel="1">
      <c r="A649" s="2102" t="str">
        <f t="shared" si="93"/>
        <v>Keo silicon bít miệng ống</v>
      </c>
      <c r="B649" s="2124" t="s">
        <v>1179</v>
      </c>
      <c r="C649" s="2121"/>
      <c r="D649" s="2114">
        <v>0</v>
      </c>
      <c r="E649" s="2115" t="s">
        <v>3567</v>
      </c>
      <c r="F649" s="2114" t="s">
        <v>5805</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ht="15" outlineLevel="1">
      <c r="A650" s="2102" t="str">
        <f t="shared" si="93"/>
        <v>Băng keo cách điện</v>
      </c>
      <c r="B650" s="2127" t="s">
        <v>672</v>
      </c>
      <c r="C650" s="2121"/>
      <c r="D650" s="2114">
        <v>0</v>
      </c>
      <c r="E650" s="2115" t="s">
        <v>5800</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ht="15" outlineLevel="1">
      <c r="A651" s="2102" t="str">
        <f t="shared" si="93"/>
        <v>Lắp ống nhựa PVC D90</v>
      </c>
      <c r="B651" s="2124" t="s">
        <v>552</v>
      </c>
      <c r="C651" s="2121"/>
      <c r="D651" s="2114" t="s">
        <v>5546</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ht="15" outlineLevel="1">
      <c r="A652" s="2102" t="str">
        <f t="shared" si="93"/>
        <v>Lắp cáp đồng xuống thiết bị D ≤ 95mm2</v>
      </c>
      <c r="B652" s="2127" t="s">
        <v>1525</v>
      </c>
      <c r="C652" s="2121"/>
      <c r="D652" s="2114" t="s">
        <v>5570</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ht="15" outlineLevel="1">
      <c r="A653" s="2102" t="str">
        <f t="shared" si="93"/>
        <v>Bảng tên trạm, bảng báo nguy hiểm + đinh vít</v>
      </c>
      <c r="B653" s="2124" t="s">
        <v>289</v>
      </c>
      <c r="C653" s="2154">
        <f>IF(G653&gt;0,C636+1,C636)</f>
        <v>0</v>
      </c>
      <c r="D653" s="2155"/>
      <c r="E653" s="2115" t="s">
        <v>5711</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ht="15" outlineLevel="1">
      <c r="A654" s="2102" t="e">
        <f t="shared" si="93"/>
        <v>#N/A</v>
      </c>
      <c r="B654" s="2124"/>
      <c r="C654" s="2159"/>
      <c r="D654" s="2160"/>
      <c r="E654" s="2133"/>
      <c r="F654" s="2616"/>
      <c r="G654" s="2616"/>
      <c r="H654" s="2616"/>
      <c r="I654" s="2616"/>
      <c r="J654" s="2652" t="s">
        <v>6130</v>
      </c>
      <c r="K654" s="2652"/>
      <c r="L654" s="2161">
        <f>SUM(L577:L653)</f>
        <v>0</v>
      </c>
      <c r="M654" s="2161"/>
      <c r="N654" s="2161">
        <f>SUM(N577:N653)</f>
        <v>0</v>
      </c>
      <c r="O654" s="2161">
        <f>SUM(O577:O653)</f>
        <v>0</v>
      </c>
      <c r="P654" s="2164"/>
    </row>
    <row r="655" spans="1:16" s="2099" customFormat="1" ht="13.9" customHeight="1">
      <c r="A655" s="2143" t="str">
        <f>IF(G661&lt;&gt;0,1,"")</f>
        <v/>
      </c>
      <c r="B655" s="2125"/>
      <c r="C655" s="2617"/>
      <c r="D655" s="2621"/>
    </row>
    <row r="656" spans="1:16" s="2099" customFormat="1" ht="13.9" customHeight="1">
      <c r="A656" s="2143"/>
      <c r="B656" s="2125"/>
      <c r="C656" s="2617"/>
      <c r="D656" s="2621"/>
      <c r="E656" s="2138"/>
    </row>
    <row r="657" spans="1:16" s="2099" customFormat="1" ht="15"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ht="15" outlineLevel="1">
      <c r="A658" s="2102" t="str">
        <f>A657</f>
        <v/>
      </c>
      <c r="B658" s="2124" t="s">
        <v>6111</v>
      </c>
      <c r="C658" s="2642" t="s">
        <v>1708</v>
      </c>
      <c r="D658" s="2643" t="s">
        <v>2597</v>
      </c>
      <c r="E658" s="2645" t="s">
        <v>2598</v>
      </c>
      <c r="F658" s="2642" t="s">
        <v>2593</v>
      </c>
      <c r="G658" s="2103" t="s">
        <v>6112</v>
      </c>
      <c r="H658" s="2106" t="s">
        <v>6113</v>
      </c>
      <c r="I658" s="2613"/>
      <c r="J658" s="2613"/>
      <c r="K658" s="2614"/>
      <c r="L658" s="2106" t="s">
        <v>6114</v>
      </c>
      <c r="M658" s="2613"/>
      <c r="N658" s="2613"/>
      <c r="O658" s="2614"/>
      <c r="P658" s="2642" t="s">
        <v>2599</v>
      </c>
    </row>
    <row r="659" spans="1:16" s="2099" customFormat="1" ht="15" outlineLevel="1">
      <c r="A659" s="2102" t="str">
        <f>A658</f>
        <v/>
      </c>
      <c r="B659" s="2124"/>
      <c r="C659" s="2642"/>
      <c r="D659" s="2644"/>
      <c r="E659" s="2646"/>
      <c r="F659" s="2642"/>
      <c r="G659" s="2105" t="s">
        <v>2286</v>
      </c>
      <c r="H659" s="2106" t="s">
        <v>6115</v>
      </c>
      <c r="I659" s="2106" t="s">
        <v>6116</v>
      </c>
      <c r="J659" s="2106" t="s">
        <v>6117</v>
      </c>
      <c r="K659" s="2106" t="s">
        <v>6118</v>
      </c>
      <c r="L659" s="2106" t="s">
        <v>6115</v>
      </c>
      <c r="M659" s="2106" t="s">
        <v>6116</v>
      </c>
      <c r="N659" s="2106" t="s">
        <v>6117</v>
      </c>
      <c r="O659" s="2106" t="s">
        <v>6118</v>
      </c>
      <c r="P659" s="2642"/>
    </row>
    <row r="660" spans="1:16" s="2099" customFormat="1" ht="15"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ht="15" outlineLevel="1">
      <c r="A661" s="2102">
        <f>IF(G661&lt;&gt;0,1,0)</f>
        <v>0</v>
      </c>
      <c r="B661" s="2112" t="str">
        <f>IF($F$8=22,"TR251","TR25")</f>
        <v>TR251</v>
      </c>
      <c r="C661" s="2113">
        <f>IF(G661&gt;0,1,0)</f>
        <v>0</v>
      </c>
      <c r="D661" s="2114" t="s">
        <v>5582</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ht="15" outlineLevel="1">
      <c r="A662" s="2102">
        <f t="shared" ref="A662:A731" si="98">IF(G662&lt;&gt;0,1,0)</f>
        <v>0</v>
      </c>
      <c r="B662" s="2112" t="str">
        <f>"FCO100-"&amp;$F$8</f>
        <v>FCO100-22</v>
      </c>
      <c r="C662" s="2113">
        <f t="shared" ref="C662:C667" si="99">IF(G662&gt;0,C661+1,C661)</f>
        <v>0</v>
      </c>
      <c r="D662" s="2114" t="s">
        <v>5597</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ht="15"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ht="15" outlineLevel="1">
      <c r="A664" s="2102">
        <f t="shared" si="98"/>
        <v>0</v>
      </c>
      <c r="B664" s="2125" t="str">
        <f>"LA"&amp;$F$6</f>
        <v>LA18</v>
      </c>
      <c r="C664" s="2113">
        <f t="shared" si="99"/>
        <v>0</v>
      </c>
      <c r="D664" s="2114" t="s">
        <v>5601</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ht="15" outlineLevel="1">
      <c r="A665" s="2102">
        <f t="shared" si="98"/>
        <v>0</v>
      </c>
      <c r="B665" s="2126" t="s">
        <v>1419</v>
      </c>
      <c r="C665" s="2113">
        <f t="shared" si="99"/>
        <v>0</v>
      </c>
      <c r="D665" s="2114">
        <v>0</v>
      </c>
      <c r="E665" s="2115" t="s">
        <v>5679</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ht="15"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ht="15"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ht="15" outlineLevel="1">
      <c r="A668" s="2102" t="str">
        <f>A660</f>
        <v/>
      </c>
      <c r="B668" s="2124"/>
      <c r="C668" s="2129"/>
      <c r="D668" s="2190"/>
      <c r="E668" s="2111"/>
      <c r="F668" s="2129"/>
      <c r="G668" s="2129"/>
      <c r="H668" s="2129"/>
      <c r="I668" s="2129"/>
      <c r="J668" s="2111" t="s">
        <v>6120</v>
      </c>
      <c r="K668" s="2129"/>
      <c r="L668" s="2111">
        <f>SUM(L661:L667)</f>
        <v>0</v>
      </c>
      <c r="M668" s="2111">
        <f>SUM(M661:M667)</f>
        <v>0</v>
      </c>
      <c r="N668" s="2111">
        <f>SUM(N661:N667)</f>
        <v>0</v>
      </c>
      <c r="O668" s="2111">
        <f>SUM(O661:O667)</f>
        <v>0</v>
      </c>
      <c r="P668" s="2164"/>
    </row>
    <row r="669" spans="1:16" s="2099" customFormat="1" ht="15"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ht="15"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5" outlineLevel="1">
      <c r="A671" s="2102">
        <f>A670</f>
        <v>0</v>
      </c>
      <c r="B671" s="2124"/>
      <c r="C671" s="2136"/>
      <c r="D671" s="2196"/>
      <c r="E671" s="2166" t="s">
        <v>6132</v>
      </c>
      <c r="F671" s="2121"/>
      <c r="G671" s="2121"/>
      <c r="H671" s="2197"/>
      <c r="I671" s="2197"/>
      <c r="J671" s="2197"/>
      <c r="K671" s="2197"/>
      <c r="L671" s="2197"/>
      <c r="M671" s="2197"/>
      <c r="N671" s="2197"/>
      <c r="O671" s="2198"/>
      <c r="P671" s="2149"/>
    </row>
    <row r="672" spans="1:16" s="2099" customFormat="1" ht="15" outlineLevel="1">
      <c r="A672" s="2102">
        <f t="shared" si="98"/>
        <v>0</v>
      </c>
      <c r="B672" s="2127" t="s">
        <v>1000</v>
      </c>
      <c r="C672" s="2136"/>
      <c r="D672" s="2114">
        <v>0</v>
      </c>
      <c r="E672" s="2115" t="s">
        <v>5714</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ht="15"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ht="15"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ht="15" outlineLevel="1">
      <c r="A675" s="2102">
        <f>IF(G675&lt;&gt;0,1,)</f>
        <v>0</v>
      </c>
      <c r="B675" s="2124"/>
      <c r="C675" s="2139">
        <f>IF(G675&gt;0,C670+1,C670)</f>
        <v>0</v>
      </c>
      <c r="D675" s="2140"/>
      <c r="E675" s="2141" t="s">
        <v>6137</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5" outlineLevel="1">
      <c r="A676" s="2102">
        <f>A675</f>
        <v>0</v>
      </c>
      <c r="B676" s="2124"/>
      <c r="C676" s="2136"/>
      <c r="D676" s="2140"/>
      <c r="E676" s="2142" t="s">
        <v>6132</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ht="15"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ht="15"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ht="15"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ht="15"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5" outlineLevel="1">
      <c r="A681" s="2102">
        <f>A680</f>
        <v>0</v>
      </c>
      <c r="B681" s="2124"/>
      <c r="C681" s="2136"/>
      <c r="D681" s="2140"/>
      <c r="E681" s="2142" t="s">
        <v>6132</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ht="15" outlineLevel="1">
      <c r="A682" s="2102">
        <f>IF(G682&lt;&gt;0,1,)</f>
        <v>0</v>
      </c>
      <c r="B682" s="2127" t="s">
        <v>636</v>
      </c>
      <c r="C682" s="2121"/>
      <c r="D682" s="2114" t="s">
        <v>5046</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ht="15" outlineLevel="1">
      <c r="A683" s="2102">
        <f>IF(G683&lt;&gt;0,1,)</f>
        <v>0</v>
      </c>
      <c r="B683" s="2127" t="s">
        <v>566</v>
      </c>
      <c r="C683" s="2121"/>
      <c r="D683" s="2114">
        <v>0</v>
      </c>
      <c r="E683" s="2115" t="s">
        <v>5071</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ht="15" outlineLevel="1">
      <c r="A684" s="2102">
        <f>IF(G684&lt;&gt;0,1,)</f>
        <v>0</v>
      </c>
      <c r="B684" s="2127" t="s">
        <v>639</v>
      </c>
      <c r="C684" s="2121"/>
      <c r="D684" s="2114" t="s">
        <v>1747</v>
      </c>
      <c r="E684" s="2115" t="s">
        <v>5323</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ht="15" outlineLevel="1">
      <c r="A685" s="2102">
        <f>IF(G685&lt;&gt;0,1,)</f>
        <v>0</v>
      </c>
      <c r="B685" s="2127" t="s">
        <v>21</v>
      </c>
      <c r="C685" s="2121"/>
      <c r="D685" s="2114" t="s">
        <v>5324</v>
      </c>
      <c r="E685" s="2115" t="s">
        <v>5325</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ht="15" outlineLevel="1">
      <c r="A686" s="2102">
        <f t="shared" si="98"/>
        <v>0</v>
      </c>
      <c r="B686" s="2127" t="s">
        <v>6158</v>
      </c>
      <c r="C686" s="2136">
        <f>IF(G686&gt;0,C680+1,C680)</f>
        <v>0</v>
      </c>
      <c r="D686" s="2196"/>
      <c r="E686" s="2165" t="s">
        <v>6159</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5" outlineLevel="1">
      <c r="A687" s="2102">
        <f>A686</f>
        <v>0</v>
      </c>
      <c r="B687" s="2124"/>
      <c r="C687" s="2136"/>
      <c r="D687" s="2196"/>
      <c r="E687" s="2166" t="s">
        <v>6132</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ht="15" outlineLevel="1">
      <c r="A688" s="2102">
        <f t="shared" si="98"/>
        <v>0</v>
      </c>
      <c r="B688" s="2127" t="s">
        <v>5150</v>
      </c>
      <c r="C688" s="2136"/>
      <c r="D688" s="2114">
        <v>0</v>
      </c>
      <c r="E688" s="2115" t="s">
        <v>5151</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ht="15" outlineLevel="1">
      <c r="A689" s="2102">
        <f t="shared" si="98"/>
        <v>0</v>
      </c>
      <c r="B689" s="2127" t="s">
        <v>5157</v>
      </c>
      <c r="C689" s="2136"/>
      <c r="D689" s="2114">
        <v>0</v>
      </c>
      <c r="E689" s="2115" t="s">
        <v>5158</v>
      </c>
      <c r="F689" s="2114" t="s">
        <v>5159</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ht="15" outlineLevel="1">
      <c r="A690" s="2102">
        <f t="shared" si="98"/>
        <v>0</v>
      </c>
      <c r="B690" s="2124" t="s">
        <v>488</v>
      </c>
      <c r="C690" s="2136"/>
      <c r="D690" s="2114">
        <v>0</v>
      </c>
      <c r="E690" s="2115" t="s">
        <v>5077</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ht="15"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ht="15"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ht="15"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ht="15" outlineLevel="1">
      <c r="A694" s="2102">
        <f>IF(G694&lt;&gt;0,1,0)</f>
        <v>0</v>
      </c>
      <c r="B694" s="2124" t="s">
        <v>420</v>
      </c>
      <c r="C694" s="2136"/>
      <c r="D694" s="2114" t="s">
        <v>5420</v>
      </c>
      <c r="E694" s="2115" t="s">
        <v>5421</v>
      </c>
      <c r="F694" s="2114" t="s">
        <v>2439</v>
      </c>
      <c r="G694" s="2121">
        <f>G686</f>
        <v>0</v>
      </c>
      <c r="H694" s="2117">
        <v>0</v>
      </c>
      <c r="I694" s="2122"/>
      <c r="J694" s="2117" t="s">
        <v>6325</v>
      </c>
      <c r="K694" s="2117">
        <v>0</v>
      </c>
      <c r="L694" s="2123">
        <f>H694*G694</f>
        <v>0</v>
      </c>
      <c r="M694" s="2123">
        <f>I694*G694</f>
        <v>0</v>
      </c>
      <c r="N694" s="2117">
        <v>0</v>
      </c>
      <c r="O694" s="2122">
        <f>K694*G694</f>
        <v>0</v>
      </c>
      <c r="P694" s="2149"/>
    </row>
    <row r="695" spans="1:16" s="2099" customFormat="1" ht="15"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5" outlineLevel="1">
      <c r="A696" s="2102">
        <f>A695</f>
        <v>0</v>
      </c>
      <c r="B696" s="2124"/>
      <c r="C696" s="2136"/>
      <c r="D696" s="2196"/>
      <c r="E696" s="2166" t="s">
        <v>6132</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ht="15"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ht="15" outlineLevel="1">
      <c r="A698" s="2102">
        <f t="shared" si="98"/>
        <v>0</v>
      </c>
      <c r="B698" s="2127" t="s">
        <v>1508</v>
      </c>
      <c r="C698" s="2121"/>
      <c r="D698" s="2114">
        <v>0</v>
      </c>
      <c r="E698" s="2115" t="s">
        <v>5162</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ht="15"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ht="15" outlineLevel="1">
      <c r="A700" s="2102">
        <f t="shared" si="98"/>
        <v>0</v>
      </c>
      <c r="B700" s="2124" t="s">
        <v>905</v>
      </c>
      <c r="C700" s="2121"/>
      <c r="D700" s="2114">
        <v>0</v>
      </c>
      <c r="E700" s="2115" t="s">
        <v>6327</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ht="15"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ht="15" outlineLevel="1">
      <c r="A702" s="2102">
        <f t="shared" si="98"/>
        <v>0</v>
      </c>
      <c r="B702" s="2127" t="s">
        <v>525</v>
      </c>
      <c r="C702" s="2121"/>
      <c r="D702" s="2114">
        <v>0</v>
      </c>
      <c r="E702" s="2115" t="s">
        <v>5251</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ht="15" outlineLevel="1">
      <c r="A703" s="2102">
        <f>+A697</f>
        <v>0</v>
      </c>
      <c r="B703" s="2124" t="s">
        <v>2183</v>
      </c>
      <c r="C703" s="2121"/>
      <c r="D703" s="2114" t="s">
        <v>5345</v>
      </c>
      <c r="E703" s="2115" t="s">
        <v>5346</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ht="15" outlineLevel="1">
      <c r="A704" s="2102">
        <f>+A698</f>
        <v>0</v>
      </c>
      <c r="B704" s="2127" t="s">
        <v>902</v>
      </c>
      <c r="C704" s="2121"/>
      <c r="D704" s="2114" t="s">
        <v>5350</v>
      </c>
      <c r="E704" s="2115" t="s">
        <v>5351</v>
      </c>
      <c r="F704" s="2114" t="s">
        <v>2278</v>
      </c>
      <c r="G704" s="2121">
        <f>G698</f>
        <v>0</v>
      </c>
      <c r="H704" s="2117">
        <v>0</v>
      </c>
      <c r="I704" s="2122"/>
      <c r="J704" s="2117" t="s">
        <v>6314</v>
      </c>
      <c r="K704" s="2117">
        <v>1573.075</v>
      </c>
      <c r="L704" s="2123">
        <f>H704*G704</f>
        <v>0</v>
      </c>
      <c r="M704" s="2123">
        <f>I704*G704</f>
        <v>0</v>
      </c>
      <c r="N704" s="2117">
        <v>0</v>
      </c>
      <c r="O704" s="2122">
        <f>K704*G704</f>
        <v>0</v>
      </c>
      <c r="P704" s="2149"/>
    </row>
    <row r="705" spans="1:16" s="2099" customFormat="1" ht="15" outlineLevel="1">
      <c r="A705" s="2102">
        <f>IF(G705&lt;&gt;0,1,0)</f>
        <v>0</v>
      </c>
      <c r="B705" s="2124" t="s">
        <v>1055</v>
      </c>
      <c r="C705" s="2121"/>
      <c r="D705" s="2114" t="s">
        <v>5335</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ht="15" outlineLevel="1">
      <c r="A706" s="2102">
        <f>IF(G706&lt;&gt;0,1,0)</f>
        <v>0</v>
      </c>
      <c r="B706" s="2127" t="s">
        <v>1056</v>
      </c>
      <c r="C706" s="2121"/>
      <c r="D706" s="2114" t="s">
        <v>5324</v>
      </c>
      <c r="E706" s="2115" t="s">
        <v>5336</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ht="15"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5" outlineLevel="1">
      <c r="A708" s="2102">
        <f>A707</f>
        <v>0</v>
      </c>
      <c r="B708" s="2124"/>
      <c r="C708" s="2136"/>
      <c r="D708" s="2196"/>
      <c r="E708" s="2166" t="s">
        <v>6132</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ht="15" outlineLevel="1">
      <c r="A709" s="2102">
        <f t="shared" si="98"/>
        <v>0</v>
      </c>
      <c r="B709" s="2127" t="s">
        <v>616</v>
      </c>
      <c r="C709" s="2121"/>
      <c r="D709" s="2114" t="s">
        <v>5654</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ht="15"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ht="15" outlineLevel="1">
      <c r="A711" s="2102">
        <f t="shared" si="98"/>
        <v>0</v>
      </c>
      <c r="B711" s="2124" t="s">
        <v>880</v>
      </c>
      <c r="C711" s="2121"/>
      <c r="D711" s="2201"/>
      <c r="E711" s="2115" t="s">
        <v>5798</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ht="15" outlineLevel="1">
      <c r="A712" s="2102">
        <f t="shared" si="98"/>
        <v>0</v>
      </c>
      <c r="B712" s="2124"/>
      <c r="C712" s="2136">
        <f>IF(G712&gt;0,C707+1,C707)</f>
        <v>0</v>
      </c>
      <c r="D712" s="2196"/>
      <c r="E712" s="2168" t="s">
        <v>6164</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5" outlineLevel="1">
      <c r="A713" s="2102">
        <f>A712</f>
        <v>0</v>
      </c>
      <c r="B713" s="2124"/>
      <c r="C713" s="2136"/>
      <c r="D713" s="2196"/>
      <c r="E713" s="2166" t="s">
        <v>6132</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ht="15" outlineLevel="1">
      <c r="A714" s="2102">
        <f t="shared" si="98"/>
        <v>0</v>
      </c>
      <c r="B714" s="2153" t="s">
        <v>697</v>
      </c>
      <c r="C714" s="2121"/>
      <c r="D714" s="2114">
        <v>0</v>
      </c>
      <c r="E714" s="2115" t="s">
        <v>5086</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ht="15"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ht="15"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ht="15" outlineLevel="1">
      <c r="A717" s="2102">
        <f t="shared" si="98"/>
        <v>0</v>
      </c>
      <c r="B717" s="2112" t="s">
        <v>1477</v>
      </c>
      <c r="C717" s="2121"/>
      <c r="D717" s="2114">
        <v>0</v>
      </c>
      <c r="E717" s="2115" t="s">
        <v>4334</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ht="15" outlineLevel="1">
      <c r="A718" s="2102">
        <f>IF(G718&lt;&gt;0,1,0)</f>
        <v>0</v>
      </c>
      <c r="B718" s="2112" t="s">
        <v>5698</v>
      </c>
      <c r="C718" s="2121"/>
      <c r="D718" s="2114">
        <v>0</v>
      </c>
      <c r="E718" s="2115" t="s">
        <v>5699</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ht="15" outlineLevel="1">
      <c r="A719" s="2102">
        <f>IF(G719&lt;&gt;0,1,0)</f>
        <v>0</v>
      </c>
      <c r="B719" s="2112" t="s">
        <v>5704</v>
      </c>
      <c r="C719" s="2121"/>
      <c r="D719" s="2114">
        <v>0</v>
      </c>
      <c r="E719" s="2115" t="s">
        <v>5705</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ht="15" outlineLevel="1">
      <c r="A720" s="2102">
        <f>IF(G720&lt;&gt;0,1,0)</f>
        <v>0</v>
      </c>
      <c r="B720" s="2112" t="s">
        <v>5706</v>
      </c>
      <c r="C720" s="2121"/>
      <c r="D720" s="2114">
        <v>0</v>
      </c>
      <c r="E720" s="2115" t="s">
        <v>5707</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ht="15" outlineLevel="1">
      <c r="A721" s="2102">
        <f>IF(G721&lt;&gt;0,1,0)</f>
        <v>0</v>
      </c>
      <c r="B721" s="2112" t="s">
        <v>1525</v>
      </c>
      <c r="C721" s="2121"/>
      <c r="D721" s="2114" t="s">
        <v>5570</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ht="15" outlineLevel="1">
      <c r="A722" s="2102">
        <f t="shared" si="98"/>
        <v>0</v>
      </c>
      <c r="B722" s="2124"/>
      <c r="C722" s="2136">
        <f>IF(G722&gt;0,C712+1,C712)</f>
        <v>0</v>
      </c>
      <c r="D722" s="2196"/>
      <c r="E722" s="2168" t="s">
        <v>6165</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5" outlineLevel="1">
      <c r="A723" s="2102">
        <f>A722</f>
        <v>0</v>
      </c>
      <c r="B723" s="2124"/>
      <c r="C723" s="2136"/>
      <c r="D723" s="2196"/>
      <c r="E723" s="2166" t="s">
        <v>6132</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ht="15"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ht="15"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ht="15" outlineLevel="1">
      <c r="A726" s="2102">
        <f t="shared" si="98"/>
        <v>0</v>
      </c>
      <c r="B726" s="2124" t="s">
        <v>1302</v>
      </c>
      <c r="C726" s="2121"/>
      <c r="D726" s="2114" t="s">
        <v>5724</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ht="15"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ht="15"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ht="15" outlineLevel="1">
      <c r="A729" s="2102">
        <f t="shared" si="98"/>
        <v>0</v>
      </c>
      <c r="B729" s="2127" t="s">
        <v>1990</v>
      </c>
      <c r="C729" s="2121"/>
      <c r="D729" s="2114">
        <v>0</v>
      </c>
      <c r="E729" s="2115" t="s">
        <v>5256</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ht="15" outlineLevel="1">
      <c r="A730" s="2102">
        <f t="shared" si="98"/>
        <v>0</v>
      </c>
      <c r="B730" s="2124" t="s">
        <v>69</v>
      </c>
      <c r="C730" s="2121"/>
      <c r="D730" s="2114">
        <v>0</v>
      </c>
      <c r="E730" s="2115" t="s">
        <v>5796</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ht="15"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ht="15"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ht="15"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ht="15" outlineLevel="1">
      <c r="A734" s="2102">
        <f>IF(G734&lt;&gt;0,1,0)</f>
        <v>0</v>
      </c>
      <c r="B734" s="2124" t="s">
        <v>1179</v>
      </c>
      <c r="C734" s="2121"/>
      <c r="D734" s="2114">
        <v>0</v>
      </c>
      <c r="E734" s="2115" t="s">
        <v>3567</v>
      </c>
      <c r="F734" s="2114" t="s">
        <v>5805</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ht="15" outlineLevel="1">
      <c r="A735" s="2102">
        <f>IF(G735&lt;&gt;0,1,0)</f>
        <v>0</v>
      </c>
      <c r="B735" s="2127" t="s">
        <v>672</v>
      </c>
      <c r="C735" s="2121"/>
      <c r="D735" s="2114">
        <v>0</v>
      </c>
      <c r="E735" s="2115" t="s">
        <v>5800</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ht="15" outlineLevel="1">
      <c r="A736" s="2102">
        <f>A735</f>
        <v>0</v>
      </c>
      <c r="B736" s="2124" t="s">
        <v>2182</v>
      </c>
      <c r="C736" s="2121"/>
      <c r="D736" s="2114" t="s">
        <v>5546</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ht="15" outlineLevel="1">
      <c r="A737" s="2102">
        <f>A735</f>
        <v>0</v>
      </c>
      <c r="B737" s="2127" t="s">
        <v>1525</v>
      </c>
      <c r="C737" s="2121"/>
      <c r="D737" s="2114" t="s">
        <v>5570</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ht="15" outlineLevel="1">
      <c r="A738" s="2102">
        <f>IF(G738&lt;&gt;0,1,0)</f>
        <v>0</v>
      </c>
      <c r="B738" s="2124" t="s">
        <v>289</v>
      </c>
      <c r="C738" s="2154">
        <f>IF(G738&gt;0,C722+1,C722)</f>
        <v>0</v>
      </c>
      <c r="D738" s="2155"/>
      <c r="E738" s="2205" t="s">
        <v>6166</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ht="15" outlineLevel="1">
      <c r="A739" s="2102">
        <f>A738</f>
        <v>0</v>
      </c>
      <c r="B739" s="2125"/>
      <c r="C739" s="2159"/>
      <c r="D739" s="2160"/>
      <c r="E739" s="2133"/>
      <c r="F739" s="2616"/>
      <c r="G739" s="2616"/>
      <c r="H739" s="2616"/>
      <c r="I739" s="2616"/>
      <c r="J739" s="2652" t="s">
        <v>6130</v>
      </c>
      <c r="K739" s="2652"/>
      <c r="L739" s="2161">
        <f>SUM(L672:L738)</f>
        <v>0</v>
      </c>
      <c r="M739" s="2161">
        <f>SUM(M672:M738)</f>
        <v>0</v>
      </c>
      <c r="N739" s="2161">
        <f>SUM(N672:N738)</f>
        <v>0</v>
      </c>
      <c r="O739" s="2161">
        <f>SUM(O672:O738)</f>
        <v>0</v>
      </c>
      <c r="P739" s="2164"/>
    </row>
    <row r="740" spans="1:16" s="2099" customFormat="1" ht="13.9"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ht="15"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ht="15" outlineLevel="1">
      <c r="A742" s="2102" t="str">
        <f>A741</f>
        <v/>
      </c>
      <c r="B742" s="2124" t="s">
        <v>6111</v>
      </c>
      <c r="C742" s="2642" t="s">
        <v>1708</v>
      </c>
      <c r="D742" s="2643" t="s">
        <v>2597</v>
      </c>
      <c r="E742" s="2645" t="s">
        <v>2598</v>
      </c>
      <c r="F742" s="2642" t="s">
        <v>2593</v>
      </c>
      <c r="G742" s="2103" t="s">
        <v>6112</v>
      </c>
      <c r="H742" s="2106" t="s">
        <v>6113</v>
      </c>
      <c r="I742" s="2613"/>
      <c r="J742" s="2613"/>
      <c r="K742" s="2614"/>
      <c r="L742" s="2106" t="s">
        <v>6114</v>
      </c>
      <c r="M742" s="2613"/>
      <c r="N742" s="2613"/>
      <c r="O742" s="2614"/>
      <c r="P742" s="2642" t="s">
        <v>2599</v>
      </c>
    </row>
    <row r="743" spans="1:16" s="2099" customFormat="1" ht="15" outlineLevel="1">
      <c r="A743" s="2102" t="str">
        <f>A742</f>
        <v/>
      </c>
      <c r="B743" s="2124"/>
      <c r="C743" s="2642"/>
      <c r="D743" s="2644"/>
      <c r="E743" s="2646"/>
      <c r="F743" s="2642"/>
      <c r="G743" s="2105" t="s">
        <v>2286</v>
      </c>
      <c r="H743" s="2106" t="s">
        <v>6115</v>
      </c>
      <c r="I743" s="2106" t="s">
        <v>6116</v>
      </c>
      <c r="J743" s="2106" t="s">
        <v>6117</v>
      </c>
      <c r="K743" s="2106" t="s">
        <v>6118</v>
      </c>
      <c r="L743" s="2106" t="s">
        <v>6115</v>
      </c>
      <c r="M743" s="2106" t="s">
        <v>6116</v>
      </c>
      <c r="N743" s="2106" t="s">
        <v>6117</v>
      </c>
      <c r="O743" s="2106" t="s">
        <v>6118</v>
      </c>
      <c r="P743" s="2642"/>
    </row>
    <row r="744" spans="1:16" s="2099" customFormat="1" ht="15"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ht="15" outlineLevel="1">
      <c r="A745" s="2176" t="str">
        <f>IF(G745&lt;&gt;0,1,"")</f>
        <v/>
      </c>
      <c r="B745" s="2112" t="str">
        <f>IF($F$8=22,"TR371","TR37")</f>
        <v>TR371</v>
      </c>
      <c r="C745" s="2113">
        <f>IF(G745&gt;0,1,0)</f>
        <v>0</v>
      </c>
      <c r="D745" s="2114" t="s">
        <v>5583</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ht="15" outlineLevel="1">
      <c r="A746" s="2176" t="str">
        <f t="shared" ref="A746:A752" si="108">IF(G746&lt;&gt;0,1,"")</f>
        <v/>
      </c>
      <c r="B746" s="2112" t="str">
        <f>"FCO100-"&amp;$F$8</f>
        <v>FCO100-22</v>
      </c>
      <c r="C746" s="2113">
        <f>IF(G746&gt;0,C745+1,C745)</f>
        <v>0</v>
      </c>
      <c r="D746" s="2114" t="s">
        <v>5597</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ht="15"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ht="15" outlineLevel="1">
      <c r="A748" s="2176" t="str">
        <f t="shared" si="108"/>
        <v/>
      </c>
      <c r="B748" s="2125" t="str">
        <f>"LA"&amp;$F$6</f>
        <v>LA18</v>
      </c>
      <c r="C748" s="2113">
        <f t="shared" si="109"/>
        <v>0</v>
      </c>
      <c r="D748" s="2114" t="s">
        <v>5601</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ht="15" outlineLevel="1">
      <c r="A749" s="2176" t="str">
        <f t="shared" si="108"/>
        <v/>
      </c>
      <c r="B749" s="2126" t="s">
        <v>4925</v>
      </c>
      <c r="C749" s="2113">
        <f t="shared" si="109"/>
        <v>0</v>
      </c>
      <c r="D749" s="2114">
        <v>0</v>
      </c>
      <c r="E749" s="2115" t="s">
        <v>5680</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ht="15"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ht="15"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ht="15"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ht="15" outlineLevel="1">
      <c r="A753" s="2176" t="str">
        <f>+A741</f>
        <v/>
      </c>
      <c r="B753" s="2124"/>
      <c r="C753" s="2111"/>
      <c r="D753" s="2190"/>
      <c r="E753" s="2209"/>
      <c r="F753" s="2622"/>
      <c r="G753" s="2620"/>
      <c r="H753" s="2622"/>
      <c r="I753" s="2210"/>
      <c r="J753" s="2111" t="s">
        <v>6120</v>
      </c>
      <c r="K753" s="2209"/>
      <c r="L753" s="2210">
        <f>SUM(L745:L752)</f>
        <v>0</v>
      </c>
      <c r="M753" s="2210">
        <f>SUM(M745:M752)</f>
        <v>0</v>
      </c>
      <c r="N753" s="2210">
        <f>SUM(N745:N752)</f>
        <v>0</v>
      </c>
      <c r="O753" s="2210">
        <f>SUM(O745:O752)</f>
        <v>0</v>
      </c>
      <c r="P753" s="2210"/>
    </row>
    <row r="754" spans="1:18" s="2099" customFormat="1" ht="15"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ht="15"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5" outlineLevel="1">
      <c r="A756" s="2102" t="str">
        <f>A755</f>
        <v/>
      </c>
      <c r="B756" s="2124"/>
      <c r="C756" s="2136"/>
      <c r="D756" s="2218"/>
      <c r="E756" s="2219" t="s">
        <v>6132</v>
      </c>
      <c r="F756" s="2202"/>
      <c r="G756" s="2178"/>
      <c r="H756" s="2220"/>
      <c r="I756" s="2220"/>
      <c r="J756" s="2220"/>
      <c r="K756" s="2220"/>
      <c r="L756" s="2220"/>
      <c r="M756" s="2220"/>
      <c r="N756" s="2220"/>
      <c r="O756" s="2221"/>
      <c r="P756" s="2149"/>
    </row>
    <row r="757" spans="1:18" s="2099" customFormat="1" ht="15" outlineLevel="1">
      <c r="A757" s="2102" t="str">
        <f>A756</f>
        <v/>
      </c>
      <c r="B757" s="2127" t="s">
        <v>1587</v>
      </c>
      <c r="C757" s="2136"/>
      <c r="D757" s="2114">
        <v>0</v>
      </c>
      <c r="E757" s="2115" t="s">
        <v>5715</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ht="15"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ht="15"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5420</v>
      </c>
      <c r="E760" s="2115" t="s">
        <v>5421</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8.5" outlineLevel="1">
      <c r="A761" s="2102">
        <f>IF(G761&lt;&gt;0,1,)</f>
        <v>0</v>
      </c>
      <c r="B761" s="2124"/>
      <c r="C761" s="2136">
        <f>IF(G761&gt;0,C755+1,C755)</f>
        <v>0</v>
      </c>
      <c r="D761" s="2140"/>
      <c r="E761" s="2222" t="s">
        <v>6167</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ht="15" outlineLevel="1">
      <c r="A762" s="2102">
        <f t="shared" ref="A762:A767" si="114">IF(G762&lt;&gt;0,1,)</f>
        <v>0</v>
      </c>
      <c r="B762" s="2225" t="s">
        <v>5834</v>
      </c>
      <c r="C762" s="2121"/>
      <c r="D762" s="2114">
        <v>0</v>
      </c>
      <c r="E762" s="2115" t="s">
        <v>5835</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ht="15"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ht="15" outlineLevel="1">
      <c r="A764" s="2102">
        <f t="shared" si="114"/>
        <v>0</v>
      </c>
      <c r="B764" s="2225" t="s">
        <v>6168</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ht="15" outlineLevel="1">
      <c r="A765" s="2102">
        <f t="shared" si="114"/>
        <v>0</v>
      </c>
      <c r="B765" s="2225" t="s">
        <v>6169</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ht="15"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ht="15" outlineLevel="1">
      <c r="A767" s="2102">
        <f t="shared" si="114"/>
        <v>0</v>
      </c>
      <c r="B767" s="2225" t="s">
        <v>516</v>
      </c>
      <c r="C767" s="2121"/>
      <c r="D767" s="2114" t="s">
        <v>5420</v>
      </c>
      <c r="E767" s="2115" t="s">
        <v>5421</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ht="15" outlineLevel="1">
      <c r="A768" s="2102">
        <f>IF(G768&lt;&gt;0,1,)</f>
        <v>0</v>
      </c>
      <c r="B768" s="2124"/>
      <c r="C768" s="2136">
        <f>IF(G768&gt;0,C761+1,C761)</f>
        <v>0</v>
      </c>
      <c r="D768" s="2140"/>
      <c r="E768" s="2227" t="s">
        <v>6170</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ht="15"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ht="15"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ht="15"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5" outlineLevel="1">
      <c r="A772" s="2102">
        <f>A771</f>
        <v>0</v>
      </c>
      <c r="B772" s="2124"/>
      <c r="C772" s="2136"/>
      <c r="D772" s="2140"/>
      <c r="E772" s="2142" t="s">
        <v>6132</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ht="15" outlineLevel="1">
      <c r="A773" s="2102">
        <f>IF(G773&lt;&gt;0,1,)</f>
        <v>0</v>
      </c>
      <c r="B773" s="2127" t="s">
        <v>636</v>
      </c>
      <c r="C773" s="2121"/>
      <c r="D773" s="2114" t="s">
        <v>5046</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ht="15" outlineLevel="1">
      <c r="A774" s="2102">
        <f>IF(G774&lt;&gt;0,1,)</f>
        <v>0</v>
      </c>
      <c r="B774" s="2127" t="s">
        <v>566</v>
      </c>
      <c r="C774" s="2121"/>
      <c r="D774" s="2114">
        <v>0</v>
      </c>
      <c r="E774" s="2115" t="s">
        <v>5071</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ht="15" outlineLevel="1">
      <c r="A775" s="2102">
        <f>IF(G775&lt;&gt;0,1,)</f>
        <v>0</v>
      </c>
      <c r="B775" s="2127" t="s">
        <v>639</v>
      </c>
      <c r="C775" s="2121"/>
      <c r="D775" s="2114" t="s">
        <v>1747</v>
      </c>
      <c r="E775" s="2115" t="s">
        <v>5323</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ht="15" outlineLevel="1">
      <c r="A776" s="2102">
        <f>IF(G776&lt;&gt;0,1,)</f>
        <v>0</v>
      </c>
      <c r="B776" s="2127" t="s">
        <v>21</v>
      </c>
      <c r="C776" s="2121"/>
      <c r="D776" s="2114" t="s">
        <v>5324</v>
      </c>
      <c r="E776" s="2115" t="s">
        <v>5325</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ht="15" outlineLevel="1">
      <c r="A777" s="2102"/>
      <c r="B777" s="2127"/>
      <c r="C777" s="2136">
        <f>IF(G777&gt;0,C771+1,C771)</f>
        <v>0</v>
      </c>
      <c r="D777" s="2229"/>
      <c r="E777" s="2230" t="s">
        <v>6171</v>
      </c>
      <c r="F777" s="2231" t="s">
        <v>2385</v>
      </c>
      <c r="G777" s="2181"/>
      <c r="H777" s="2117"/>
      <c r="I777" s="2117"/>
      <c r="J777" s="2117"/>
      <c r="K777" s="2117"/>
      <c r="L777" s="2123"/>
      <c r="M777" s="2123"/>
      <c r="N777" s="2123"/>
      <c r="O777" s="2122"/>
      <c r="P777" s="2121"/>
      <c r="R777" s="2143"/>
    </row>
    <row r="778" spans="1:18" s="2241" customFormat="1" ht="15" outlineLevel="1">
      <c r="A778" s="2232">
        <f t="shared" ref="A778:A787" si="115">IF(G778&lt;&gt;0,1,)</f>
        <v>0</v>
      </c>
      <c r="B778" s="2233" t="s">
        <v>5235</v>
      </c>
      <c r="C778" s="2234"/>
      <c r="D778" s="2235">
        <v>0</v>
      </c>
      <c r="E778" s="2236" t="s">
        <v>5236</v>
      </c>
      <c r="F778" s="2235" t="s">
        <v>5173</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6172</v>
      </c>
      <c r="R778" s="2242"/>
    </row>
    <row r="779" spans="1:18" s="2241" customFormat="1" ht="15" outlineLevel="1">
      <c r="A779" s="2232">
        <f t="shared" si="115"/>
        <v>0</v>
      </c>
      <c r="B779" s="2233" t="s">
        <v>5227</v>
      </c>
      <c r="C779" s="2234"/>
      <c r="D779" s="2235">
        <v>0</v>
      </c>
      <c r="E779" s="2236" t="s">
        <v>6173</v>
      </c>
      <c r="F779" s="2235" t="s">
        <v>5173</v>
      </c>
      <c r="G779" s="2237"/>
      <c r="H779" s="2238"/>
      <c r="I779" s="2238"/>
      <c r="J779" s="2238">
        <v>0</v>
      </c>
      <c r="K779" s="2238">
        <v>0</v>
      </c>
      <c r="L779" s="2239">
        <f t="shared" si="116"/>
        <v>0</v>
      </c>
      <c r="M779" s="2239">
        <f t="shared" si="117"/>
        <v>0</v>
      </c>
      <c r="N779" s="2239">
        <f t="shared" si="118"/>
        <v>0</v>
      </c>
      <c r="O779" s="2240">
        <f t="shared" si="119"/>
        <v>0</v>
      </c>
      <c r="P779" s="2234" t="s">
        <v>6172</v>
      </c>
      <c r="R779" s="2242"/>
    </row>
    <row r="780" spans="1:18" s="2241" customFormat="1" ht="15"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6172</v>
      </c>
      <c r="R780" s="2242"/>
    </row>
    <row r="781" spans="1:18" s="2241" customFormat="1" ht="15"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6172</v>
      </c>
      <c r="R781" s="2242"/>
    </row>
    <row r="782" spans="1:18" s="2241" customFormat="1" ht="15"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6172</v>
      </c>
      <c r="R782" s="2242"/>
    </row>
    <row r="783" spans="1:18" s="2099" customFormat="1" ht="15" outlineLevel="1">
      <c r="A783" s="2102">
        <f>IF(G783&lt;&gt;0,1,)</f>
        <v>0</v>
      </c>
      <c r="B783" s="2243" t="s">
        <v>1998</v>
      </c>
      <c r="C783" s="2121"/>
      <c r="D783" s="2114" t="s">
        <v>5427</v>
      </c>
      <c r="E783" s="2115" t="s">
        <v>5428</v>
      </c>
      <c r="F783" s="2114" t="s">
        <v>2439</v>
      </c>
      <c r="G783" s="2178"/>
      <c r="H783" s="2117">
        <v>0</v>
      </c>
      <c r="I783" s="2117"/>
      <c r="J783" s="2117" t="s">
        <v>6328</v>
      </c>
      <c r="K783" s="2117">
        <v>0</v>
      </c>
      <c r="L783" s="2123">
        <f>H783*G783</f>
        <v>0</v>
      </c>
      <c r="M783" s="2123">
        <f>I783*G783</f>
        <v>0</v>
      </c>
      <c r="N783" s="2123">
        <v>0</v>
      </c>
      <c r="O783" s="2122">
        <f>K783*G783</f>
        <v>0</v>
      </c>
      <c r="P783" s="2121"/>
      <c r="R783" s="2143"/>
    </row>
    <row r="784" spans="1:18" s="2099" customFormat="1" ht="15" outlineLevel="1">
      <c r="A784" s="2102">
        <f>IF(G784&lt;&gt;0,1,)</f>
        <v>0</v>
      </c>
      <c r="B784" s="2244"/>
      <c r="C784" s="2136">
        <f>IF(G784&gt;0,C777+1,C777)</f>
        <v>0</v>
      </c>
      <c r="D784" s="2114"/>
      <c r="E784" s="2230" t="s">
        <v>6174</v>
      </c>
      <c r="F784" s="2231" t="s">
        <v>2439</v>
      </c>
      <c r="G784" s="2181"/>
      <c r="H784" s="2117"/>
      <c r="I784" s="2117"/>
      <c r="J784" s="2117"/>
      <c r="K784" s="2117"/>
      <c r="L784" s="2123"/>
      <c r="M784" s="2123">
        <f>I784*G784</f>
        <v>0</v>
      </c>
      <c r="N784" s="2123"/>
      <c r="O784" s="2122"/>
      <c r="P784" s="2121"/>
      <c r="R784" s="2143"/>
    </row>
    <row r="785" spans="1:18" s="2241" customFormat="1" ht="15"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6172</v>
      </c>
      <c r="R785" s="2242"/>
    </row>
    <row r="786" spans="1:18" s="2241" customFormat="1" ht="15"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6172</v>
      </c>
      <c r="R786" s="2242"/>
    </row>
    <row r="787" spans="1:18" s="2099" customFormat="1" ht="15" outlineLevel="1">
      <c r="A787" s="2102">
        <f t="shared" si="115"/>
        <v>0</v>
      </c>
      <c r="B787" s="2246" t="s">
        <v>1565</v>
      </c>
      <c r="C787" s="2121"/>
      <c r="D787" s="2114" t="s">
        <v>5559</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ht="15" outlineLevel="1">
      <c r="A788" s="2102">
        <f>IF(G788&lt;&gt;0,1,0)</f>
        <v>0</v>
      </c>
      <c r="B788" s="2127" t="s">
        <v>6158</v>
      </c>
      <c r="C788" s="2136">
        <f>IF(G788&gt;0,C784+1,C784)</f>
        <v>0</v>
      </c>
      <c r="D788" s="2196"/>
      <c r="E788" s="2165" t="s">
        <v>6159</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5" outlineLevel="1">
      <c r="A789" s="2102">
        <f>A788</f>
        <v>0</v>
      </c>
      <c r="B789" s="2124"/>
      <c r="C789" s="2136"/>
      <c r="D789" s="2196"/>
      <c r="E789" s="2166" t="s">
        <v>6132</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ht="15" outlineLevel="1">
      <c r="A790" s="2102">
        <f t="shared" ref="A790:A795" si="120">IF(G790&lt;&gt;0,1,0)</f>
        <v>0</v>
      </c>
      <c r="B790" s="2127" t="s">
        <v>5150</v>
      </c>
      <c r="C790" s="2136"/>
      <c r="D790" s="2114">
        <v>0</v>
      </c>
      <c r="E790" s="2115" t="s">
        <v>5151</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ht="15" outlineLevel="1">
      <c r="A791" s="2102">
        <f t="shared" si="120"/>
        <v>0</v>
      </c>
      <c r="B791" s="2127" t="s">
        <v>5157</v>
      </c>
      <c r="C791" s="2136"/>
      <c r="D791" s="2114">
        <v>0</v>
      </c>
      <c r="E791" s="2115" t="s">
        <v>5158</v>
      </c>
      <c r="F791" s="2114" t="s">
        <v>5159</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ht="15" outlineLevel="1">
      <c r="A792" s="2102">
        <f t="shared" si="120"/>
        <v>0</v>
      </c>
      <c r="B792" s="2124" t="s">
        <v>488</v>
      </c>
      <c r="C792" s="2136"/>
      <c r="D792" s="2114">
        <v>0</v>
      </c>
      <c r="E792" s="2115" t="s">
        <v>5077</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ht="15"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ht="15"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ht="15"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ht="15" outlineLevel="1">
      <c r="A796" s="2102">
        <f>IF(G796&lt;&gt;0,1,0)</f>
        <v>0</v>
      </c>
      <c r="B796" s="2174" t="s">
        <v>5371</v>
      </c>
      <c r="C796" s="2136"/>
      <c r="D796" s="2114" t="s">
        <v>5147</v>
      </c>
      <c r="E796" s="2115" t="s">
        <v>5372</v>
      </c>
      <c r="F796" s="2114" t="s">
        <v>2439</v>
      </c>
      <c r="G796" s="2178">
        <f>G788</f>
        <v>0</v>
      </c>
      <c r="H796" s="2117">
        <v>0</v>
      </c>
      <c r="I796" s="2122"/>
      <c r="J796" s="2117" t="s">
        <v>6329</v>
      </c>
      <c r="K796" s="2117">
        <v>0</v>
      </c>
      <c r="L796" s="2123">
        <f>H796*G796</f>
        <v>0</v>
      </c>
      <c r="M796" s="2123">
        <f>I796*G796</f>
        <v>0</v>
      </c>
      <c r="N796" s="2117">
        <v>0</v>
      </c>
      <c r="O796" s="2122">
        <f>K796*G796</f>
        <v>0</v>
      </c>
      <c r="P796" s="2149"/>
    </row>
    <row r="797" spans="1:18" s="2099" customFormat="1" ht="15" outlineLevel="1">
      <c r="A797" s="2102">
        <f>IF(G797&lt;&gt;0,1,)</f>
        <v>0</v>
      </c>
      <c r="B797" s="2124"/>
      <c r="C797" s="2136">
        <f>IF(G797&gt;0,C788+1,C788)</f>
        <v>0</v>
      </c>
      <c r="D797" s="2218"/>
      <c r="E797" s="2165" t="s">
        <v>6175</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5" outlineLevel="1">
      <c r="A798" s="2102">
        <f>A799</f>
        <v>0</v>
      </c>
      <c r="B798" s="2124"/>
      <c r="C798" s="2212"/>
      <c r="D798" s="2248"/>
      <c r="E798" s="2219" t="s">
        <v>6132</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ht="15"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ht="15"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ht="15"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ht="15"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ht="15" outlineLevel="1">
      <c r="A803" s="2102">
        <f>IF(G803&lt;&gt;0,1,)</f>
        <v>0</v>
      </c>
      <c r="B803" s="2124" t="s">
        <v>516</v>
      </c>
      <c r="C803" s="2136"/>
      <c r="D803" s="2114" t="s">
        <v>5420</v>
      </c>
      <c r="E803" s="2115" t="s">
        <v>5421</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ht="15"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5" outlineLevel="1">
      <c r="A805" s="2102" t="str">
        <f>A804</f>
        <v/>
      </c>
      <c r="B805" s="2124"/>
      <c r="C805" s="2136"/>
      <c r="D805" s="2250"/>
      <c r="E805" s="2219" t="s">
        <v>6132</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ht="15" outlineLevel="1">
      <c r="A806" s="2176" t="str">
        <f t="shared" si="121"/>
        <v/>
      </c>
      <c r="B806" s="2124" t="s">
        <v>1033</v>
      </c>
      <c r="C806" s="2136"/>
      <c r="D806" s="2114">
        <v>0</v>
      </c>
      <c r="E806" s="2115" t="s">
        <v>6330</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ht="15" outlineLevel="1">
      <c r="A807" s="2176" t="str">
        <f t="shared" si="121"/>
        <v/>
      </c>
      <c r="B807" s="2127" t="s">
        <v>1508</v>
      </c>
      <c r="C807" s="2136"/>
      <c r="D807" s="2114">
        <v>0</v>
      </c>
      <c r="E807" s="2115" t="s">
        <v>5162</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ht="15" outlineLevel="1">
      <c r="A808" s="2176" t="str">
        <f>IF(G808&lt;&gt;0,1,"")</f>
        <v/>
      </c>
      <c r="B808" s="2127" t="s">
        <v>1585</v>
      </c>
      <c r="C808" s="2121"/>
      <c r="D808" s="2114">
        <v>0</v>
      </c>
      <c r="E808" s="2115" t="s">
        <v>5712</v>
      </c>
      <c r="F808" s="2114" t="s">
        <v>3445</v>
      </c>
      <c r="G808" s="2121">
        <f>+L3*G804</f>
        <v>0</v>
      </c>
      <c r="H808" s="2117">
        <v>0</v>
      </c>
      <c r="I808" s="2117" t="s">
        <v>6176</v>
      </c>
      <c r="J808" s="2117" t="s">
        <v>6331</v>
      </c>
      <c r="K808" s="2117">
        <v>0</v>
      </c>
      <c r="L808" s="2123">
        <f>H808*G808</f>
        <v>0</v>
      </c>
      <c r="M808" s="2122">
        <v>0</v>
      </c>
      <c r="N808" s="2117">
        <v>0</v>
      </c>
      <c r="O808" s="2122">
        <f>K808*G808</f>
        <v>0</v>
      </c>
      <c r="P808" s="2149"/>
    </row>
    <row r="809" spans="1:16" s="2099" customFormat="1" ht="15"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ht="15"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ht="15"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ht="15" outlineLevel="1">
      <c r="A812" s="2176" t="str">
        <f>IF(G812&lt;&gt;0,1,"")</f>
        <v/>
      </c>
      <c r="B812" s="2124" t="s">
        <v>6142</v>
      </c>
      <c r="C812" s="2121"/>
      <c r="D812" s="2114" t="s">
        <v>5724</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ht="15" outlineLevel="1">
      <c r="A813" s="2176" t="str">
        <f t="shared" si="121"/>
        <v/>
      </c>
      <c r="B813" s="2124" t="s">
        <v>6177</v>
      </c>
      <c r="C813" s="2121"/>
      <c r="D813" s="2114" t="s">
        <v>5725</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ht="15"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ht="15" outlineLevel="1">
      <c r="A815" s="2176" t="str">
        <f t="shared" si="121"/>
        <v/>
      </c>
      <c r="B815" s="2127" t="s">
        <v>525</v>
      </c>
      <c r="C815" s="2136"/>
      <c r="D815" s="2114">
        <v>0</v>
      </c>
      <c r="E815" s="2115" t="s">
        <v>5251</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ht="15" outlineLevel="1">
      <c r="A816" s="2176" t="str">
        <f t="shared" si="121"/>
        <v/>
      </c>
      <c r="B816" s="2124" t="s">
        <v>2183</v>
      </c>
      <c r="C816" s="2121"/>
      <c r="D816" s="2114" t="s">
        <v>5345</v>
      </c>
      <c r="E816" s="2115" t="s">
        <v>5346</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ht="15" outlineLevel="1">
      <c r="A817" s="2176" t="str">
        <f t="shared" si="121"/>
        <v/>
      </c>
      <c r="B817" s="2127" t="s">
        <v>902</v>
      </c>
      <c r="C817" s="2121"/>
      <c r="D817" s="2114" t="s">
        <v>5350</v>
      </c>
      <c r="E817" s="2115" t="s">
        <v>5351</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ht="15" outlineLevel="1">
      <c r="A818" s="2176" t="str">
        <f t="shared" si="121"/>
        <v/>
      </c>
      <c r="B818" s="2124" t="s">
        <v>1055</v>
      </c>
      <c r="C818" s="2121"/>
      <c r="D818" s="2114" t="s">
        <v>5335</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ht="15"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5" outlineLevel="1">
      <c r="A820" s="2102">
        <f t="shared" si="122"/>
        <v>0</v>
      </c>
      <c r="B820" s="2124"/>
      <c r="C820" s="2136"/>
      <c r="D820" s="2250"/>
      <c r="E820" s="2219" t="s">
        <v>6132</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ht="15" outlineLevel="1">
      <c r="A821" s="2102">
        <f t="shared" si="122"/>
        <v>0</v>
      </c>
      <c r="B821" s="2174" t="s">
        <v>5656</v>
      </c>
      <c r="C821" s="2136"/>
      <c r="D821" s="2114" t="s">
        <v>5632</v>
      </c>
      <c r="E821" s="2115" t="s">
        <v>5657</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ht="15"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ht="15" outlineLevel="1">
      <c r="A823" s="2102">
        <f t="shared" si="122"/>
        <v>0</v>
      </c>
      <c r="B823" s="2124" t="s">
        <v>880</v>
      </c>
      <c r="C823" s="2136"/>
      <c r="D823" s="2250"/>
      <c r="E823" s="2115" t="s">
        <v>5798</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ht="15"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5" outlineLevel="1">
      <c r="A825" s="2102">
        <f>A824</f>
        <v>0</v>
      </c>
      <c r="B825" s="2255"/>
      <c r="C825" s="2252"/>
      <c r="D825" s="2253"/>
      <c r="E825" s="2261" t="s">
        <v>6132</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ht="15" outlineLevel="1">
      <c r="A826" s="2176" t="str">
        <f>IF(G826&lt;&gt;0,1,"")</f>
        <v/>
      </c>
      <c r="B826" s="2255" t="s">
        <v>653</v>
      </c>
      <c r="C826" s="2262"/>
      <c r="D826" s="2146">
        <v>0</v>
      </c>
      <c r="E826" s="2188" t="s">
        <v>5288</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ht="15"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ht="15"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ht="15" outlineLevel="1">
      <c r="A829" s="2176" t="str">
        <f>IF(G829&lt;&gt;0,1,"")</f>
        <v/>
      </c>
      <c r="B829" s="2255" t="s">
        <v>654</v>
      </c>
      <c r="C829" s="2262"/>
      <c r="D829" s="2146" t="s">
        <v>5470</v>
      </c>
      <c r="E829" s="2188" t="s">
        <v>5473</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ht="15"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5" outlineLevel="1">
      <c r="A831" s="2176" t="str">
        <f>A830</f>
        <v/>
      </c>
      <c r="B831" s="2255"/>
      <c r="C831" s="2252"/>
      <c r="D831" s="2253"/>
      <c r="E831" s="2268" t="s">
        <v>6132</v>
      </c>
      <c r="F831" s="2252"/>
      <c r="G831" s="2257"/>
      <c r="H831" s="2258"/>
      <c r="I831" s="2258"/>
      <c r="J831" s="2258"/>
      <c r="K831" s="2258"/>
      <c r="L831" s="2258"/>
      <c r="M831" s="2258"/>
      <c r="N831" s="2258"/>
      <c r="O831" s="2258"/>
      <c r="P831" s="2259"/>
      <c r="Q831" s="2260"/>
      <c r="R831" s="2260"/>
      <c r="S831" s="2260"/>
    </row>
    <row r="832" spans="1:20" s="2099" customFormat="1" ht="15"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ht="15" outlineLevel="1">
      <c r="A833" s="2176" t="str">
        <f>IF(G833&lt;&gt;0,1,"")</f>
        <v/>
      </c>
      <c r="B833" s="2255" t="s">
        <v>86</v>
      </c>
      <c r="C833" s="2262"/>
      <c r="D833" s="2146">
        <v>0</v>
      </c>
      <c r="E833" s="2188" t="s">
        <v>5796</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ht="15" outlineLevel="1">
      <c r="A834" s="2102">
        <f>IF(G834&lt;&gt;0,1,0)</f>
        <v>0</v>
      </c>
      <c r="B834" s="2124"/>
      <c r="C834" s="2136">
        <f>IF(G834&gt;0,C830+1,C830)</f>
        <v>0</v>
      </c>
      <c r="D834" s="2250"/>
      <c r="E834" s="2269" t="s">
        <v>6164</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5" outlineLevel="1">
      <c r="A835" s="2102">
        <f>A834</f>
        <v>0</v>
      </c>
      <c r="B835" s="2124"/>
      <c r="C835" s="2136"/>
      <c r="D835" s="2250"/>
      <c r="E835" s="2219" t="s">
        <v>6132</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ht="15" outlineLevel="1">
      <c r="A836" s="2102">
        <f>A835</f>
        <v>0</v>
      </c>
      <c r="B836" s="2153" t="s">
        <v>697</v>
      </c>
      <c r="C836" s="2136"/>
      <c r="D836" s="2114">
        <v>0</v>
      </c>
      <c r="E836" s="2115" t="s">
        <v>5086</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ht="15"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ht="15" outlineLevel="1">
      <c r="A838" s="2102">
        <f>A837</f>
        <v>0</v>
      </c>
      <c r="B838" s="2112" t="s">
        <v>1477</v>
      </c>
      <c r="C838" s="2136"/>
      <c r="D838" s="2114"/>
      <c r="E838" s="2115" t="s">
        <v>4334</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ht="15" outlineLevel="1">
      <c r="A839" s="2102">
        <f>IF(G839&lt;&gt;0,1,0)</f>
        <v>0</v>
      </c>
      <c r="B839" s="2174" t="s">
        <v>5703</v>
      </c>
      <c r="C839" s="2121"/>
      <c r="D839" s="2114">
        <v>0</v>
      </c>
      <c r="E839" s="2115" t="s">
        <v>4537</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ht="15" outlineLevel="1">
      <c r="A840" s="2102">
        <f>IF(G840&lt;&gt;0,1,0)</f>
        <v>0</v>
      </c>
      <c r="B840" s="2112" t="s">
        <v>5698</v>
      </c>
      <c r="C840" s="2121"/>
      <c r="D840" s="2114">
        <v>0</v>
      </c>
      <c r="E840" s="2115" t="s">
        <v>5699</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ht="15" outlineLevel="1">
      <c r="A841" s="2102">
        <f>IF(G841&lt;&gt;0,1,0)</f>
        <v>0</v>
      </c>
      <c r="B841" s="2112" t="s">
        <v>5704</v>
      </c>
      <c r="C841" s="2121"/>
      <c r="D841" s="2114">
        <v>0</v>
      </c>
      <c r="E841" s="2115" t="s">
        <v>5705</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ht="15" outlineLevel="1">
      <c r="A842" s="2102">
        <f>IF(G842&lt;&gt;0,1,0)</f>
        <v>0</v>
      </c>
      <c r="B842" s="2112" t="s">
        <v>5706</v>
      </c>
      <c r="C842" s="2121"/>
      <c r="D842" s="2114">
        <v>0</v>
      </c>
      <c r="E842" s="2115" t="s">
        <v>5707</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ht="15" outlineLevel="1">
      <c r="A843" s="2176" t="str">
        <f>IF(G843&lt;&gt;0,1,"")</f>
        <v/>
      </c>
      <c r="B843" s="2124" t="s">
        <v>6142</v>
      </c>
      <c r="C843" s="2121"/>
      <c r="D843" s="2114" t="s">
        <v>5724</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ht="15" outlineLevel="1">
      <c r="A844" s="2176" t="str">
        <f>IF(G844&lt;&gt;0,1,"")</f>
        <v/>
      </c>
      <c r="B844" s="2124" t="s">
        <v>6177</v>
      </c>
      <c r="C844" s="2121"/>
      <c r="D844" s="2114" t="s">
        <v>5725</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ht="15" outlineLevel="1">
      <c r="A845" s="2176" t="str">
        <f>IF(G845&lt;&gt;0,1,"")</f>
        <v/>
      </c>
      <c r="B845" s="2124" t="s">
        <v>6178</v>
      </c>
      <c r="C845" s="2121"/>
      <c r="D845" s="2114" t="s">
        <v>5724</v>
      </c>
      <c r="E845" s="2115" t="s">
        <v>5759</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ht="15" outlineLevel="1">
      <c r="A846" s="2176" t="str">
        <f>IF(G846&lt;&gt;0,1,"")</f>
        <v/>
      </c>
      <c r="B846" s="2124" t="s">
        <v>6179</v>
      </c>
      <c r="C846" s="2121"/>
      <c r="D846" s="2114" t="s">
        <v>5725</v>
      </c>
      <c r="E846" s="2115" t="s">
        <v>5761</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ht="15" outlineLevel="1">
      <c r="A847" s="2102">
        <f>A838</f>
        <v>0</v>
      </c>
      <c r="B847" s="2112" t="s">
        <v>1525</v>
      </c>
      <c r="C847" s="2136"/>
      <c r="D847" s="2114" t="s">
        <v>5570</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ht="15" outlineLevel="1">
      <c r="A848" s="2176" t="str">
        <f>IF(G848&lt;&gt;0,1,"")</f>
        <v/>
      </c>
      <c r="B848" s="2124"/>
      <c r="C848" s="2136">
        <f>IF(G848&gt;0,C834+1,C834)</f>
        <v>0</v>
      </c>
      <c r="D848" s="2250"/>
      <c r="E848" s="2270" t="s">
        <v>6180</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5" outlineLevel="1">
      <c r="A849" s="2102" t="str">
        <f>A848</f>
        <v/>
      </c>
      <c r="B849" s="2124"/>
      <c r="C849" s="2136"/>
      <c r="D849" s="2250"/>
      <c r="E849" s="2271" t="s">
        <v>6132</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30" outlineLevel="1">
      <c r="A850" s="2176" t="str">
        <f t="shared" ref="A850:A879" si="123">IF(G850&lt;&gt;0,1,"")</f>
        <v/>
      </c>
      <c r="B850" s="2124" t="s">
        <v>32</v>
      </c>
      <c r="C850" s="2121"/>
      <c r="D850" s="2114">
        <v>0</v>
      </c>
      <c r="E850" s="2272" t="s">
        <v>6332</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ht="15" outlineLevel="1">
      <c r="A851" s="2176" t="str">
        <f t="shared" si="123"/>
        <v/>
      </c>
      <c r="B851" s="2124" t="s">
        <v>1406</v>
      </c>
      <c r="C851" s="2121"/>
      <c r="D851" s="2114">
        <v>0</v>
      </c>
      <c r="E851" s="2115" t="s">
        <v>6333</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ht="15" outlineLevel="1">
      <c r="A852" s="2176" t="str">
        <f t="shared" si="123"/>
        <v/>
      </c>
      <c r="B852" s="2124" t="s">
        <v>6181</v>
      </c>
      <c r="C852" s="2121"/>
      <c r="D852" s="2114">
        <v>0</v>
      </c>
      <c r="E852" s="2115" t="s">
        <v>6334</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ht="15"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ht="15" outlineLevel="1">
      <c r="A854" s="2176" t="str">
        <f t="shared" si="123"/>
        <v/>
      </c>
      <c r="B854" s="2124" t="s">
        <v>6182</v>
      </c>
      <c r="C854" s="2121"/>
      <c r="D854" s="2114" t="s">
        <v>5727</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ht="15" outlineLevel="1">
      <c r="A855" s="2176" t="str">
        <f t="shared" si="123"/>
        <v/>
      </c>
      <c r="B855" s="2124" t="s">
        <v>2143</v>
      </c>
      <c r="C855" s="2121"/>
      <c r="D855" s="2114" t="s">
        <v>5727</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ht="15" outlineLevel="1">
      <c r="A856" s="2176" t="str">
        <f t="shared" si="123"/>
        <v/>
      </c>
      <c r="B856" s="2124" t="s">
        <v>6141</v>
      </c>
      <c r="C856" s="2121"/>
      <c r="D856" s="2114" t="s">
        <v>5723</v>
      </c>
      <c r="E856" s="2115" t="s">
        <v>5736</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ht="15" outlineLevel="1">
      <c r="A857" s="2176" t="str">
        <f t="shared" si="123"/>
        <v/>
      </c>
      <c r="B857" s="2124" t="s">
        <v>6183</v>
      </c>
      <c r="C857" s="2121"/>
      <c r="D857" s="2114" t="s">
        <v>5726</v>
      </c>
      <c r="E857" s="2115" t="s">
        <v>5763</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ht="15" outlineLevel="1">
      <c r="A858" s="2176" t="str">
        <f t="shared" si="123"/>
        <v/>
      </c>
      <c r="B858" s="2124" t="s">
        <v>6184</v>
      </c>
      <c r="C858" s="2121"/>
      <c r="D858" s="2114" t="s">
        <v>5727</v>
      </c>
      <c r="E858" s="2115" t="s">
        <v>5765</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ht="15" outlineLevel="1">
      <c r="A859" s="2176" t="str">
        <f t="shared" si="123"/>
        <v/>
      </c>
      <c r="B859" s="2124" t="s">
        <v>6185</v>
      </c>
      <c r="C859" s="2121"/>
      <c r="D859" s="2114" t="s">
        <v>5723</v>
      </c>
      <c r="E859" s="2115" t="s">
        <v>5757</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ht="15"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ht="15"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ht="15" outlineLevel="1">
      <c r="A862" s="2176" t="str">
        <f t="shared" si="123"/>
        <v/>
      </c>
      <c r="B862" s="2127" t="s">
        <v>672</v>
      </c>
      <c r="C862" s="2121"/>
      <c r="D862" s="2114">
        <v>0</v>
      </c>
      <c r="E862" s="2115" t="s">
        <v>5800</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ht="15"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ht="15"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ht="15"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ht="15" outlineLevel="1">
      <c r="A866" s="2176" t="str">
        <f t="shared" si="123"/>
        <v/>
      </c>
      <c r="B866" s="2174" t="s">
        <v>5801</v>
      </c>
      <c r="C866" s="2121"/>
      <c r="D866" s="2114">
        <v>0</v>
      </c>
      <c r="E866" s="2115" t="s">
        <v>5802</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ht="15"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ht="15" outlineLevel="1">
      <c r="A868" s="2176" t="str">
        <f t="shared" si="123"/>
        <v/>
      </c>
      <c r="B868" s="2174" t="s">
        <v>1740</v>
      </c>
      <c r="C868" s="2121"/>
      <c r="D868" s="2114">
        <v>0</v>
      </c>
      <c r="E868" s="2115" t="s">
        <v>5794</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ht="15"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ht="15"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ht="15" outlineLevel="1">
      <c r="A871" s="2176" t="str">
        <f t="shared" si="123"/>
        <v/>
      </c>
      <c r="B871" s="2127" t="s">
        <v>1862</v>
      </c>
      <c r="C871" s="2121"/>
      <c r="D871" s="2114">
        <v>0</v>
      </c>
      <c r="E871" s="2115" t="s">
        <v>5257</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ht="15"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ht="15"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ht="15"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ht="15" outlineLevel="1">
      <c r="A875" s="2176" t="str">
        <f t="shared" si="123"/>
        <v/>
      </c>
      <c r="B875" s="2124" t="s">
        <v>1179</v>
      </c>
      <c r="C875" s="2121"/>
      <c r="D875" s="2114">
        <v>0</v>
      </c>
      <c r="E875" s="2115" t="s">
        <v>3567</v>
      </c>
      <c r="F875" s="2114" t="s">
        <v>5805</v>
      </c>
      <c r="G875" s="2178"/>
      <c r="H875" s="2117">
        <v>45000</v>
      </c>
      <c r="I875" s="2122"/>
      <c r="J875" s="2117">
        <v>0</v>
      </c>
      <c r="K875" s="2117">
        <v>0</v>
      </c>
      <c r="L875" s="2203">
        <f>H875*G875</f>
        <v>0</v>
      </c>
      <c r="M875" s="2203">
        <f>I875*G875</f>
        <v>0</v>
      </c>
      <c r="N875" s="2203">
        <f>J875*G875</f>
        <v>0</v>
      </c>
      <c r="O875" s="2204">
        <f>K875*G875</f>
        <v>0</v>
      </c>
      <c r="P875" s="2149"/>
    </row>
    <row r="876" spans="1:16" s="2099" customFormat="1" ht="15" outlineLevel="1">
      <c r="A876" s="2176" t="str">
        <f t="shared" si="123"/>
        <v/>
      </c>
      <c r="B876" s="2124" t="s">
        <v>1863</v>
      </c>
      <c r="C876" s="2121"/>
      <c r="D876" s="2114" t="s">
        <v>5547</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ht="15" outlineLevel="1">
      <c r="A877" s="2176" t="str">
        <f t="shared" si="123"/>
        <v/>
      </c>
      <c r="B877" s="2127" t="s">
        <v>1525</v>
      </c>
      <c r="C877" s="2121"/>
      <c r="D877" s="2114" t="s">
        <v>5570</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ht="15" outlineLevel="1">
      <c r="A878" s="2176" t="str">
        <f t="shared" si="123"/>
        <v/>
      </c>
      <c r="B878" s="2127" t="s">
        <v>6186</v>
      </c>
      <c r="C878" s="2121"/>
      <c r="D878" s="2114" t="s">
        <v>5492</v>
      </c>
      <c r="E878" s="2115" t="s">
        <v>5500</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5711</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ht="15" outlineLevel="1">
      <c r="A880" s="2176"/>
      <c r="B880" s="2124"/>
      <c r="C880" s="2154">
        <f>C879+1</f>
        <v>1</v>
      </c>
      <c r="D880" s="2283"/>
      <c r="E880" s="2276" t="s">
        <v>6187</v>
      </c>
      <c r="F880" s="2114"/>
      <c r="G880" s="2284"/>
      <c r="H880" s="2117"/>
      <c r="I880" s="2157"/>
      <c r="J880" s="2117"/>
      <c r="K880" s="2117"/>
      <c r="L880" s="2285"/>
      <c r="M880" s="2285"/>
      <c r="N880" s="2285"/>
      <c r="O880" s="2286"/>
      <c r="P880" s="2149"/>
    </row>
    <row r="881" spans="1:16" s="2099" customFormat="1" ht="15" outlineLevel="1">
      <c r="A881" s="2176" t="str">
        <f t="shared" ref="A881:A887" si="124">IF(G881&lt;&gt;0,1,"")</f>
        <v/>
      </c>
      <c r="B881" s="2287" t="s">
        <v>5199</v>
      </c>
      <c r="C881" s="2154"/>
      <c r="D881" s="2283"/>
      <c r="E881" s="2288" t="s">
        <v>4760</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ht="15" outlineLevel="1">
      <c r="A882" s="2176" t="str">
        <f t="shared" si="124"/>
        <v/>
      </c>
      <c r="B882" s="2289" t="s">
        <v>6188</v>
      </c>
      <c r="C882" s="2154"/>
      <c r="D882" s="2283"/>
      <c r="E882" s="2115" t="s">
        <v>5074</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ht="15" outlineLevel="1">
      <c r="A883" s="2176" t="str">
        <f t="shared" si="124"/>
        <v/>
      </c>
      <c r="B883" s="2266" t="s">
        <v>5227</v>
      </c>
      <c r="C883" s="2154"/>
      <c r="D883" s="2283"/>
      <c r="E883" s="2115" t="s">
        <v>5228</v>
      </c>
      <c r="F883" s="2114" t="s">
        <v>5173</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ht="15" outlineLevel="1">
      <c r="A884" s="2176" t="str">
        <f t="shared" si="124"/>
        <v/>
      </c>
      <c r="B884" s="2287" t="s">
        <v>5199</v>
      </c>
      <c r="C884" s="2154"/>
      <c r="D884" s="2283"/>
      <c r="E884" s="2288" t="s">
        <v>4760</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ht="15" outlineLevel="1">
      <c r="A885" s="2176" t="str">
        <f t="shared" si="124"/>
        <v/>
      </c>
      <c r="B885" s="2289" t="s">
        <v>525</v>
      </c>
      <c r="C885" s="2154"/>
      <c r="D885" s="2283"/>
      <c r="E885" s="2115" t="s">
        <v>5251</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ht="15" outlineLevel="1">
      <c r="A886" s="2176" t="str">
        <f t="shared" si="124"/>
        <v/>
      </c>
      <c r="B886" s="2266" t="s">
        <v>5227</v>
      </c>
      <c r="C886" s="2154"/>
      <c r="D886" s="2283"/>
      <c r="E886" s="2115" t="s">
        <v>5228</v>
      </c>
      <c r="F886" s="2114" t="s">
        <v>5173</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30" outlineLevel="1">
      <c r="A887" s="2176" t="str">
        <f t="shared" si="124"/>
        <v/>
      </c>
      <c r="B887" s="2124" t="s">
        <v>36</v>
      </c>
      <c r="C887" s="2154"/>
      <c r="D887" s="2283"/>
      <c r="E887" s="2272" t="s">
        <v>6335</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ht="15" outlineLevel="1">
      <c r="A888" s="2176"/>
      <c r="B888" s="2124"/>
      <c r="C888" s="2154">
        <f>C880+1</f>
        <v>2</v>
      </c>
      <c r="D888" s="2283"/>
      <c r="E888" s="2276" t="s">
        <v>6189</v>
      </c>
      <c r="F888" s="2114"/>
      <c r="G888" s="2284"/>
      <c r="H888" s="2117"/>
      <c r="I888" s="2157"/>
      <c r="J888" s="2117"/>
      <c r="K888" s="2117"/>
      <c r="L888" s="2285"/>
      <c r="M888" s="2285"/>
      <c r="N888" s="2285"/>
      <c r="O888" s="2286"/>
      <c r="P888" s="2149"/>
    </row>
    <row r="889" spans="1:16" s="2099" customFormat="1" ht="15"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ht="15"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ht="15" outlineLevel="1">
      <c r="A891" s="2176" t="str">
        <f t="shared" si="129"/>
        <v/>
      </c>
      <c r="B891" s="2127" t="s">
        <v>1568</v>
      </c>
      <c r="C891" s="2154"/>
      <c r="D891" s="2283"/>
      <c r="E891" s="2115" t="s">
        <v>5226</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ht="15" outlineLevel="1">
      <c r="A892" s="2176" t="str">
        <f t="shared" si="129"/>
        <v/>
      </c>
      <c r="B892" s="2127" t="s">
        <v>6148</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ht="15" outlineLevel="1">
      <c r="A893" s="2176" t="str">
        <f t="shared" si="129"/>
        <v/>
      </c>
      <c r="B893" s="2127" t="s">
        <v>6190</v>
      </c>
      <c r="C893" s="2154"/>
      <c r="D893" s="2283"/>
      <c r="E893" s="2115" t="s">
        <v>5250</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ht="15"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ht="15"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ht="15" outlineLevel="1">
      <c r="A896" s="2176" t="str">
        <f t="shared" si="129"/>
        <v/>
      </c>
      <c r="B896" s="2124" t="s">
        <v>672</v>
      </c>
      <c r="C896" s="2154"/>
      <c r="D896" s="2283"/>
      <c r="E896" s="2115" t="s">
        <v>5800</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ht="15" outlineLevel="1">
      <c r="A897" s="2176" t="str">
        <f t="shared" si="129"/>
        <v/>
      </c>
      <c r="B897" s="2127" t="s">
        <v>689</v>
      </c>
      <c r="C897" s="2154"/>
      <c r="D897" s="2114" t="s">
        <v>5568</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ht="15" outlineLevel="1">
      <c r="A898" s="2176" t="str">
        <f t="shared" si="129"/>
        <v/>
      </c>
      <c r="B898" s="2127" t="s">
        <v>452</v>
      </c>
      <c r="C898" s="2154"/>
      <c r="D898" s="2114" t="s">
        <v>5567</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ht="15" outlineLevel="1">
      <c r="A899" s="2176" t="str">
        <f t="shared" si="129"/>
        <v/>
      </c>
      <c r="B899" s="2127" t="s">
        <v>1895</v>
      </c>
      <c r="C899" s="2154"/>
      <c r="D899" s="2114" t="s">
        <v>5566</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ht="15" outlineLevel="1">
      <c r="A900" s="2102"/>
      <c r="B900" s="2206"/>
      <c r="C900" s="2129"/>
      <c r="D900" s="2130"/>
      <c r="E900" s="2211"/>
      <c r="F900" s="2623"/>
      <c r="G900" s="2623"/>
      <c r="H900" s="2623"/>
      <c r="I900" s="2623"/>
      <c r="J900" s="2651" t="s">
        <v>6130</v>
      </c>
      <c r="K900" s="2651"/>
      <c r="L900" s="2292">
        <f>SUM(L757:M899)</f>
        <v>0</v>
      </c>
      <c r="M900" s="2292"/>
      <c r="N900" s="2292">
        <f>SUM(N757:O899)</f>
        <v>296544.75</v>
      </c>
      <c r="O900" s="2292">
        <f>SUM(O757:P899)</f>
        <v>0</v>
      </c>
      <c r="P900" s="2293"/>
    </row>
    <row r="901" spans="1:16" s="2099" customFormat="1" ht="15"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ht="15" outlineLevel="1">
      <c r="A902" s="2143"/>
      <c r="B902" s="2206"/>
      <c r="C902" s="2143"/>
      <c r="D902" s="2294"/>
      <c r="E902" s="2138" t="s">
        <v>6191</v>
      </c>
      <c r="F902" s="2624"/>
      <c r="G902" s="2624"/>
      <c r="H902" s="2624"/>
      <c r="I902" s="2624"/>
      <c r="J902" s="2295"/>
      <c r="K902" s="2295"/>
      <c r="L902" s="2296"/>
      <c r="M902" s="2296"/>
      <c r="N902" s="2296"/>
      <c r="O902" s="2296"/>
    </row>
    <row r="903" spans="1:16" s="2099" customFormat="1" ht="15"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ht="15" outlineLevel="1">
      <c r="A904" s="2102" t="str">
        <f>A903</f>
        <v/>
      </c>
      <c r="B904" s="2124" t="s">
        <v>6111</v>
      </c>
      <c r="C904" s="2642" t="s">
        <v>1708</v>
      </c>
      <c r="D904" s="2643" t="s">
        <v>2597</v>
      </c>
      <c r="E904" s="2645" t="s">
        <v>2598</v>
      </c>
      <c r="F904" s="2642" t="s">
        <v>2593</v>
      </c>
      <c r="G904" s="2103" t="s">
        <v>6112</v>
      </c>
      <c r="H904" s="2106" t="s">
        <v>6113</v>
      </c>
      <c r="I904" s="2613"/>
      <c r="J904" s="2613"/>
      <c r="K904" s="2614"/>
      <c r="L904" s="2106" t="s">
        <v>6114</v>
      </c>
      <c r="M904" s="2613"/>
      <c r="N904" s="2613"/>
      <c r="O904" s="2614"/>
      <c r="P904" s="2642" t="s">
        <v>2599</v>
      </c>
    </row>
    <row r="905" spans="1:16" s="2099" customFormat="1" ht="15" outlineLevel="1">
      <c r="A905" s="2102" t="str">
        <f>A904</f>
        <v/>
      </c>
      <c r="B905" s="2124"/>
      <c r="C905" s="2642"/>
      <c r="D905" s="2644"/>
      <c r="E905" s="2646"/>
      <c r="F905" s="2642"/>
      <c r="G905" s="2105" t="s">
        <v>2286</v>
      </c>
      <c r="H905" s="2106" t="s">
        <v>6115</v>
      </c>
      <c r="I905" s="2106" t="s">
        <v>6116</v>
      </c>
      <c r="J905" s="2106" t="s">
        <v>6117</v>
      </c>
      <c r="K905" s="2106" t="s">
        <v>6118</v>
      </c>
      <c r="L905" s="2106" t="s">
        <v>6115</v>
      </c>
      <c r="M905" s="2106" t="s">
        <v>6116</v>
      </c>
      <c r="N905" s="2106" t="s">
        <v>6117</v>
      </c>
      <c r="O905" s="2106" t="s">
        <v>6118</v>
      </c>
      <c r="P905" s="2642"/>
    </row>
    <row r="906" spans="1:16" s="2099" customFormat="1" ht="15"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ht="15" outlineLevel="1">
      <c r="A907" s="2102" t="str">
        <f>IF(G907&lt;&gt;0,1,"")</f>
        <v/>
      </c>
      <c r="B907" s="2112" t="str">
        <f>IF($F$8=22,"TR501","TR50")</f>
        <v>TR501</v>
      </c>
      <c r="C907" s="2113">
        <f>IF(G907&gt;0,1,0)</f>
        <v>0</v>
      </c>
      <c r="D907" s="2114" t="s">
        <v>5583</v>
      </c>
      <c r="E907" s="2115" t="s">
        <v>5586</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ht="15" outlineLevel="1">
      <c r="A908" s="2102" t="str">
        <f t="shared" ref="A908:A914" si="138">IF(G908&lt;&gt;0,1,"")</f>
        <v/>
      </c>
      <c r="B908" s="2112" t="str">
        <f>"FCO100-"&amp;$F$8</f>
        <v>FCO100-22</v>
      </c>
      <c r="C908" s="2113">
        <f t="shared" ref="C908:C914" si="139">IF(G908&gt;0,C907+1,C907)</f>
        <v>0</v>
      </c>
      <c r="D908" s="2114" t="s">
        <v>5597</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ht="15"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ht="15" outlineLevel="1">
      <c r="A910" s="2102" t="str">
        <f t="shared" si="138"/>
        <v/>
      </c>
      <c r="B910" s="2124" t="str">
        <f>IF($F$6=12,"LA12","LA18")</f>
        <v>LA18</v>
      </c>
      <c r="C910" s="2113">
        <f t="shared" si="139"/>
        <v>0</v>
      </c>
      <c r="D910" s="2114" t="s">
        <v>5601</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ht="15" outlineLevel="1">
      <c r="A911" s="2102" t="str">
        <f t="shared" si="138"/>
        <v/>
      </c>
      <c r="B911" s="2112" t="s">
        <v>710</v>
      </c>
      <c r="C911" s="2113">
        <f t="shared" si="139"/>
        <v>0</v>
      </c>
      <c r="D911" s="2114">
        <v>0</v>
      </c>
      <c r="E911" s="2115" t="s">
        <v>5681</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ht="15"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ht="15"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ht="15"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ht="15" outlineLevel="1">
      <c r="A915" s="2102" t="str">
        <f>A914</f>
        <v/>
      </c>
      <c r="B915" s="2124"/>
      <c r="C915" s="2302"/>
      <c r="D915" s="2303"/>
      <c r="E915" s="2304"/>
      <c r="F915" s="2302"/>
      <c r="G915" s="2622"/>
      <c r="H915" s="2302"/>
      <c r="I915" s="2302"/>
      <c r="J915" s="2111" t="s">
        <v>6120</v>
      </c>
      <c r="K915" s="2302"/>
      <c r="L915" s="2304">
        <f>SUM(L907:L914)</f>
        <v>0</v>
      </c>
      <c r="M915" s="2304"/>
      <c r="N915" s="2304">
        <f>SUM(N907:N914)</f>
        <v>0</v>
      </c>
      <c r="O915" s="2304">
        <f>SUM(O907:O914)</f>
        <v>0</v>
      </c>
      <c r="P915" s="2293"/>
    </row>
    <row r="916" spans="1:18" s="2099" customFormat="1" ht="15"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ht="15"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5" outlineLevel="1">
      <c r="A918" s="2102" t="str">
        <f>A917</f>
        <v/>
      </c>
      <c r="B918" s="2124"/>
      <c r="C918" s="2139"/>
      <c r="D918" s="2312"/>
      <c r="E918" s="2313" t="s">
        <v>6132</v>
      </c>
      <c r="F918" s="2113"/>
      <c r="G918" s="2314"/>
      <c r="H918" s="2315"/>
      <c r="I918" s="2315"/>
      <c r="J918" s="2315"/>
      <c r="K918" s="2315"/>
      <c r="L918" s="2315"/>
      <c r="M918" s="2315"/>
      <c r="N918" s="2315"/>
      <c r="O918" s="2316"/>
      <c r="P918" s="2149"/>
    </row>
    <row r="919" spans="1:18" s="2099" customFormat="1" ht="15" outlineLevel="1">
      <c r="A919" s="2102" t="str">
        <f>IF(G919&lt;&gt;0,1,"")</f>
        <v/>
      </c>
      <c r="B919" s="2127" t="s">
        <v>1041</v>
      </c>
      <c r="C919" s="2139"/>
      <c r="D919" s="2114">
        <v>0</v>
      </c>
      <c r="E919" s="2115" t="s">
        <v>5716</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ht="15"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ht="15"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ht="15" outlineLevel="1">
      <c r="A922" s="2102" t="str">
        <f>IF(G922&lt;&gt;0,1,"")</f>
        <v/>
      </c>
      <c r="B922" s="2127" t="s">
        <v>5719</v>
      </c>
      <c r="C922" s="2139"/>
      <c r="D922" s="2114" t="s">
        <v>5425</v>
      </c>
      <c r="E922" s="2115" t="s">
        <v>5720</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ht="15" outlineLevel="1">
      <c r="A923" s="2102">
        <f>IF(G923&lt;&gt;0,1,)</f>
        <v>0</v>
      </c>
      <c r="B923" s="2124"/>
      <c r="C923" s="2139">
        <f>IF(G923&gt;0,C917+1,C917)</f>
        <v>0</v>
      </c>
      <c r="D923" s="2140"/>
      <c r="E923" s="2141" t="s">
        <v>6137</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5" outlineLevel="1">
      <c r="A924" s="2102">
        <f>A923</f>
        <v>0</v>
      </c>
      <c r="B924" s="2124"/>
      <c r="C924" s="2136"/>
      <c r="D924" s="2140"/>
      <c r="E924" s="2142" t="s">
        <v>6132</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ht="15"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ht="15"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ht="15"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ht="15"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5" outlineLevel="1">
      <c r="A929" s="2102">
        <f>A928</f>
        <v>0</v>
      </c>
      <c r="B929" s="2124"/>
      <c r="C929" s="2136"/>
      <c r="D929" s="2140"/>
      <c r="E929" s="2142" t="s">
        <v>6132</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ht="15" outlineLevel="1">
      <c r="A930" s="2102">
        <f>IF(G930&lt;&gt;0,1,)</f>
        <v>0</v>
      </c>
      <c r="B930" s="2127" t="s">
        <v>636</v>
      </c>
      <c r="C930" s="2121"/>
      <c r="D930" s="2114" t="s">
        <v>5046</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ht="15" outlineLevel="1">
      <c r="A931" s="2102">
        <f>IF(G931&lt;&gt;0,1,)</f>
        <v>0</v>
      </c>
      <c r="B931" s="2127" t="s">
        <v>566</v>
      </c>
      <c r="C931" s="2121"/>
      <c r="D931" s="2114">
        <v>0</v>
      </c>
      <c r="E931" s="2115" t="s">
        <v>5071</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ht="15" outlineLevel="1">
      <c r="A932" s="2102">
        <f>IF(G932&lt;&gt;0,1,)</f>
        <v>0</v>
      </c>
      <c r="B932" s="2127" t="s">
        <v>639</v>
      </c>
      <c r="C932" s="2121"/>
      <c r="D932" s="2114" t="s">
        <v>1747</v>
      </c>
      <c r="E932" s="2115" t="s">
        <v>5323</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ht="15" outlineLevel="1">
      <c r="A933" s="2102">
        <f>IF(G933&lt;&gt;0,1,)</f>
        <v>0</v>
      </c>
      <c r="B933" s="2127" t="s">
        <v>21</v>
      </c>
      <c r="C933" s="2121"/>
      <c r="D933" s="2114" t="s">
        <v>5324</v>
      </c>
      <c r="E933" s="2115" t="s">
        <v>5325</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ht="15" outlineLevel="1">
      <c r="A934" s="2102">
        <f>IF(G934&lt;&gt;0,1,0)</f>
        <v>0</v>
      </c>
      <c r="B934" s="2127" t="s">
        <v>6158</v>
      </c>
      <c r="C934" s="2136">
        <f>IF(G934&gt;0,C928+1,C928)</f>
        <v>0</v>
      </c>
      <c r="D934" s="2196"/>
      <c r="E934" s="2165" t="s">
        <v>6159</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5" outlineLevel="1">
      <c r="A935" s="2102">
        <f>A934</f>
        <v>0</v>
      </c>
      <c r="B935" s="2124"/>
      <c r="C935" s="2136"/>
      <c r="D935" s="2196"/>
      <c r="E935" s="2166" t="s">
        <v>6132</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ht="15" outlineLevel="1">
      <c r="A936" s="2102">
        <f t="shared" ref="A936:A941" si="144">IF(G936&lt;&gt;0,1,0)</f>
        <v>0</v>
      </c>
      <c r="B936" s="2127" t="s">
        <v>5150</v>
      </c>
      <c r="C936" s="2136"/>
      <c r="D936" s="2114">
        <v>0</v>
      </c>
      <c r="E936" s="2115" t="s">
        <v>5151</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ht="15" outlineLevel="1">
      <c r="A937" s="2102">
        <f t="shared" si="144"/>
        <v>0</v>
      </c>
      <c r="B937" s="2127" t="s">
        <v>5157</v>
      </c>
      <c r="C937" s="2136"/>
      <c r="D937" s="2114">
        <v>0</v>
      </c>
      <c r="E937" s="2115" t="s">
        <v>5158</v>
      </c>
      <c r="F937" s="2114" t="s">
        <v>5159</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ht="15" outlineLevel="1">
      <c r="A938" s="2102">
        <f t="shared" si="144"/>
        <v>0</v>
      </c>
      <c r="B938" s="2124" t="s">
        <v>488</v>
      </c>
      <c r="C938" s="2136"/>
      <c r="D938" s="2114">
        <v>0</v>
      </c>
      <c r="E938" s="2115" t="s">
        <v>5077</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ht="15"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ht="15"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ht="15"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ht="15" outlineLevel="1">
      <c r="A942" s="2102">
        <f>IF(G942&lt;&gt;0,1,0)</f>
        <v>0</v>
      </c>
      <c r="B942" s="2174" t="s">
        <v>5371</v>
      </c>
      <c r="C942" s="2136"/>
      <c r="D942" s="2114" t="s">
        <v>5147</v>
      </c>
      <c r="E942" s="2115" t="s">
        <v>5372</v>
      </c>
      <c r="F942" s="2114" t="s">
        <v>2439</v>
      </c>
      <c r="G942" s="2185">
        <f>G934</f>
        <v>0</v>
      </c>
      <c r="H942" s="2117">
        <v>0</v>
      </c>
      <c r="I942" s="2122"/>
      <c r="J942" s="2117" t="s">
        <v>6336</v>
      </c>
      <c r="K942" s="2117">
        <v>0</v>
      </c>
      <c r="L942" s="2123">
        <f>H942*G942</f>
        <v>0</v>
      </c>
      <c r="M942" s="2123">
        <f>I942*G942</f>
        <v>0</v>
      </c>
      <c r="N942" s="2117">
        <v>0</v>
      </c>
      <c r="O942" s="2122">
        <f>K942*G942</f>
        <v>0</v>
      </c>
      <c r="P942" s="2149"/>
    </row>
    <row r="943" spans="1:18" s="2099" customFormat="1" ht="15"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5" outlineLevel="1">
      <c r="A944" s="2102">
        <f>A943</f>
        <v>0</v>
      </c>
      <c r="B944" s="2124"/>
      <c r="C944" s="2139"/>
      <c r="D944" s="2312"/>
      <c r="E944" s="2313" t="s">
        <v>6132</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ht="15"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ht="15" outlineLevel="1">
      <c r="A946" s="2102" t="str">
        <f t="shared" si="145"/>
        <v/>
      </c>
      <c r="B946" s="2127" t="s">
        <v>1508</v>
      </c>
      <c r="C946" s="2113"/>
      <c r="D946" s="2114">
        <v>0</v>
      </c>
      <c r="E946" s="2115" t="s">
        <v>5162</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ht="15"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ht="15" outlineLevel="1">
      <c r="A948" s="2102" t="str">
        <f>IF(G948&lt;&gt;0,1,"")</f>
        <v/>
      </c>
      <c r="B948" s="2127" t="s">
        <v>6149</v>
      </c>
      <c r="C948" s="2121"/>
      <c r="D948" s="2114">
        <v>0</v>
      </c>
      <c r="E948" s="2115" t="s">
        <v>5795</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ht="15"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ht="15"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ht="15" outlineLevel="1">
      <c r="A951" s="2102" t="str">
        <f>IF(G951&lt;&gt;0,1,"")</f>
        <v/>
      </c>
      <c r="B951" s="2124" t="s">
        <v>6192</v>
      </c>
      <c r="C951" s="2113"/>
      <c r="D951" s="2114" t="s">
        <v>5724</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ht="15" outlineLevel="1">
      <c r="A952" s="2102" t="str">
        <f>IF(G952&lt;&gt;0,1,"")</f>
        <v/>
      </c>
      <c r="B952" s="2124" t="s">
        <v>6193</v>
      </c>
      <c r="C952" s="2113"/>
      <c r="D952" s="2114" t="s">
        <v>5725</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ht="15"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ht="15" outlineLevel="1">
      <c r="A954" s="2102" t="str">
        <f>IF(G954&lt;&gt;0,1,"")</f>
        <v/>
      </c>
      <c r="B954" s="2124" t="s">
        <v>5180</v>
      </c>
      <c r="C954" s="2113"/>
      <c r="D954" s="2114">
        <v>0</v>
      </c>
      <c r="E954" s="2115" t="s">
        <v>5181</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ht="15" outlineLevel="1">
      <c r="A955" s="2102" t="str">
        <f>IF(G955&lt;&gt;0,1,"")</f>
        <v/>
      </c>
      <c r="B955" s="2124" t="s">
        <v>5182</v>
      </c>
      <c r="C955" s="2113"/>
      <c r="D955" s="2114">
        <v>0</v>
      </c>
      <c r="E955" s="2115" t="s">
        <v>5183</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ht="15" outlineLevel="1">
      <c r="A956" s="2102" t="str">
        <f t="shared" si="145"/>
        <v/>
      </c>
      <c r="B956" s="2127" t="s">
        <v>525</v>
      </c>
      <c r="C956" s="2113"/>
      <c r="D956" s="2114">
        <v>0</v>
      </c>
      <c r="E956" s="2115" t="s">
        <v>5251</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ht="15" outlineLevel="1">
      <c r="A957" s="2102" t="str">
        <f>IF(G957&lt;&gt;0,1,"")</f>
        <v/>
      </c>
      <c r="B957" s="2124" t="s">
        <v>6150</v>
      </c>
      <c r="C957" s="2113"/>
      <c r="D957" s="2114">
        <v>0</v>
      </c>
      <c r="E957" s="2115" t="s">
        <v>5712</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ht="15" outlineLevel="1">
      <c r="A958" s="2102" t="str">
        <f>IF(G958&lt;&gt;0,1,"")</f>
        <v/>
      </c>
      <c r="B958" s="2124" t="s">
        <v>2183</v>
      </c>
      <c r="C958" s="2113"/>
      <c r="D958" s="2114" t="s">
        <v>5345</v>
      </c>
      <c r="E958" s="2115" t="s">
        <v>5346</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ht="15" outlineLevel="1">
      <c r="A959" s="2102" t="str">
        <f>IF(G959&lt;&gt;0,1,"")</f>
        <v/>
      </c>
      <c r="B959" s="2127" t="s">
        <v>902</v>
      </c>
      <c r="C959" s="2113"/>
      <c r="D959" s="2114" t="s">
        <v>5350</v>
      </c>
      <c r="E959" s="2115" t="s">
        <v>5351</v>
      </c>
      <c r="F959" s="2114" t="s">
        <v>2278</v>
      </c>
      <c r="G959" s="2185">
        <f>G946</f>
        <v>0</v>
      </c>
      <c r="H959" s="2117">
        <v>0</v>
      </c>
      <c r="I959" s="2117"/>
      <c r="J959" s="2123" t="s">
        <v>6311</v>
      </c>
      <c r="K959" s="2123">
        <v>0</v>
      </c>
      <c r="L959" s="2123">
        <f>H959*$G959</f>
        <v>0</v>
      </c>
      <c r="M959" s="2123">
        <f>I959*$G959</f>
        <v>0</v>
      </c>
      <c r="N959" s="2123">
        <v>0</v>
      </c>
      <c r="O959" s="2299">
        <f>K959*G959</f>
        <v>0</v>
      </c>
      <c r="P959" s="2149"/>
    </row>
    <row r="960" spans="1:16" s="2099" customFormat="1" ht="15" outlineLevel="1">
      <c r="A960" s="2102" t="str">
        <f>IF(G960&lt;&gt;0,1,"")</f>
        <v/>
      </c>
      <c r="B960" s="2124" t="s">
        <v>1055</v>
      </c>
      <c r="C960" s="2113"/>
      <c r="D960" s="2114" t="s">
        <v>5335</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ht="15" outlineLevel="1">
      <c r="A961" s="2320">
        <f>+IF(G961&gt;0,1,0)</f>
        <v>0</v>
      </c>
      <c r="B961" s="2320"/>
      <c r="C961" s="2321">
        <f>IF(G961&gt;0,C943+1,C943)</f>
        <v>0</v>
      </c>
      <c r="D961" s="2322"/>
      <c r="E961" s="2323" t="s">
        <v>6194</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ht="15" outlineLevel="1">
      <c r="A962" s="2102" t="str">
        <f>IF(G962&lt;&gt;0,1,"")</f>
        <v/>
      </c>
      <c r="B962" s="2174" t="s">
        <v>5656</v>
      </c>
      <c r="C962" s="2331"/>
      <c r="D962" s="2114" t="s">
        <v>5632</v>
      </c>
      <c r="E962" s="2115" t="s">
        <v>5657</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ht="15" outlineLevel="1">
      <c r="A963" s="2102" t="str">
        <f>IF(G963&lt;&gt;0,1,"")</f>
        <v/>
      </c>
      <c r="B963" s="2124" t="s">
        <v>319</v>
      </c>
      <c r="C963" s="2113"/>
      <c r="D963" s="2114">
        <v>0</v>
      </c>
      <c r="E963" s="2115" t="s">
        <v>5268</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ht="15" outlineLevel="1">
      <c r="A964" s="2102" t="str">
        <f>IF(G964&lt;&gt;0,1,"")</f>
        <v/>
      </c>
      <c r="B964" s="2124" t="s">
        <v>880</v>
      </c>
      <c r="C964" s="2113"/>
      <c r="D964" s="2332"/>
      <c r="E964" s="2115" t="s">
        <v>5798</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ht="15" outlineLevel="1">
      <c r="A965" s="2320">
        <f>+IF(G965&gt;0,1,0)</f>
        <v>0</v>
      </c>
      <c r="B965" s="2124"/>
      <c r="C965" s="2139">
        <f>IF(G965&gt;0,C961+1,C961)</f>
        <v>0</v>
      </c>
      <c r="D965" s="2312"/>
      <c r="E965" s="2333" t="s">
        <v>6164</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5" outlineLevel="1">
      <c r="A966" s="2102">
        <f>A965</f>
        <v>0</v>
      </c>
      <c r="B966" s="2124"/>
      <c r="C966" s="2139"/>
      <c r="D966" s="2312"/>
      <c r="E966" s="2313" t="s">
        <v>6132</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ht="15" outlineLevel="1">
      <c r="A967" s="2102" t="str">
        <f>IF(G967&lt;&gt;0,1,"")</f>
        <v/>
      </c>
      <c r="B967" s="2127" t="s">
        <v>697</v>
      </c>
      <c r="C967" s="2113"/>
      <c r="D967" s="2114">
        <v>0</v>
      </c>
      <c r="E967" s="2115" t="s">
        <v>5086</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ht="15"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ht="15"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ht="15" outlineLevel="1">
      <c r="A970" s="2102" t="str">
        <f>IF(G970&lt;&gt;0,1,"")</f>
        <v/>
      </c>
      <c r="B970" s="2112" t="s">
        <v>1477</v>
      </c>
      <c r="C970" s="2113"/>
      <c r="D970" s="2114"/>
      <c r="E970" s="2115" t="s">
        <v>4334</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ht="15" outlineLevel="1">
      <c r="A971" s="2102">
        <f>IF(G971&lt;&gt;0,1,0)</f>
        <v>0</v>
      </c>
      <c r="B971" s="2112" t="s">
        <v>5698</v>
      </c>
      <c r="C971" s="2121"/>
      <c r="D971" s="2114">
        <v>0</v>
      </c>
      <c r="E971" s="2115" t="s">
        <v>5699</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ht="15" outlineLevel="1">
      <c r="A972" s="2102">
        <f>IF(G972&lt;&gt;0,1,0)</f>
        <v>0</v>
      </c>
      <c r="B972" s="2112" t="s">
        <v>5704</v>
      </c>
      <c r="C972" s="2121"/>
      <c r="D972" s="2114">
        <v>0</v>
      </c>
      <c r="E972" s="2115" t="s">
        <v>5705</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ht="15" outlineLevel="1">
      <c r="A973" s="2102">
        <f>IF(G973&lt;&gt;0,1,0)</f>
        <v>0</v>
      </c>
      <c r="B973" s="2112" t="s">
        <v>5706</v>
      </c>
      <c r="C973" s="2121"/>
      <c r="D973" s="2114">
        <v>0</v>
      </c>
      <c r="E973" s="2115" t="s">
        <v>5707</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ht="15" outlineLevel="1">
      <c r="A974" s="2102">
        <f>IF(G974&lt;&gt;0,1,0)</f>
        <v>0</v>
      </c>
      <c r="B974" s="2112" t="s">
        <v>6155</v>
      </c>
      <c r="C974" s="2121"/>
      <c r="D974" s="2114">
        <v>0</v>
      </c>
      <c r="E974" s="2115" t="s">
        <v>4537</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ht="15" outlineLevel="1">
      <c r="A975" s="2102" t="str">
        <f>IF(G975&lt;&gt;0,1,"")</f>
        <v/>
      </c>
      <c r="B975" s="2112" t="s">
        <v>1525</v>
      </c>
      <c r="C975" s="2113"/>
      <c r="D975" s="2114" t="s">
        <v>5570</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ht="15" outlineLevel="1">
      <c r="A976" s="2102" t="str">
        <f>A970</f>
        <v/>
      </c>
      <c r="B976" s="2124"/>
      <c r="C976" s="2139">
        <f>IF(G976&gt;0,C965+1,C965)</f>
        <v>0</v>
      </c>
      <c r="D976" s="2312"/>
      <c r="E976" s="2334" t="s">
        <v>6195</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5" outlineLevel="1">
      <c r="A977" s="2102" t="str">
        <f>A976</f>
        <v/>
      </c>
      <c r="B977" s="2124"/>
      <c r="C977" s="2139"/>
      <c r="D977" s="2312"/>
      <c r="E977" s="2335" t="s">
        <v>6132</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ht="15" outlineLevel="1">
      <c r="A978" s="2102" t="str">
        <f>IF(G978&lt;&gt;0,1,"")</f>
        <v/>
      </c>
      <c r="B978" s="2124" t="s">
        <v>6157</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ht="15"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ht="15"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ht="15" outlineLevel="1">
      <c r="A981" s="2102" t="str">
        <f t="shared" si="150"/>
        <v/>
      </c>
      <c r="B981" s="2124" t="s">
        <v>6196</v>
      </c>
      <c r="C981" s="2113"/>
      <c r="D981" s="2114" t="s">
        <v>5728</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ht="15" outlineLevel="1">
      <c r="A982" s="2102" t="str">
        <f t="shared" si="150"/>
        <v/>
      </c>
      <c r="B982" s="2124" t="s">
        <v>6197</v>
      </c>
      <c r="C982" s="2113"/>
      <c r="D982" s="2114" t="s">
        <v>5724</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ht="15" outlineLevel="1">
      <c r="A983" s="2102" t="str">
        <f t="shared" si="150"/>
        <v/>
      </c>
      <c r="B983" s="2124" t="s">
        <v>6198</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ht="15"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ht="15"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ht="15" outlineLevel="1">
      <c r="A986" s="2102" t="str">
        <f t="shared" si="150"/>
        <v/>
      </c>
      <c r="B986" s="2127" t="s">
        <v>1862</v>
      </c>
      <c r="C986" s="2113"/>
      <c r="D986" s="2114">
        <v>0</v>
      </c>
      <c r="E986" s="2115" t="s">
        <v>5257</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ht="15" outlineLevel="1">
      <c r="A987" s="2102" t="str">
        <f t="shared" si="150"/>
        <v/>
      </c>
      <c r="B987" s="2124" t="s">
        <v>70</v>
      </c>
      <c r="C987" s="2113"/>
      <c r="D987" s="2114">
        <v>0</v>
      </c>
      <c r="E987" s="2115" t="s">
        <v>5796</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ht="15"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ht="15"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ht="15"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ht="15" outlineLevel="1">
      <c r="A991" s="2102" t="str">
        <f t="shared" si="150"/>
        <v/>
      </c>
      <c r="B991" s="2124" t="s">
        <v>489</v>
      </c>
      <c r="C991" s="2113"/>
      <c r="D991" s="2114">
        <v>0</v>
      </c>
      <c r="E991" s="2115" t="s">
        <v>3567</v>
      </c>
      <c r="F991" s="2114" t="s">
        <v>5805</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ht="15" outlineLevel="1">
      <c r="A992" s="2102" t="str">
        <f t="shared" si="150"/>
        <v/>
      </c>
      <c r="B992" s="2127" t="s">
        <v>672</v>
      </c>
      <c r="C992" s="2113"/>
      <c r="D992" s="2114">
        <v>0</v>
      </c>
      <c r="E992" s="2115" t="s">
        <v>5800</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ht="15" outlineLevel="1">
      <c r="A993" s="2102" t="str">
        <f t="shared" si="150"/>
        <v/>
      </c>
      <c r="B993" s="2124" t="s">
        <v>2182</v>
      </c>
      <c r="C993" s="2121"/>
      <c r="D993" s="2114" t="s">
        <v>5546</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ht="15" outlineLevel="1">
      <c r="A994" s="2102" t="str">
        <f t="shared" si="150"/>
        <v/>
      </c>
      <c r="B994" s="2127" t="s">
        <v>1525</v>
      </c>
      <c r="C994" s="2121"/>
      <c r="D994" s="2114" t="s">
        <v>5570</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ht="15" outlineLevel="1">
      <c r="A995" s="2102" t="str">
        <f t="shared" si="150"/>
        <v/>
      </c>
      <c r="B995" s="2124" t="s">
        <v>289</v>
      </c>
      <c r="C995" s="2336">
        <f>IF(G995&gt;0,C976+1,C976)</f>
        <v>0</v>
      </c>
      <c r="D995" s="2337"/>
      <c r="E995" s="2115" t="s">
        <v>5711</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ht="15" outlineLevel="1">
      <c r="A996" s="2102" t="str">
        <f>A995</f>
        <v/>
      </c>
      <c r="B996" s="2124"/>
      <c r="C996" s="2340"/>
      <c r="D996" s="2341"/>
      <c r="E996" s="2307"/>
      <c r="F996" s="2625"/>
      <c r="G996" s="2625"/>
      <c r="H996" s="2625"/>
      <c r="I996" s="2625"/>
      <c r="J996" s="2650" t="s">
        <v>6130</v>
      </c>
      <c r="K996" s="2650"/>
      <c r="L996" s="2342">
        <f>SUM(L919:L995)</f>
        <v>0</v>
      </c>
      <c r="M996" s="2342"/>
      <c r="N996" s="2342">
        <f>SUM(N919:N995)</f>
        <v>0</v>
      </c>
      <c r="O996" s="2342">
        <f>SUM(O919:O995)</f>
        <v>0</v>
      </c>
      <c r="P996" s="2343"/>
    </row>
    <row r="997" spans="1:18" s="2099" customFormat="1" ht="15" outlineLevel="1">
      <c r="A997" s="2102"/>
      <c r="B997" s="2124"/>
      <c r="C997" s="2344"/>
      <c r="D997" s="2344"/>
      <c r="E997" s="2345"/>
      <c r="F997" s="2626"/>
      <c r="G997" s="2626"/>
      <c r="H997" s="2626"/>
      <c r="I997" s="2626"/>
      <c r="J997" s="2345"/>
      <c r="K997" s="2345"/>
      <c r="L997" s="2346"/>
      <c r="M997" s="2346"/>
      <c r="N997" s="2346"/>
      <c r="O997" s="2346"/>
    </row>
    <row r="998" spans="1:18" s="2099" customFormat="1" ht="15"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ht="15" outlineLevel="1">
      <c r="A999" s="2143"/>
      <c r="B999" s="2206"/>
      <c r="C999" s="2143"/>
      <c r="D999" s="2294"/>
      <c r="E999" s="2138" t="s">
        <v>6199</v>
      </c>
      <c r="F999" s="2624"/>
      <c r="G999" s="2624"/>
      <c r="H999" s="2624"/>
      <c r="I999" s="2624"/>
      <c r="J999" s="2295"/>
      <c r="K999" s="2295"/>
      <c r="L999" s="2296"/>
      <c r="M999" s="2296"/>
      <c r="N999" s="2296"/>
      <c r="O999" s="2296"/>
    </row>
    <row r="1000" spans="1:18" s="2099" customFormat="1" ht="15"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ht="15" outlineLevel="1">
      <c r="A1001" s="2102" t="str">
        <f>A1000</f>
        <v/>
      </c>
      <c r="B1001" s="2124" t="s">
        <v>6111</v>
      </c>
      <c r="C1001" s="2642" t="s">
        <v>1708</v>
      </c>
      <c r="D1001" s="2643" t="s">
        <v>2597</v>
      </c>
      <c r="E1001" s="2645" t="s">
        <v>2598</v>
      </c>
      <c r="F1001" s="2642" t="s">
        <v>2593</v>
      </c>
      <c r="G1001" s="2103" t="s">
        <v>6112</v>
      </c>
      <c r="H1001" s="2106" t="s">
        <v>6113</v>
      </c>
      <c r="I1001" s="2613"/>
      <c r="J1001" s="2613"/>
      <c r="K1001" s="2614"/>
      <c r="L1001" s="2106" t="s">
        <v>6114</v>
      </c>
      <c r="M1001" s="2613"/>
      <c r="N1001" s="2613"/>
      <c r="O1001" s="2614"/>
      <c r="P1001" s="2642" t="s">
        <v>2599</v>
      </c>
    </row>
    <row r="1002" spans="1:18" s="2099" customFormat="1" ht="15" outlineLevel="1">
      <c r="A1002" s="2102" t="str">
        <f>A1001</f>
        <v/>
      </c>
      <c r="B1002" s="2124"/>
      <c r="C1002" s="2642"/>
      <c r="D1002" s="2644"/>
      <c r="E1002" s="2646"/>
      <c r="F1002" s="2642"/>
      <c r="G1002" s="2105" t="s">
        <v>2286</v>
      </c>
      <c r="H1002" s="2106" t="s">
        <v>6115</v>
      </c>
      <c r="I1002" s="2106" t="s">
        <v>6116</v>
      </c>
      <c r="J1002" s="2106" t="s">
        <v>6117</v>
      </c>
      <c r="K1002" s="2106" t="s">
        <v>6118</v>
      </c>
      <c r="L1002" s="2106" t="s">
        <v>6115</v>
      </c>
      <c r="M1002" s="2106" t="s">
        <v>6116</v>
      </c>
      <c r="N1002" s="2106" t="s">
        <v>6117</v>
      </c>
      <c r="O1002" s="2106" t="s">
        <v>6118</v>
      </c>
      <c r="P1002" s="2642"/>
    </row>
    <row r="1003" spans="1:18" s="2099" customFormat="1" ht="15"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ht="15" outlineLevel="1">
      <c r="A1004" s="2102" t="str">
        <f t="shared" ref="A1004:A1013" si="151">IF(G1004&lt;&gt;0,1,"")</f>
        <v/>
      </c>
      <c r="B1004" s="2112" t="s">
        <v>6200</v>
      </c>
      <c r="C1004" s="2113">
        <f>IF(G1004&gt;0,1,0)</f>
        <v>0</v>
      </c>
      <c r="D1004" s="2114" t="s">
        <v>5585</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6172</v>
      </c>
    </row>
    <row r="1005" spans="1:18" s="2099" customFormat="1" ht="15" outlineLevel="1">
      <c r="A1005" s="2102" t="str">
        <f t="shared" si="151"/>
        <v/>
      </c>
      <c r="B1005" s="2112" t="str">
        <f>"FCO100-"&amp;$F$8</f>
        <v>FCO100-22</v>
      </c>
      <c r="C1005" s="2113">
        <f t="shared" ref="C1005:C1013" si="156">IF(G1005&gt;0,C1004+1,C1004)</f>
        <v>0</v>
      </c>
      <c r="D1005" s="2114" t="s">
        <v>5597</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30" outlineLevel="1">
      <c r="A1006" s="2176" t="str">
        <f>IF(G1006&lt;&gt;0,1,"")</f>
        <v/>
      </c>
      <c r="B1006" s="2351" t="str">
        <f>"FCO100-"&amp;$F$8</f>
        <v>FCO100-22</v>
      </c>
      <c r="C1006" s="2262">
        <f>IF(G1006&gt;0,C1005+1,C1005)</f>
        <v>0</v>
      </c>
      <c r="D1006" s="2146" t="s">
        <v>5597</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6201</v>
      </c>
      <c r="R1006" s="2099"/>
    </row>
    <row r="1007" spans="1:18" s="2099" customFormat="1" ht="15"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ht="15" outlineLevel="1">
      <c r="A1008" s="2102" t="str">
        <f t="shared" si="151"/>
        <v/>
      </c>
      <c r="B1008" s="2124" t="str">
        <f>IF($F$6=12,"LA12","LA18")</f>
        <v>LA18</v>
      </c>
      <c r="C1008" s="2113">
        <f t="shared" si="156"/>
        <v>0</v>
      </c>
      <c r="D1008" s="2114" t="s">
        <v>5601</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5" outlineLevel="1">
      <c r="A1009" s="2176" t="str">
        <f>IF(G1009&lt;&gt;0,1,"")</f>
        <v/>
      </c>
      <c r="B1009" s="2255" t="str">
        <f>IF($F$6=12,"LA12","LA18")</f>
        <v>LA18</v>
      </c>
      <c r="C1009" s="2262">
        <f>IF(G1009&gt;0,C1008+1,C1008)</f>
        <v>0</v>
      </c>
      <c r="D1009" s="2146" t="s">
        <v>5601</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6202</v>
      </c>
      <c r="R1009" s="2099"/>
    </row>
    <row r="1010" spans="1:18" s="2099" customFormat="1" ht="15" outlineLevel="1">
      <c r="A1010" s="2143" t="str">
        <f t="shared" si="151"/>
        <v/>
      </c>
      <c r="B1010" s="2267" t="s">
        <v>1459</v>
      </c>
      <c r="C1010" s="2113">
        <f>IF(G1010&gt;0,C1008+1,C1008)</f>
        <v>0</v>
      </c>
      <c r="D1010" s="2114">
        <v>0</v>
      </c>
      <c r="E1010" s="2115" t="s">
        <v>5686</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ht="15"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ht="15" outlineLevel="1">
      <c r="A1012" s="2102" t="str">
        <f t="shared" si="151"/>
        <v/>
      </c>
      <c r="B1012" s="2153" t="s">
        <v>6203</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ht="15"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ht="15" outlineLevel="1">
      <c r="A1014" s="2102" t="str">
        <f>A1004</f>
        <v/>
      </c>
      <c r="B1014" s="2124"/>
      <c r="C1014" s="2302"/>
      <c r="D1014" s="2303"/>
      <c r="E1014" s="2304"/>
      <c r="F1014" s="2302"/>
      <c r="G1014" s="2362"/>
      <c r="H1014" s="2302"/>
      <c r="I1014" s="2302"/>
      <c r="J1014" s="2111" t="s">
        <v>6120</v>
      </c>
      <c r="K1014" s="2302"/>
      <c r="L1014" s="2304">
        <f>SUM(L1004:L1013)</f>
        <v>0</v>
      </c>
      <c r="M1014" s="2304"/>
      <c r="N1014" s="2304">
        <f>SUM(N1004:N1013)</f>
        <v>0</v>
      </c>
      <c r="O1014" s="2304">
        <f>SUM(O1004:O1013)</f>
        <v>0</v>
      </c>
      <c r="P1014" s="2363"/>
    </row>
    <row r="1015" spans="1:18" s="2099" customFormat="1" ht="15"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ht="15"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6172</v>
      </c>
    </row>
    <row r="1017" spans="1:18" s="2099" customFormat="1" ht="15" outlineLevel="1">
      <c r="A1017" s="2102" t="str">
        <f>A1016</f>
        <v/>
      </c>
      <c r="B1017" s="2124"/>
      <c r="C1017" s="2139"/>
      <c r="D1017" s="2312"/>
      <c r="E1017" s="2313" t="s">
        <v>6132</v>
      </c>
      <c r="F1017" s="2113"/>
      <c r="G1017" s="2357"/>
      <c r="H1017" s="2315"/>
      <c r="I1017" s="2315"/>
      <c r="J1017" s="2315"/>
      <c r="K1017" s="2315"/>
      <c r="L1017" s="2315"/>
      <c r="M1017" s="2315"/>
      <c r="N1017" s="2315"/>
      <c r="O1017" s="2316"/>
      <c r="P1017" s="2367"/>
    </row>
    <row r="1018" spans="1:18" s="2099" customFormat="1" ht="15" outlineLevel="1">
      <c r="A1018" s="2102" t="str">
        <f>IF(G1018&lt;&gt;0,1,"")</f>
        <v/>
      </c>
      <c r="B1018" s="2127" t="s">
        <v>5721</v>
      </c>
      <c r="C1018" s="2139"/>
      <c r="D1018" s="2114" t="s">
        <v>691</v>
      </c>
      <c r="E1018" s="2115" t="s">
        <v>5722</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ht="15"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ht="15"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ht="15" outlineLevel="1">
      <c r="A1021" s="2102">
        <f>IF(G1021&lt;&gt;0,1,)</f>
        <v>0</v>
      </c>
      <c r="B1021" s="2124"/>
      <c r="C1021" s="2139">
        <f>IF(G1021&gt;0,C1016+1,C1016)</f>
        <v>0</v>
      </c>
      <c r="D1021" s="2140"/>
      <c r="E1021" s="2141" t="s">
        <v>6137</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5" outlineLevel="1">
      <c r="A1022" s="2102">
        <f>A1021</f>
        <v>0</v>
      </c>
      <c r="B1022" s="2124"/>
      <c r="C1022" s="2136"/>
      <c r="D1022" s="2140"/>
      <c r="E1022" s="2142" t="s">
        <v>6132</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ht="15"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ht="15"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ht="15"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ht="15"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5" outlineLevel="1">
      <c r="A1027" s="2102">
        <f>A1026</f>
        <v>0</v>
      </c>
      <c r="B1027" s="2124"/>
      <c r="C1027" s="2136"/>
      <c r="D1027" s="2140"/>
      <c r="E1027" s="2142" t="s">
        <v>6132</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ht="15" outlineLevel="1">
      <c r="A1028" s="2102">
        <f>IF(G1028&lt;&gt;0,1,)</f>
        <v>0</v>
      </c>
      <c r="B1028" s="2127" t="s">
        <v>636</v>
      </c>
      <c r="C1028" s="2121"/>
      <c r="D1028" s="2114" t="s">
        <v>5046</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ht="15" outlineLevel="1">
      <c r="A1029" s="2102">
        <f>IF(G1029&lt;&gt;0,1,)</f>
        <v>0</v>
      </c>
      <c r="B1029" s="2127" t="s">
        <v>566</v>
      </c>
      <c r="C1029" s="2121"/>
      <c r="D1029" s="2114">
        <v>0</v>
      </c>
      <c r="E1029" s="2115" t="s">
        <v>5071</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ht="15" outlineLevel="1">
      <c r="A1030" s="2102">
        <f>IF(G1030&lt;&gt;0,1,)</f>
        <v>0</v>
      </c>
      <c r="B1030" s="2127" t="s">
        <v>639</v>
      </c>
      <c r="C1030" s="2121"/>
      <c r="D1030" s="2114" t="s">
        <v>1747</v>
      </c>
      <c r="E1030" s="2115" t="s">
        <v>5323</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ht="15" outlineLevel="1">
      <c r="A1031" s="2102">
        <f>IF(G1031&lt;&gt;0,1,)</f>
        <v>0</v>
      </c>
      <c r="B1031" s="2127" t="s">
        <v>21</v>
      </c>
      <c r="C1031" s="2121"/>
      <c r="D1031" s="2114" t="s">
        <v>5324</v>
      </c>
      <c r="E1031" s="2115" t="s">
        <v>5325</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ht="15" outlineLevel="1">
      <c r="A1032" s="2102">
        <f>IF(G1032&lt;&gt;0,1,0)</f>
        <v>0</v>
      </c>
      <c r="B1032" s="2127" t="s">
        <v>6158</v>
      </c>
      <c r="C1032" s="2136">
        <f>IF(G1032&gt;0,C1026+1,C1026)</f>
        <v>0</v>
      </c>
      <c r="D1032" s="2196"/>
      <c r="E1032" s="2165" t="s">
        <v>6159</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6204</v>
      </c>
    </row>
    <row r="1033" spans="1:18" s="2099" customFormat="1" ht="15" outlineLevel="1">
      <c r="A1033" s="2102">
        <f>A1032</f>
        <v>0</v>
      </c>
      <c r="B1033" s="2124"/>
      <c r="C1033" s="2136"/>
      <c r="D1033" s="2196"/>
      <c r="E1033" s="2166" t="s">
        <v>6132</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ht="15" outlineLevel="1">
      <c r="A1034" s="2102">
        <f t="shared" ref="A1034:A1039" si="161">IF(G1034&lt;&gt;0,1,0)</f>
        <v>0</v>
      </c>
      <c r="B1034" s="2127" t="s">
        <v>5150</v>
      </c>
      <c r="C1034" s="2136"/>
      <c r="D1034" s="2114">
        <v>0</v>
      </c>
      <c r="E1034" s="2115" t="s">
        <v>5151</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ht="15" outlineLevel="1">
      <c r="A1035" s="2102">
        <f t="shared" si="161"/>
        <v>0</v>
      </c>
      <c r="B1035" s="2127" t="s">
        <v>5157</v>
      </c>
      <c r="C1035" s="2136"/>
      <c r="D1035" s="2114">
        <v>0</v>
      </c>
      <c r="E1035" s="2115" t="s">
        <v>5158</v>
      </c>
      <c r="F1035" s="2114" t="s">
        <v>5159</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ht="15" outlineLevel="1">
      <c r="A1036" s="2102">
        <f t="shared" si="161"/>
        <v>0</v>
      </c>
      <c r="B1036" s="2124" t="s">
        <v>488</v>
      </c>
      <c r="C1036" s="2136"/>
      <c r="D1036" s="2114">
        <v>0</v>
      </c>
      <c r="E1036" s="2115" t="s">
        <v>5077</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ht="15"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ht="15"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ht="15"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ht="15" outlineLevel="1">
      <c r="A1040" s="2102">
        <f>IF(G1040&lt;&gt;0,1,0)</f>
        <v>0</v>
      </c>
      <c r="B1040" s="2124" t="s">
        <v>420</v>
      </c>
      <c r="C1040" s="2136"/>
      <c r="D1040" s="2114" t="s">
        <v>5420</v>
      </c>
      <c r="E1040" s="2115" t="s">
        <v>5421</v>
      </c>
      <c r="F1040" s="2114" t="s">
        <v>2439</v>
      </c>
      <c r="G1040" s="2369">
        <f>G1032*0</f>
        <v>0</v>
      </c>
      <c r="H1040" s="2117">
        <v>0</v>
      </c>
      <c r="I1040" s="2122"/>
      <c r="J1040" s="2117" t="s">
        <v>6325</v>
      </c>
      <c r="K1040" s="2117">
        <v>0</v>
      </c>
      <c r="L1040" s="2123">
        <f t="shared" si="157"/>
        <v>0</v>
      </c>
      <c r="M1040" s="2123">
        <f>I1040*G1040</f>
        <v>0</v>
      </c>
      <c r="N1040" s="2117">
        <v>0</v>
      </c>
      <c r="O1040" s="2122">
        <f t="shared" si="160"/>
        <v>0</v>
      </c>
      <c r="P1040" s="2367"/>
    </row>
    <row r="1041" spans="1:16" s="2099" customFormat="1" ht="15"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6204</v>
      </c>
    </row>
    <row r="1042" spans="1:16" s="2099" customFormat="1" ht="15" outlineLevel="1">
      <c r="A1042" s="2102">
        <f>A1041</f>
        <v>0</v>
      </c>
      <c r="B1042" s="2124"/>
      <c r="C1042" s="2139"/>
      <c r="D1042" s="2312"/>
      <c r="E1042" s="2313" t="s">
        <v>6132</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ht="15"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6205</v>
      </c>
    </row>
    <row r="1044" spans="1:16" s="2099" customFormat="1" ht="15" outlineLevel="1">
      <c r="A1044" s="2102" t="str">
        <f t="shared" si="163"/>
        <v/>
      </c>
      <c r="B1044" s="2127" t="s">
        <v>1508</v>
      </c>
      <c r="C1044" s="2113"/>
      <c r="D1044" s="2114">
        <v>0</v>
      </c>
      <c r="E1044" s="2115" t="s">
        <v>5162</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ht="15" outlineLevel="1">
      <c r="A1045" s="2102" t="str">
        <f t="shared" si="163"/>
        <v/>
      </c>
      <c r="B1045" s="2127" t="s">
        <v>6206</v>
      </c>
      <c r="C1045" s="2113"/>
      <c r="D1045" s="2114">
        <v>0</v>
      </c>
      <c r="E1045" s="2115" t="s">
        <v>5712</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ht="15"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ht="15"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6205</v>
      </c>
    </row>
    <row r="1048" spans="1:16" s="2099" customFormat="1" ht="15" outlineLevel="1">
      <c r="A1048" s="2102" t="str">
        <f t="shared" si="163"/>
        <v/>
      </c>
      <c r="B1048" s="2124" t="s">
        <v>6207</v>
      </c>
      <c r="C1048" s="2113"/>
      <c r="D1048" s="2114" t="s">
        <v>5724</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6205</v>
      </c>
    </row>
    <row r="1049" spans="1:16" s="2099" customFormat="1" ht="15"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6205</v>
      </c>
    </row>
    <row r="1050" spans="1:16" s="2099" customFormat="1" ht="15" outlineLevel="1">
      <c r="A1050" s="2102" t="str">
        <f t="shared" si="163"/>
        <v/>
      </c>
      <c r="B1050" s="2127" t="s">
        <v>525</v>
      </c>
      <c r="C1050" s="2113"/>
      <c r="D1050" s="2114">
        <v>0</v>
      </c>
      <c r="E1050" s="2115" t="s">
        <v>5251</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ht="15" outlineLevel="1">
      <c r="A1051" s="2102" t="str">
        <f t="shared" si="163"/>
        <v/>
      </c>
      <c r="B1051" s="2127" t="s">
        <v>794</v>
      </c>
      <c r="C1051" s="2113"/>
      <c r="D1051" s="2114" t="s">
        <v>5335</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ht="15" outlineLevel="1">
      <c r="A1052" s="2102" t="str">
        <f t="shared" si="163"/>
        <v/>
      </c>
      <c r="B1052" s="2127" t="s">
        <v>798</v>
      </c>
      <c r="C1052" s="2113"/>
      <c r="D1052" s="2114" t="s">
        <v>5324</v>
      </c>
      <c r="E1052" s="2115" t="s">
        <v>5336</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ht="15" outlineLevel="1">
      <c r="A1053" s="2102" t="str">
        <f t="shared" si="163"/>
        <v/>
      </c>
      <c r="B1053" s="2127" t="s">
        <v>902</v>
      </c>
      <c r="C1053" s="2113"/>
      <c r="D1053" s="2114" t="s">
        <v>5350</v>
      </c>
      <c r="E1053" s="2115" t="s">
        <v>5351</v>
      </c>
      <c r="F1053" s="2114" t="s">
        <v>2278</v>
      </c>
      <c r="G1053" s="2249">
        <f>G1044</f>
        <v>0</v>
      </c>
      <c r="H1053" s="2117">
        <v>0</v>
      </c>
      <c r="I1053" s="2117"/>
      <c r="J1053" s="2123" t="s">
        <v>6311</v>
      </c>
      <c r="K1053" s="2123">
        <v>0</v>
      </c>
      <c r="L1053" s="2123">
        <f>H1053*$G1053</f>
        <v>0</v>
      </c>
      <c r="M1053" s="2123">
        <f>I1053*$G1053</f>
        <v>0</v>
      </c>
      <c r="N1053" s="2123">
        <v>0</v>
      </c>
      <c r="O1053" s="2299">
        <f t="shared" si="160"/>
        <v>0</v>
      </c>
      <c r="P1053" s="2149"/>
    </row>
    <row r="1054" spans="1:16" s="2099" customFormat="1" ht="15" outlineLevel="1">
      <c r="A1054" s="2102" t="str">
        <f t="shared" si="163"/>
        <v/>
      </c>
      <c r="B1054" s="2127" t="s">
        <v>1437</v>
      </c>
      <c r="C1054" s="2113"/>
      <c r="D1054" s="2114" t="s">
        <v>5345</v>
      </c>
      <c r="E1054" s="2115" t="s">
        <v>5346</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ht="15" outlineLevel="1">
      <c r="A1055" s="2320">
        <f>+IF(G1055&gt;0,1,0)</f>
        <v>0</v>
      </c>
      <c r="B1055" s="2255"/>
      <c r="C1055" s="2252">
        <f>IF(G1055&gt;0,C1049+4,C1049)</f>
        <v>0</v>
      </c>
      <c r="D1055" s="2253"/>
      <c r="E1055" s="2370" t="s">
        <v>6208</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6204</v>
      </c>
    </row>
    <row r="1056" spans="1:16" s="2099" customFormat="1" ht="15" outlineLevel="1">
      <c r="A1056" s="2102">
        <f>A1055</f>
        <v>0</v>
      </c>
      <c r="B1056" s="2255"/>
      <c r="C1056" s="2252"/>
      <c r="D1056" s="2253"/>
      <c r="E1056" s="2261" t="s">
        <v>6132</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ht="15" outlineLevel="1">
      <c r="A1057" s="2102" t="str">
        <f>IF(G1057&lt;&gt;0,1,"")</f>
        <v/>
      </c>
      <c r="B1057" s="2115" t="s">
        <v>5656</v>
      </c>
      <c r="C1057" s="2262"/>
      <c r="D1057" s="2146" t="s">
        <v>5632</v>
      </c>
      <c r="E1057" s="2188" t="s">
        <v>5657</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ht="15" outlineLevel="1">
      <c r="A1058" s="2102" t="str">
        <f>IF(G1058&lt;&gt;0,1,"")</f>
        <v/>
      </c>
      <c r="B1058" s="2255" t="s">
        <v>880</v>
      </c>
      <c r="C1058" s="2252"/>
      <c r="D1058" s="2146">
        <v>0</v>
      </c>
      <c r="E1058" s="2188" t="s">
        <v>5798</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ht="15" outlineLevel="1">
      <c r="A1059" s="2102" t="str">
        <f>IF(G1059&lt;&gt;0,1,"")</f>
        <v/>
      </c>
      <c r="B1059" s="2255" t="s">
        <v>289</v>
      </c>
      <c r="C1059" s="2252"/>
      <c r="D1059" s="2146">
        <v>0</v>
      </c>
      <c r="E1059" s="2188" t="s">
        <v>5711</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ht="15"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ht="15" outlineLevel="1">
      <c r="A1061" s="2102" t="str">
        <f t="shared" si="168"/>
        <v/>
      </c>
      <c r="B1061" s="2255"/>
      <c r="C1061" s="2252">
        <f>IF(G1061&gt;0,C1054+1,C1054)</f>
        <v>0</v>
      </c>
      <c r="D1061" s="2253"/>
      <c r="E1061" s="2370" t="s">
        <v>6209</v>
      </c>
      <c r="F1061" s="2252" t="s">
        <v>2385</v>
      </c>
      <c r="G1061" s="2373">
        <f>G1004/3*0</f>
        <v>0</v>
      </c>
      <c r="H1061" s="2117"/>
      <c r="I1061" s="2122"/>
      <c r="J1061" s="2117"/>
      <c r="K1061" s="2117"/>
      <c r="L1061" s="2298"/>
      <c r="M1061" s="2298"/>
      <c r="N1061" s="2298"/>
      <c r="O1061" s="2299"/>
      <c r="P1061" s="2149"/>
    </row>
    <row r="1062" spans="1:18" s="2099" customFormat="1" ht="15" outlineLevel="1">
      <c r="A1062" s="2102" t="str">
        <f t="shared" si="168"/>
        <v/>
      </c>
      <c r="B1062" s="2255"/>
      <c r="C1062" s="2252"/>
      <c r="D1062" s="2253"/>
      <c r="E1062" s="2261" t="s">
        <v>6132</v>
      </c>
      <c r="F1062" s="2262"/>
      <c r="G1062" s="2372"/>
      <c r="H1062" s="2117"/>
      <c r="I1062" s="2122"/>
      <c r="J1062" s="2117"/>
      <c r="K1062" s="2117"/>
      <c r="L1062" s="2298"/>
      <c r="M1062" s="2298"/>
      <c r="N1062" s="2298"/>
      <c r="O1062" s="2299"/>
      <c r="P1062" s="2149"/>
    </row>
    <row r="1063" spans="1:18" s="2099" customFormat="1" ht="15" outlineLevel="1">
      <c r="A1063" s="2102" t="str">
        <f t="shared" si="168"/>
        <v/>
      </c>
      <c r="B1063" s="2115" t="s">
        <v>838</v>
      </c>
      <c r="C1063" s="2262"/>
      <c r="D1063" s="2146" t="s">
        <v>5654</v>
      </c>
      <c r="E1063" s="2188" t="s">
        <v>5658</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ht="15" outlineLevel="1">
      <c r="A1064" s="2102" t="str">
        <f t="shared" si="168"/>
        <v/>
      </c>
      <c r="B1064" s="2255" t="s">
        <v>880</v>
      </c>
      <c r="C1064" s="2252"/>
      <c r="D1064" s="2146">
        <v>0</v>
      </c>
      <c r="E1064" s="2188" t="s">
        <v>5798</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ht="15" outlineLevel="1">
      <c r="A1065" s="2102" t="str">
        <f t="shared" si="168"/>
        <v/>
      </c>
      <c r="B1065" s="2255" t="s">
        <v>289</v>
      </c>
      <c r="C1065" s="2252"/>
      <c r="D1065" s="2146">
        <v>0</v>
      </c>
      <c r="E1065" s="2188" t="s">
        <v>5711</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ht="15"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ht="15" outlineLevel="1">
      <c r="A1067" s="2320">
        <f>+IF(G1067&gt;0,1,0)</f>
        <v>0</v>
      </c>
      <c r="B1067" s="2124"/>
      <c r="C1067" s="2139">
        <f>IF(G1067&gt;0,C1055+1,C1055)</f>
        <v>0</v>
      </c>
      <c r="D1067" s="2312"/>
      <c r="E1067" s="2333" t="s">
        <v>6164</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5" outlineLevel="1">
      <c r="A1068" s="2102">
        <f>A1067</f>
        <v>0</v>
      </c>
      <c r="B1068" s="2124"/>
      <c r="C1068" s="2139"/>
      <c r="D1068" s="2312"/>
      <c r="E1068" s="2313" t="s">
        <v>6132</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5" outlineLevel="1">
      <c r="A1069" s="2176" t="str">
        <f>IF(G1069&lt;&gt;0,1,"")</f>
        <v/>
      </c>
      <c r="B1069" s="2246" t="s">
        <v>697</v>
      </c>
      <c r="C1069" s="2262"/>
      <c r="D1069" s="2146">
        <v>0</v>
      </c>
      <c r="E1069" s="2188" t="s">
        <v>5086</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6210</v>
      </c>
      <c r="R1069" s="2099"/>
    </row>
    <row r="1070" spans="1:18" s="2099" customFormat="1" ht="15"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30"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6211</v>
      </c>
      <c r="R1071" s="2099"/>
    </row>
    <row r="1072" spans="1:18" s="2099" customFormat="1" ht="15" outlineLevel="1">
      <c r="A1072" s="2102" t="str">
        <f>IF(G1072&lt;&gt;0,1,"")</f>
        <v/>
      </c>
      <c r="B1072" s="2112" t="s">
        <v>1477</v>
      </c>
      <c r="C1072" s="2113"/>
      <c r="D1072" s="2114">
        <v>0</v>
      </c>
      <c r="E1072" s="2115" t="s">
        <v>4334</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ht="15" outlineLevel="1">
      <c r="A1073" s="2102">
        <f>IF(G1073&lt;&gt;0,1,0)</f>
        <v>0</v>
      </c>
      <c r="B1073" s="2112" t="s">
        <v>5698</v>
      </c>
      <c r="C1073" s="2121"/>
      <c r="D1073" s="2114">
        <v>0</v>
      </c>
      <c r="E1073" s="2115" t="s">
        <v>5699</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ht="15" outlineLevel="1">
      <c r="A1074" s="2102">
        <f>IF(G1074&lt;&gt;0,1,0)</f>
        <v>0</v>
      </c>
      <c r="B1074" s="2112" t="s">
        <v>5704</v>
      </c>
      <c r="C1074" s="2121"/>
      <c r="D1074" s="2114">
        <v>0</v>
      </c>
      <c r="E1074" s="2115" t="s">
        <v>5705</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ht="15" outlineLevel="1">
      <c r="A1075" s="2102" t="str">
        <f>IF(G1075&lt;&gt;0,1,"")</f>
        <v/>
      </c>
      <c r="B1075" s="2112" t="s">
        <v>5696</v>
      </c>
      <c r="C1075" s="2121"/>
      <c r="D1075" s="2114"/>
      <c r="E1075" s="2115" t="s">
        <v>5697</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ht="15" outlineLevel="1">
      <c r="A1076" s="2102">
        <f>IF(G1076&lt;&gt;0,1,0)</f>
        <v>0</v>
      </c>
      <c r="B1076" s="2112" t="s">
        <v>5706</v>
      </c>
      <c r="C1076" s="2121"/>
      <c r="D1076" s="2114">
        <v>0</v>
      </c>
      <c r="E1076" s="2115" t="s">
        <v>5707</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ht="15" outlineLevel="1">
      <c r="A1077" s="2102" t="str">
        <f>IF(G1077&lt;&gt;0,1,"")</f>
        <v/>
      </c>
      <c r="B1077" s="2112" t="s">
        <v>1525</v>
      </c>
      <c r="C1077" s="2113"/>
      <c r="D1077" s="2114" t="s">
        <v>5570</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ht="15" outlineLevel="1">
      <c r="A1078" s="2102" t="str">
        <f>A1072</f>
        <v/>
      </c>
      <c r="B1078" s="2124"/>
      <c r="C1078" s="2139">
        <f>IF(G1078&gt;0,C1067+1,C1067)</f>
        <v>0</v>
      </c>
      <c r="D1078" s="2312"/>
      <c r="E1078" s="2334" t="s">
        <v>6212</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5" outlineLevel="1">
      <c r="A1079" s="2102" t="str">
        <f>A1078</f>
        <v/>
      </c>
      <c r="B1079" s="2124"/>
      <c r="C1079" s="2139"/>
      <c r="D1079" s="2312"/>
      <c r="E1079" s="2335" t="s">
        <v>6132</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ht="15"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ht="15" outlineLevel="1">
      <c r="A1081" s="2102" t="str">
        <f t="shared" si="173"/>
        <v/>
      </c>
      <c r="B1081" s="2124" t="s">
        <v>6157</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ht="15"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ht="15" outlineLevel="1">
      <c r="A1083" s="2102" t="str">
        <f t="shared" si="173"/>
        <v/>
      </c>
      <c r="B1083" s="2124" t="s">
        <v>449</v>
      </c>
      <c r="C1083" s="2113"/>
      <c r="D1083" s="2114" t="s">
        <v>5731</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ht="15" outlineLevel="1">
      <c r="A1084" s="2102" t="str">
        <f t="shared" si="173"/>
        <v/>
      </c>
      <c r="B1084" s="2124" t="s">
        <v>6213</v>
      </c>
      <c r="C1084" s="2113"/>
      <c r="D1084" s="2114" t="s">
        <v>5728</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ht="15" outlineLevel="1">
      <c r="A1085" s="2102" t="str">
        <f t="shared" si="173"/>
        <v/>
      </c>
      <c r="B1085" s="2124" t="s">
        <v>6214</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ht="15" outlineLevel="1">
      <c r="A1086" s="2102" t="str">
        <f t="shared" si="173"/>
        <v/>
      </c>
      <c r="B1086" s="2124" t="s">
        <v>6198</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ht="15"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ht="15" outlineLevel="1">
      <c r="A1088" s="2102" t="str">
        <f t="shared" si="173"/>
        <v/>
      </c>
      <c r="B1088" s="2127" t="s">
        <v>1862</v>
      </c>
      <c r="C1088" s="2113"/>
      <c r="D1088" s="2114">
        <v>0</v>
      </c>
      <c r="E1088" s="2115" t="s">
        <v>5257</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ht="15"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ht="15"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ht="15"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ht="15"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ht="15" outlineLevel="1">
      <c r="A1093" s="2102" t="str">
        <f>IF(G1093&lt;&gt;0,1,"")</f>
        <v/>
      </c>
      <c r="B1093" s="2124" t="s">
        <v>489</v>
      </c>
      <c r="C1093" s="2113"/>
      <c r="D1093" s="2114">
        <v>0</v>
      </c>
      <c r="E1093" s="2115" t="s">
        <v>3567</v>
      </c>
      <c r="F1093" s="2114" t="s">
        <v>5805</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ht="15" outlineLevel="1">
      <c r="A1094" s="2102" t="str">
        <f>IF(G1094&lt;&gt;0,1,"")</f>
        <v/>
      </c>
      <c r="B1094" s="2127" t="s">
        <v>672</v>
      </c>
      <c r="C1094" s="2113"/>
      <c r="D1094" s="2114">
        <v>0</v>
      </c>
      <c r="E1094" s="2115" t="s">
        <v>5800</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ht="15" outlineLevel="1">
      <c r="A1095" s="2102" t="str">
        <f>A1094</f>
        <v/>
      </c>
      <c r="B1095" s="2124" t="s">
        <v>1863</v>
      </c>
      <c r="C1095" s="2121"/>
      <c r="D1095" s="2114" t="s">
        <v>5547</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ht="15" outlineLevel="1">
      <c r="A1096" s="2102" t="str">
        <f>A1094</f>
        <v/>
      </c>
      <c r="B1096" s="2127" t="s">
        <v>247</v>
      </c>
      <c r="C1096" s="2121"/>
      <c r="D1096" s="2114" t="s">
        <v>5572</v>
      </c>
      <c r="E1096" s="2115" t="s">
        <v>5573</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ht="15" outlineLevel="1">
      <c r="A1097" s="2102" t="str">
        <f>IF(G1097&lt;&gt;0,1,"")</f>
        <v/>
      </c>
      <c r="B1097" s="2124" t="s">
        <v>289</v>
      </c>
      <c r="C1097" s="2336">
        <f>IF(G1097&gt;0,C1078+1,C1078)</f>
        <v>0</v>
      </c>
      <c r="D1097" s="2337"/>
      <c r="E1097" s="2115" t="s">
        <v>5711</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ht="15" outlineLevel="1">
      <c r="A1098" s="2102" t="str">
        <f>A1097</f>
        <v/>
      </c>
      <c r="B1098" s="2124"/>
      <c r="C1098" s="2340"/>
      <c r="D1098" s="2341"/>
      <c r="E1098" s="2307"/>
      <c r="F1098" s="2625"/>
      <c r="G1098" s="2625"/>
      <c r="H1098" s="2625"/>
      <c r="I1098" s="2625"/>
      <c r="J1098" s="2650" t="s">
        <v>6130</v>
      </c>
      <c r="K1098" s="2650"/>
      <c r="L1098" s="2342">
        <f>SUM(L1018:L1097)</f>
        <v>0</v>
      </c>
      <c r="M1098" s="2342"/>
      <c r="N1098" s="2342">
        <f>SUM(N1018:N1097)</f>
        <v>0</v>
      </c>
      <c r="O1098" s="2342">
        <f>SUM(O1018:O1097)</f>
        <v>0</v>
      </c>
      <c r="P1098" s="2378"/>
    </row>
    <row r="1099" spans="1:19" s="2099" customFormat="1" ht="15"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ht="15"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ht="15" outlineLevel="1">
      <c r="A1102" s="2176" t="str">
        <f>+A1105</f>
        <v/>
      </c>
      <c r="B1102" s="2255" t="s">
        <v>6111</v>
      </c>
      <c r="C1102" s="2642" t="s">
        <v>1708</v>
      </c>
      <c r="D1102" s="2643" t="s">
        <v>2597</v>
      </c>
      <c r="E1102" s="2645" t="s">
        <v>2598</v>
      </c>
      <c r="F1102" s="2642" t="s">
        <v>2593</v>
      </c>
      <c r="G1102" s="2103" t="s">
        <v>6112</v>
      </c>
      <c r="H1102" s="2106" t="s">
        <v>6113</v>
      </c>
      <c r="I1102" s="2613"/>
      <c r="J1102" s="2613"/>
      <c r="K1102" s="2614"/>
      <c r="L1102" s="2106" t="s">
        <v>6114</v>
      </c>
      <c r="M1102" s="2613"/>
      <c r="N1102" s="2613"/>
      <c r="O1102" s="2614"/>
      <c r="P1102" s="2642" t="s">
        <v>2599</v>
      </c>
      <c r="Q1102" s="2260"/>
      <c r="R1102" s="2260"/>
      <c r="S1102" s="2260"/>
    </row>
    <row r="1103" spans="1:19" s="2099" customFormat="1" ht="15" outlineLevel="1">
      <c r="A1103" s="2176" t="str">
        <f>+A1105</f>
        <v/>
      </c>
      <c r="B1103" s="2255"/>
      <c r="C1103" s="2642"/>
      <c r="D1103" s="2644"/>
      <c r="E1103" s="2646"/>
      <c r="F1103" s="2642"/>
      <c r="G1103" s="2105" t="s">
        <v>2286</v>
      </c>
      <c r="H1103" s="2106" t="s">
        <v>6115</v>
      </c>
      <c r="I1103" s="2106" t="s">
        <v>6116</v>
      </c>
      <c r="J1103" s="2106" t="s">
        <v>6117</v>
      </c>
      <c r="K1103" s="2106" t="s">
        <v>6118</v>
      </c>
      <c r="L1103" s="2106" t="s">
        <v>6115</v>
      </c>
      <c r="M1103" s="2106" t="s">
        <v>6116</v>
      </c>
      <c r="N1103" s="2106" t="s">
        <v>6117</v>
      </c>
      <c r="O1103" s="2106" t="s">
        <v>6118</v>
      </c>
      <c r="P1103" s="2642"/>
      <c r="Q1103" s="2260"/>
      <c r="R1103" s="2260"/>
      <c r="S1103" s="2260"/>
    </row>
    <row r="1104" spans="1:19" s="2099" customFormat="1" ht="15"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ht="15" outlineLevel="1">
      <c r="A1105" s="2176" t="str">
        <f t="shared" ref="A1105:A1112" si="175">IF(G1105&lt;&gt;0,1,"")</f>
        <v/>
      </c>
      <c r="B1105" s="2246" t="str">
        <f>IF($F$8=15,"tr180","tr1801")</f>
        <v>tr1801</v>
      </c>
      <c r="C1105" s="2262">
        <f>IF(G1105&gt;0,1,0)</f>
        <v>0</v>
      </c>
      <c r="D1105" s="2146" t="s">
        <v>5589</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ht="15" outlineLevel="1">
      <c r="A1106" s="2176" t="str">
        <f t="shared" si="175"/>
        <v/>
      </c>
      <c r="B1106" s="2112" t="str">
        <f>"FCO100-"&amp;$F$8</f>
        <v>FCO100-22</v>
      </c>
      <c r="C1106" s="2262">
        <f>IF(G1106&gt;0,C1105+1,C1105)</f>
        <v>0</v>
      </c>
      <c r="D1106" s="2146" t="s">
        <v>5597</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ht="15"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ht="15" outlineLevel="1">
      <c r="A1108" s="2176" t="str">
        <f t="shared" si="175"/>
        <v/>
      </c>
      <c r="B1108" s="2255" t="str">
        <f>"LA"&amp;$F$6</f>
        <v>LA18</v>
      </c>
      <c r="C1108" s="2262">
        <f t="shared" si="180"/>
        <v>0</v>
      </c>
      <c r="D1108" s="2146" t="s">
        <v>5601</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ht="15" outlineLevel="1">
      <c r="A1109" s="2176" t="str">
        <f t="shared" si="175"/>
        <v/>
      </c>
      <c r="B1109" s="2351" t="s">
        <v>6215</v>
      </c>
      <c r="C1109" s="2262">
        <f t="shared" si="180"/>
        <v>0</v>
      </c>
      <c r="D1109" s="2146">
        <v>0</v>
      </c>
      <c r="E1109" s="2188" t="s">
        <v>5683</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ht="15"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ht="15"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ht="15"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ht="15" outlineLevel="1">
      <c r="A1113" s="2176">
        <f>+IF(L1113+N1113+O1113&gt;0,1,0)</f>
        <v>0</v>
      </c>
      <c r="B1113" s="2255"/>
      <c r="C1113" s="2387"/>
      <c r="D1113" s="2388"/>
      <c r="E1113" s="2389"/>
      <c r="F1113" s="2387"/>
      <c r="G1113" s="2630"/>
      <c r="H1113" s="2387"/>
      <c r="I1113" s="2387"/>
      <c r="J1113" s="2111" t="s">
        <v>6120</v>
      </c>
      <c r="K1113" s="2387"/>
      <c r="L1113" s="2389">
        <f>SUM(L1105:L1112)</f>
        <v>0</v>
      </c>
      <c r="M1113" s="2389">
        <f>SUM(M1105:M1112)</f>
        <v>0</v>
      </c>
      <c r="N1113" s="2389">
        <f>SUM(N1105:N1112)</f>
        <v>0</v>
      </c>
      <c r="O1113" s="2389">
        <f>SUM(O1105:O1112)</f>
        <v>0</v>
      </c>
      <c r="P1113" s="2390"/>
      <c r="Q1113" s="2260"/>
      <c r="R1113" s="2260"/>
      <c r="S1113" s="2260"/>
    </row>
    <row r="1114" spans="1:19" s="2099" customFormat="1" ht="15"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ht="15" outlineLevel="1">
      <c r="A1115" s="2176" t="str">
        <f t="shared" ref="A1115:A1133" si="181">IF(G1115&lt;&gt;0,1,"")</f>
        <v/>
      </c>
      <c r="B1115" s="2395"/>
      <c r="C1115" s="2396">
        <f>IF(G1115&gt;0,1,0)</f>
        <v>0</v>
      </c>
      <c r="D1115" s="2146"/>
      <c r="E1115" s="2397" t="s">
        <v>6121</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ht="15"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ht="15"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ht="15"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ht="15" outlineLevel="1">
      <c r="A1119" s="2176" t="str">
        <f t="shared" si="181"/>
        <v/>
      </c>
      <c r="B1119" s="2395"/>
      <c r="C1119" s="2396">
        <f>IF(G1119&gt;0,1,0)</f>
        <v>0</v>
      </c>
      <c r="D1119" s="2146"/>
      <c r="E1119" s="2397" t="s">
        <v>6216</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ht="15"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ht="15"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ht="15"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ht="15"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ht="15" outlineLevel="1">
      <c r="A1124" s="2176" t="str">
        <f t="shared" si="181"/>
        <v/>
      </c>
      <c r="B1124" s="2351" t="s">
        <v>636</v>
      </c>
      <c r="C1124" s="2401"/>
      <c r="D1124" s="2146" t="s">
        <v>5046</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ht="15" outlineLevel="1">
      <c r="A1125" s="2176" t="str">
        <f t="shared" si="181"/>
        <v/>
      </c>
      <c r="B1125" s="2351" t="s">
        <v>566</v>
      </c>
      <c r="C1125" s="2401"/>
      <c r="D1125" s="2146"/>
      <c r="E1125" s="2402" t="s">
        <v>5071</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ht="15" outlineLevel="1">
      <c r="A1126" s="2176" t="str">
        <f t="shared" si="181"/>
        <v/>
      </c>
      <c r="B1126" s="2351" t="s">
        <v>639</v>
      </c>
      <c r="C1126" s="2401"/>
      <c r="D1126" s="2146" t="s">
        <v>1747</v>
      </c>
      <c r="E1126" s="2402" t="s">
        <v>5323</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ht="15" outlineLevel="1">
      <c r="A1127" s="2176" t="str">
        <f t="shared" si="181"/>
        <v/>
      </c>
      <c r="B1127" s="2351" t="s">
        <v>21</v>
      </c>
      <c r="C1127" s="2401"/>
      <c r="D1127" s="2146" t="s">
        <v>5324</v>
      </c>
      <c r="E1127" s="2402" t="s">
        <v>5325</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ht="15"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ht="15" outlineLevel="1">
      <c r="A1129" s="2176" t="str">
        <f t="shared" si="181"/>
        <v/>
      </c>
      <c r="B1129" s="2351" t="s">
        <v>636</v>
      </c>
      <c r="C1129" s="2401"/>
      <c r="D1129" s="2146" t="s">
        <v>5046</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ht="15" outlineLevel="1">
      <c r="A1130" s="2176" t="str">
        <f t="shared" si="181"/>
        <v/>
      </c>
      <c r="B1130" s="2351" t="s">
        <v>566</v>
      </c>
      <c r="C1130" s="2401"/>
      <c r="D1130" s="2146"/>
      <c r="E1130" s="2402" t="s">
        <v>5071</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ht="15" outlineLevel="1">
      <c r="A1131" s="2176" t="str">
        <f t="shared" si="181"/>
        <v/>
      </c>
      <c r="B1131" s="2351" t="s">
        <v>639</v>
      </c>
      <c r="C1131" s="2401"/>
      <c r="D1131" s="2146" t="s">
        <v>1747</v>
      </c>
      <c r="E1131" s="2402" t="s">
        <v>5323</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ht="15" outlineLevel="1">
      <c r="A1132" s="2176" t="str">
        <f t="shared" si="181"/>
        <v/>
      </c>
      <c r="B1132" s="2351" t="s">
        <v>21</v>
      </c>
      <c r="C1132" s="2401"/>
      <c r="D1132" s="2146" t="s">
        <v>5324</v>
      </c>
      <c r="E1132" s="2402" t="s">
        <v>5325</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ht="15"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5" outlineLevel="1">
      <c r="A1134" s="2176" t="str">
        <f>A1133</f>
        <v/>
      </c>
      <c r="B1134" s="2255"/>
      <c r="C1134" s="2252"/>
      <c r="D1134" s="2408"/>
      <c r="E1134" s="2261" t="s">
        <v>6132</v>
      </c>
      <c r="F1134" s="2262"/>
      <c r="G1134" s="2263"/>
      <c r="H1134" s="2409"/>
      <c r="I1134" s="2409"/>
      <c r="J1134" s="2409"/>
      <c r="K1134" s="2409"/>
      <c r="L1134" s="2409"/>
      <c r="M1134" s="2409"/>
      <c r="N1134" s="2409"/>
      <c r="O1134" s="2409"/>
      <c r="P1134" s="2259"/>
      <c r="Q1134" s="2260"/>
      <c r="R1134" s="2260"/>
      <c r="S1134" s="2260"/>
    </row>
    <row r="1135" spans="1:19" s="2099" customFormat="1" ht="15" outlineLevel="1">
      <c r="A1135" s="2176" t="str">
        <f t="shared" ref="A1135:A1140" si="182">IF(G1135&lt;&gt;0,1,"")</f>
        <v/>
      </c>
      <c r="B1135" s="2246" t="s">
        <v>1136</v>
      </c>
      <c r="C1135" s="2252"/>
      <c r="D1135" s="2146">
        <v>0</v>
      </c>
      <c r="E1135" s="2188" t="s">
        <v>6337</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ht="15" outlineLevel="1">
      <c r="A1136" s="2176" t="str">
        <f t="shared" si="182"/>
        <v/>
      </c>
      <c r="B1136" s="2246" t="s">
        <v>1137</v>
      </c>
      <c r="C1136" s="2252"/>
      <c r="D1136" s="2146">
        <v>0</v>
      </c>
      <c r="E1136" s="2188" t="s">
        <v>6338</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ht="15" outlineLevel="1">
      <c r="A1137" s="2176" t="str">
        <f t="shared" si="182"/>
        <v/>
      </c>
      <c r="B1137" s="2246" t="s">
        <v>1138</v>
      </c>
      <c r="C1137" s="2252"/>
      <c r="D1137" s="2146">
        <v>0</v>
      </c>
      <c r="E1137" s="2188" t="s">
        <v>6339</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ht="15"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ht="15"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ht="15"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ht="15" outlineLevel="1">
      <c r="A1141" s="2176" t="str">
        <f>IF(G1141&lt;&gt;0,1,"")</f>
        <v/>
      </c>
      <c r="B1141" s="2246" t="s">
        <v>2242</v>
      </c>
      <c r="C1141" s="2252"/>
      <c r="D1141" s="2146" t="s">
        <v>5443</v>
      </c>
      <c r="E1141" s="2188" t="s">
        <v>6340</v>
      </c>
      <c r="F1141" s="2146" t="s">
        <v>2439</v>
      </c>
      <c r="G1141" s="2263">
        <f>+G1133*1</f>
        <v>0</v>
      </c>
      <c r="H1141" s="2353">
        <v>0</v>
      </c>
      <c r="I1141" s="2410"/>
      <c r="J1141" s="2353" t="s">
        <v>6341</v>
      </c>
      <c r="K1141" s="2353">
        <v>0</v>
      </c>
      <c r="L1141" s="2354">
        <f>H1141*G1141</f>
        <v>0</v>
      </c>
      <c r="M1141" s="2354">
        <f t="shared" si="184"/>
        <v>0</v>
      </c>
      <c r="N1141" s="2353">
        <v>0</v>
      </c>
      <c r="O1141" s="2354">
        <f t="shared" si="185"/>
        <v>0</v>
      </c>
      <c r="P1141" s="2259"/>
      <c r="Q1141" s="2260"/>
      <c r="R1141" s="2260"/>
      <c r="S1141" s="2260"/>
    </row>
    <row r="1142" spans="1:19" s="2099" customFormat="1" ht="15" outlineLevel="1">
      <c r="A1142" s="2176" t="str">
        <f>IF(G1142&lt;&gt;0,1,"")</f>
        <v/>
      </c>
      <c r="B1142" s="2246" t="s">
        <v>6217</v>
      </c>
      <c r="C1142" s="2252"/>
      <c r="D1142" s="2146" t="s">
        <v>5377</v>
      </c>
      <c r="E1142" s="2188" t="s">
        <v>6342</v>
      </c>
      <c r="F1142" s="2146" t="s">
        <v>2439</v>
      </c>
      <c r="G1142" s="2263">
        <f>+G1133*(IF(G1136&gt;0,2,0)+IF(G1137&gt;0,1,0))</f>
        <v>0</v>
      </c>
      <c r="H1142" s="2353">
        <v>0</v>
      </c>
      <c r="I1142" s="2410"/>
      <c r="J1142" s="2353" t="s">
        <v>6343</v>
      </c>
      <c r="K1142" s="2353">
        <v>0</v>
      </c>
      <c r="L1142" s="2354">
        <f>H1142*G1142</f>
        <v>0</v>
      </c>
      <c r="M1142" s="2354">
        <f>I1142*G1142</f>
        <v>0</v>
      </c>
      <c r="N1142" s="2353">
        <v>0</v>
      </c>
      <c r="O1142" s="2354">
        <f>K1142*G1142</f>
        <v>0</v>
      </c>
      <c r="P1142" s="2259"/>
      <c r="Q1142" s="2260"/>
      <c r="R1142" s="2260"/>
      <c r="S1142" s="2260"/>
    </row>
    <row r="1143" spans="1:19" s="2099" customFormat="1" ht="15" outlineLevel="1">
      <c r="A1143" s="2176" t="str">
        <f>IF(G1143&lt;&gt;0,1,"")</f>
        <v/>
      </c>
      <c r="B1143" s="2255"/>
      <c r="C1143" s="2252">
        <f>IF(G1143&gt;0,C1128+1,C1128)</f>
        <v>0</v>
      </c>
      <c r="D1143" s="2253"/>
      <c r="E1143" s="2411" t="s">
        <v>6218</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5" outlineLevel="1">
      <c r="A1144" s="2176" t="str">
        <f>A1143</f>
        <v/>
      </c>
      <c r="B1144" s="2255"/>
      <c r="C1144" s="2252"/>
      <c r="D1144" s="2253"/>
      <c r="E1144" s="2261" t="s">
        <v>6132</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ht="15" outlineLevel="1">
      <c r="A1145" s="2176" t="str">
        <f>IF(G1145&lt;&gt;0,1,"")</f>
        <v/>
      </c>
      <c r="B1145" s="2127" t="s">
        <v>5154</v>
      </c>
      <c r="C1145" s="2252"/>
      <c r="D1145" s="2146">
        <v>0</v>
      </c>
      <c r="E1145" s="2188" t="s">
        <v>5155</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ht="15" outlineLevel="1">
      <c r="A1146" s="2176" t="str">
        <f>IF(G1146&lt;&gt;0,1,"")</f>
        <v/>
      </c>
      <c r="B1146" s="2124" t="s">
        <v>488</v>
      </c>
      <c r="C1146" s="2252"/>
      <c r="D1146" s="2146">
        <v>0</v>
      </c>
      <c r="E1146" s="2188" t="s">
        <v>5077</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ht="15"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ht="15" outlineLevel="1">
      <c r="A1148" s="2176" t="str">
        <f>IF(G1148&lt;&gt;0,1,"")</f>
        <v/>
      </c>
      <c r="B1148" s="2124" t="s">
        <v>2242</v>
      </c>
      <c r="C1148" s="2252"/>
      <c r="D1148" s="2146" t="s">
        <v>5443</v>
      </c>
      <c r="E1148" s="2188" t="s">
        <v>2440</v>
      </c>
      <c r="F1148" s="2146" t="s">
        <v>2439</v>
      </c>
      <c r="G1148" s="2263">
        <f>+G1143</f>
        <v>0</v>
      </c>
      <c r="H1148" s="2258">
        <v>0</v>
      </c>
      <c r="I1148" s="2353"/>
      <c r="J1148" s="2353" t="s">
        <v>6344</v>
      </c>
      <c r="K1148" s="2353"/>
      <c r="L1148" s="2354">
        <f t="shared" si="187"/>
        <v>0</v>
      </c>
      <c r="M1148" s="2354"/>
      <c r="N1148" s="2353">
        <v>0</v>
      </c>
      <c r="O1148" s="2354"/>
      <c r="P1148" s="2259"/>
      <c r="Q1148" s="2260"/>
      <c r="R1148" s="2260"/>
      <c r="S1148" s="2260"/>
    </row>
    <row r="1149" spans="1:19" s="2099" customFormat="1" ht="15" outlineLevel="1">
      <c r="A1149" s="2176" t="str">
        <f>IF(G1149&lt;&gt;0,1,"")</f>
        <v/>
      </c>
      <c r="B1149" s="2255"/>
      <c r="C1149" s="2252">
        <f>IF(G1149&gt;0,C1133+1,C1133)</f>
        <v>0</v>
      </c>
      <c r="D1149" s="2253"/>
      <c r="E1149" s="2411" t="s">
        <v>6219</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5" outlineLevel="1">
      <c r="A1150" s="2176" t="str">
        <f>A1149</f>
        <v/>
      </c>
      <c r="B1150" s="2255"/>
      <c r="C1150" s="2252"/>
      <c r="D1150" s="2253"/>
      <c r="E1150" s="2261" t="s">
        <v>6132</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ht="15"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ht="15"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ht="15" outlineLevel="1">
      <c r="A1153" s="2176" t="str">
        <f>IF(G1153&lt;&gt;0,1,"")</f>
        <v/>
      </c>
      <c r="B1153" s="2255" t="s">
        <v>2242</v>
      </c>
      <c r="C1153" s="2252"/>
      <c r="D1153" s="2146" t="s">
        <v>5443</v>
      </c>
      <c r="E1153" s="2188" t="s">
        <v>2440</v>
      </c>
      <c r="F1153" s="2146" t="s">
        <v>2439</v>
      </c>
      <c r="G1153" s="2263">
        <f>+G1149</f>
        <v>0</v>
      </c>
      <c r="H1153" s="2258">
        <v>0</v>
      </c>
      <c r="I1153" s="2353"/>
      <c r="J1153" s="2353" t="s">
        <v>6344</v>
      </c>
      <c r="K1153" s="2353"/>
      <c r="L1153" s="2354">
        <f t="shared" si="183"/>
        <v>0</v>
      </c>
      <c r="M1153" s="2354"/>
      <c r="N1153" s="2353">
        <v>0</v>
      </c>
      <c r="O1153" s="2354"/>
      <c r="P1153" s="2259"/>
      <c r="Q1153" s="2260"/>
      <c r="R1153" s="2260"/>
      <c r="S1153" s="2260"/>
    </row>
    <row r="1154" spans="1:19" s="2099" customFormat="1" ht="15" outlineLevel="1">
      <c r="A1154" s="2176" t="str">
        <f>IF(G1154&lt;&gt;0,1,"")</f>
        <v/>
      </c>
      <c r="B1154" s="2255"/>
      <c r="C1154" s="2252">
        <f>IF(G1154&gt;0,C1149+1,C1149)</f>
        <v>0</v>
      </c>
      <c r="D1154" s="2253"/>
      <c r="E1154" s="2411" t="s">
        <v>6220</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5" outlineLevel="1">
      <c r="A1155" s="2176" t="str">
        <f>A1154</f>
        <v/>
      </c>
      <c r="B1155" s="2255"/>
      <c r="C1155" s="2252"/>
      <c r="D1155" s="2253"/>
      <c r="E1155" s="2261" t="s">
        <v>6132</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ht="15"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ht="15"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ht="15"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ht="15" outlineLevel="1">
      <c r="A1159" s="2176" t="str">
        <f>IF(G1159&lt;&gt;0,1,"")</f>
        <v/>
      </c>
      <c r="B1159" s="2255" t="s">
        <v>2242</v>
      </c>
      <c r="C1159" s="2252"/>
      <c r="D1159" s="2146" t="s">
        <v>5443</v>
      </c>
      <c r="E1159" s="2188" t="s">
        <v>2440</v>
      </c>
      <c r="F1159" s="2146" t="s">
        <v>2439</v>
      </c>
      <c r="G1159" s="2263">
        <f>G1154/2</f>
        <v>0</v>
      </c>
      <c r="H1159" s="2258">
        <v>0</v>
      </c>
      <c r="I1159" s="2353"/>
      <c r="J1159" s="2353" t="s">
        <v>6344</v>
      </c>
      <c r="K1159" s="2353"/>
      <c r="L1159" s="2354">
        <f t="shared" si="183"/>
        <v>0</v>
      </c>
      <c r="M1159" s="2354"/>
      <c r="N1159" s="2353">
        <v>0</v>
      </c>
      <c r="O1159" s="2354"/>
      <c r="P1159" s="2259"/>
      <c r="Q1159" s="2260"/>
      <c r="R1159" s="2260"/>
      <c r="S1159" s="2260"/>
    </row>
    <row r="1160" spans="1:19" s="2099" customFormat="1" ht="15"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5" outlineLevel="1">
      <c r="A1161" s="2176" t="str">
        <f>+A1160</f>
        <v/>
      </c>
      <c r="B1161" s="2412"/>
      <c r="C1161" s="2252"/>
      <c r="D1161" s="2253"/>
      <c r="E1161" s="2261" t="s">
        <v>6132</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ht="15"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ht="15" outlineLevel="1">
      <c r="A1163" s="2176" t="str">
        <f t="shared" si="189"/>
        <v/>
      </c>
      <c r="B1163" s="2246" t="s">
        <v>1508</v>
      </c>
      <c r="C1163" s="2252"/>
      <c r="D1163" s="2146">
        <v>0</v>
      </c>
      <c r="E1163" s="2188" t="s">
        <v>5162</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ht="15"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ht="15"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ht="15"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ht="15" outlineLevel="1">
      <c r="A1167" s="2176" t="str">
        <f t="shared" si="189"/>
        <v/>
      </c>
      <c r="B1167" s="2246" t="s">
        <v>525</v>
      </c>
      <c r="C1167" s="2252"/>
      <c r="D1167" s="2146">
        <v>0</v>
      </c>
      <c r="E1167" s="2188" t="s">
        <v>5251</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ht="15" outlineLevel="1">
      <c r="A1168" s="2176" t="str">
        <f t="shared" si="189"/>
        <v/>
      </c>
      <c r="B1168" s="2246" t="s">
        <v>1585</v>
      </c>
      <c r="C1168" s="2252"/>
      <c r="D1168" s="2146">
        <v>0</v>
      </c>
      <c r="E1168" s="2188" t="s">
        <v>5712</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ht="15" outlineLevel="1">
      <c r="A1169" s="2176">
        <f>IF(G1169=0,0,1)</f>
        <v>0</v>
      </c>
      <c r="B1169" s="2246" t="s">
        <v>794</v>
      </c>
      <c r="C1169" s="2262"/>
      <c r="D1169" s="2146" t="s">
        <v>5335</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ht="15" outlineLevel="1">
      <c r="A1170" s="2176">
        <f>IF(G1170=0,0,1)</f>
        <v>0</v>
      </c>
      <c r="B1170" s="2246" t="s">
        <v>798</v>
      </c>
      <c r="C1170" s="2262"/>
      <c r="D1170" s="2146" t="s">
        <v>5324</v>
      </c>
      <c r="E1170" s="2188" t="s">
        <v>5336</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ht="15" outlineLevel="1">
      <c r="A1171" s="2176">
        <f>IF(G1171=0,0,1)</f>
        <v>0</v>
      </c>
      <c r="B1171" s="2246" t="s">
        <v>902</v>
      </c>
      <c r="C1171" s="2262"/>
      <c r="D1171" s="2146" t="s">
        <v>5350</v>
      </c>
      <c r="E1171" s="2188" t="s">
        <v>5351</v>
      </c>
      <c r="F1171" s="2146" t="s">
        <v>2278</v>
      </c>
      <c r="G1171" s="2383">
        <f>G1163</f>
        <v>0</v>
      </c>
      <c r="H1171" s="2258">
        <v>0</v>
      </c>
      <c r="I1171" s="2258"/>
      <c r="J1171" s="2258" t="s">
        <v>6311</v>
      </c>
      <c r="K1171" s="2258">
        <v>0</v>
      </c>
      <c r="L1171" s="2258">
        <f>H1171*$G1171</f>
        <v>0</v>
      </c>
      <c r="M1171" s="2258">
        <f>I1171*$G1171</f>
        <v>0</v>
      </c>
      <c r="N1171" s="2258">
        <v>0</v>
      </c>
      <c r="O1171" s="2258">
        <f>K1171*$G1171</f>
        <v>0</v>
      </c>
      <c r="P1171" s="2383"/>
      <c r="Q1171" s="2260"/>
      <c r="R1171" s="2260"/>
      <c r="S1171" s="2260"/>
    </row>
    <row r="1172" spans="1:20" s="2099" customFormat="1" ht="15" outlineLevel="1">
      <c r="A1172" s="2176" t="str">
        <f>IF(G1172&lt;&gt;0,1,"")</f>
        <v/>
      </c>
      <c r="B1172" s="2246" t="s">
        <v>1437</v>
      </c>
      <c r="C1172" s="2252"/>
      <c r="D1172" s="2146" t="s">
        <v>5345</v>
      </c>
      <c r="E1172" s="2188" t="s">
        <v>5346</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ht="15" outlineLevel="1">
      <c r="A1173" s="2176" t="str">
        <f>IF(G1173&lt;&gt;0,1,"")</f>
        <v/>
      </c>
      <c r="B1173" s="2255"/>
      <c r="C1173" s="2252">
        <f>IF(G1173&gt;0,C1160+1,C1160)</f>
        <v>0</v>
      </c>
      <c r="D1173" s="2253"/>
      <c r="E1173" s="2256" t="s">
        <v>6221</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5" outlineLevel="1">
      <c r="A1174" s="2176" t="str">
        <f>A1173</f>
        <v/>
      </c>
      <c r="B1174" s="2255"/>
      <c r="C1174" s="2252"/>
      <c r="D1174" s="2253"/>
      <c r="E1174" s="2261" t="s">
        <v>6132</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ht="15" outlineLevel="1">
      <c r="A1175" s="2176" t="str">
        <f>IF(G1175&lt;&gt;0,1,"")</f>
        <v/>
      </c>
      <c r="B1175" s="2255" t="s">
        <v>653</v>
      </c>
      <c r="C1175" s="2262"/>
      <c r="D1175" s="2146">
        <v>0</v>
      </c>
      <c r="E1175" s="2188" t="s">
        <v>5288</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ht="15"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ht="15"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ht="15" outlineLevel="1">
      <c r="A1178" s="2176" t="str">
        <f>IF(G1178&lt;&gt;0,1,"")</f>
        <v/>
      </c>
      <c r="B1178" s="2255" t="s">
        <v>654</v>
      </c>
      <c r="C1178" s="2262"/>
      <c r="D1178" s="2146" t="s">
        <v>5470</v>
      </c>
      <c r="E1178" s="2188" t="s">
        <v>5473</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ht="15" outlineLevel="1">
      <c r="A1179" s="2176" t="str">
        <f>IF(G1179&lt;&gt;0,1,"")</f>
        <v/>
      </c>
      <c r="B1179" s="2255"/>
      <c r="C1179" s="2252">
        <f>IF(G1179&gt;0,C1173+1,C1173)</f>
        <v>0</v>
      </c>
      <c r="D1179" s="2253"/>
      <c r="E1179" s="2370" t="s">
        <v>6208</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5" outlineLevel="1">
      <c r="A1180" s="2176" t="str">
        <f>A1179</f>
        <v/>
      </c>
      <c r="B1180" s="2255"/>
      <c r="C1180" s="2252"/>
      <c r="D1180" s="2253"/>
      <c r="E1180" s="2261" t="s">
        <v>6132</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ht="15" outlineLevel="1">
      <c r="A1181" s="2176" t="str">
        <f>IF(G1181&lt;&gt;0,1,"")</f>
        <v/>
      </c>
      <c r="B1181" s="2255" t="s">
        <v>5644</v>
      </c>
      <c r="C1181" s="2262"/>
      <c r="D1181" s="2146" t="s">
        <v>5632</v>
      </c>
      <c r="E1181" s="2188" t="s">
        <v>5645</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ht="15" outlineLevel="1">
      <c r="A1182" s="2176" t="str">
        <f>IF(G1182&lt;&gt;0,1,"")</f>
        <v/>
      </c>
      <c r="B1182" s="2255" t="s">
        <v>880</v>
      </c>
      <c r="C1182" s="2252"/>
      <c r="D1182" s="2146">
        <v>0</v>
      </c>
      <c r="E1182" s="2188" t="s">
        <v>5798</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ht="15" outlineLevel="1">
      <c r="A1183" s="2176" t="str">
        <f>IF(G1183&lt;&gt;0,1,"")</f>
        <v/>
      </c>
      <c r="B1183" s="2255" t="s">
        <v>289</v>
      </c>
      <c r="C1183" s="2262"/>
      <c r="D1183" s="2146">
        <v>0</v>
      </c>
      <c r="E1183" s="2188" t="s">
        <v>5711</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ht="15"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5" outlineLevel="1">
      <c r="A1185" s="2176" t="str">
        <f>A1184</f>
        <v/>
      </c>
      <c r="B1185" s="2255"/>
      <c r="C1185" s="2252"/>
      <c r="D1185" s="2253"/>
      <c r="E1185" s="2268" t="s">
        <v>6132</v>
      </c>
      <c r="F1185" s="2252"/>
      <c r="G1185" s="2257"/>
      <c r="H1185" s="2258"/>
      <c r="I1185" s="2258"/>
      <c r="J1185" s="2258"/>
      <c r="K1185" s="2258"/>
      <c r="L1185" s="2258"/>
      <c r="M1185" s="2258"/>
      <c r="N1185" s="2258"/>
      <c r="O1185" s="2258"/>
      <c r="P1185" s="2383"/>
      <c r="Q1185" s="2260"/>
      <c r="R1185" s="2260"/>
      <c r="S1185" s="2260"/>
    </row>
    <row r="1186" spans="1:19" s="2099" customFormat="1" ht="15" outlineLevel="1">
      <c r="A1186" s="2176" t="str">
        <f>IF(G1186&lt;&gt;0,1,"")</f>
        <v/>
      </c>
      <c r="B1186" s="2246" t="s">
        <v>697</v>
      </c>
      <c r="C1186" s="2262"/>
      <c r="D1186" s="2146">
        <v>0</v>
      </c>
      <c r="E1186" s="2188" t="s">
        <v>5086</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ht="15"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ht="15" outlineLevel="1">
      <c r="A1188" s="2176" t="str">
        <f>IF(G1188&lt;&gt;0,1,"")</f>
        <v/>
      </c>
      <c r="B1188" s="2351" t="s">
        <v>1477</v>
      </c>
      <c r="C1188" s="2262"/>
      <c r="D1188" s="2146">
        <v>0</v>
      </c>
      <c r="E1188" s="2188" t="s">
        <v>6345</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ht="15" outlineLevel="1">
      <c r="A1189" s="2176" t="str">
        <f>IF(G1189&lt;&gt;0,1,"")</f>
        <v/>
      </c>
      <c r="B1189" s="2351" t="s">
        <v>5698</v>
      </c>
      <c r="C1189" s="2262"/>
      <c r="D1189" s="2146">
        <v>0</v>
      </c>
      <c r="E1189" s="2188" t="s">
        <v>6346</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ht="15" outlineLevel="1">
      <c r="A1190" s="2176" t="str">
        <f>IF(G1190&lt;&gt;0,1,"")</f>
        <v/>
      </c>
      <c r="B1190" s="2351" t="s">
        <v>5704</v>
      </c>
      <c r="C1190" s="2262"/>
      <c r="D1190" s="2146">
        <v>0</v>
      </c>
      <c r="E1190" s="2188" t="s">
        <v>6347</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ht="15" outlineLevel="1">
      <c r="A1191" s="2176" t="str">
        <f t="shared" si="195"/>
        <v/>
      </c>
      <c r="B1191" s="2351" t="s">
        <v>5706</v>
      </c>
      <c r="C1191" s="2262"/>
      <c r="D1191" s="2146">
        <v>0</v>
      </c>
      <c r="E1191" s="2188" t="s">
        <v>6348</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ht="15"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ht="15"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ht="15" outlineLevel="1">
      <c r="A1194" s="2176" t="str">
        <f>IF(G1194&lt;&gt;0,1,"")</f>
        <v/>
      </c>
      <c r="B1194" s="2246" t="s">
        <v>1565</v>
      </c>
      <c r="C1194" s="2262"/>
      <c r="D1194" s="2146" t="s">
        <v>5559</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ht="15" outlineLevel="1">
      <c r="A1195" s="2176" t="str">
        <f>IF(G1195&lt;&gt;0,1,"")</f>
        <v/>
      </c>
      <c r="B1195" s="2246" t="s">
        <v>1525</v>
      </c>
      <c r="C1195" s="2262"/>
      <c r="D1195" s="2146" t="s">
        <v>5570</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ht="15"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5" outlineLevel="1">
      <c r="A1197" s="2176" t="str">
        <f>A1196</f>
        <v/>
      </c>
      <c r="B1197" s="2255"/>
      <c r="C1197" s="2252"/>
      <c r="D1197" s="2253"/>
      <c r="E1197" s="2268" t="s">
        <v>6132</v>
      </c>
      <c r="F1197" s="2252"/>
      <c r="G1197" s="2257"/>
      <c r="H1197" s="2258"/>
      <c r="I1197" s="2258"/>
      <c r="J1197" s="2258"/>
      <c r="K1197" s="2258"/>
      <c r="L1197" s="2258"/>
      <c r="M1197" s="2258"/>
      <c r="N1197" s="2258"/>
      <c r="O1197" s="2258"/>
      <c r="P1197" s="2259"/>
      <c r="Q1197" s="2260"/>
      <c r="R1197" s="2260"/>
      <c r="S1197" s="2260"/>
    </row>
    <row r="1198" spans="1:19" s="2099" customFormat="1" ht="15"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ht="15" outlineLevel="1">
      <c r="A1199" s="2176" t="str">
        <f>IF(G1199&lt;&gt;0,1,"")</f>
        <v/>
      </c>
      <c r="B1199" s="2255" t="s">
        <v>86</v>
      </c>
      <c r="C1199" s="2262"/>
      <c r="D1199" s="2146">
        <v>0</v>
      </c>
      <c r="E1199" s="2188" t="s">
        <v>5796</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ht="15"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ht="15"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ht="15" outlineLevel="1">
      <c r="A1202" s="2176" t="str">
        <f>IF(G1202&lt;&gt;0,1,"")</f>
        <v/>
      </c>
      <c r="B1202" s="2246"/>
      <c r="C1202" s="2252">
        <f>IF(G1202&gt;0,C1196+1,C1196)</f>
        <v>0</v>
      </c>
      <c r="D1202" s="2253"/>
      <c r="E1202" s="2254" t="s">
        <v>6222</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5" outlineLevel="1">
      <c r="A1203" s="2176" t="str">
        <f>A1202</f>
        <v/>
      </c>
      <c r="B1203" s="2246"/>
      <c r="C1203" s="2252"/>
      <c r="D1203" s="2253"/>
      <c r="E1203" s="2268" t="s">
        <v>6132</v>
      </c>
      <c r="F1203" s="2252"/>
      <c r="G1203" s="2263"/>
      <c r="H1203" s="2258"/>
      <c r="I1203" s="2258"/>
      <c r="J1203" s="2258"/>
      <c r="K1203" s="2258"/>
      <c r="L1203" s="2258"/>
      <c r="M1203" s="2258"/>
      <c r="N1203" s="2258"/>
      <c r="O1203" s="2258"/>
      <c r="P1203" s="2383"/>
      <c r="Q1203" s="2260"/>
      <c r="R1203" s="2260"/>
      <c r="S1203" s="2260"/>
    </row>
    <row r="1204" spans="1:19" s="2099" customFormat="1" ht="15"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ht="15"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ht="15"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ht="15" outlineLevel="1">
      <c r="A1207" s="2176" t="str">
        <f t="shared" ref="A1207:A1219" si="200">IF(G1207&lt;&gt;0,1,"")</f>
        <v/>
      </c>
      <c r="B1207" s="2255" t="s">
        <v>2155</v>
      </c>
      <c r="C1207" s="2262"/>
      <c r="D1207" s="2146" t="s">
        <v>5728</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ht="15" outlineLevel="1">
      <c r="A1208" s="2176" t="str">
        <f t="shared" si="200"/>
        <v/>
      </c>
      <c r="B1208" s="2255" t="s">
        <v>1304</v>
      </c>
      <c r="C1208" s="2262"/>
      <c r="D1208" s="2146" t="s">
        <v>5726</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ht="15"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ht="15"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ht="15"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ht="15" outlineLevel="1">
      <c r="A1212" s="2176" t="str">
        <f t="shared" si="200"/>
        <v/>
      </c>
      <c r="B1212" s="2246" t="s">
        <v>731</v>
      </c>
      <c r="C1212" s="2262"/>
      <c r="D1212" s="2146">
        <v>0</v>
      </c>
      <c r="E1212" s="2188" t="s">
        <v>5257</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ht="15"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ht="15"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ht="15"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ht="15" outlineLevel="1">
      <c r="A1216" s="2176" t="str">
        <f t="shared" si="200"/>
        <v/>
      </c>
      <c r="B1216" s="2246" t="s">
        <v>6</v>
      </c>
      <c r="C1216" s="2262"/>
      <c r="D1216" s="2146"/>
      <c r="E1216" s="2188" t="s">
        <v>3567</v>
      </c>
      <c r="F1216" s="2146" t="s">
        <v>5805</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ht="15"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ht="15" outlineLevel="1">
      <c r="A1218" s="2176" t="str">
        <f t="shared" si="200"/>
        <v/>
      </c>
      <c r="B1218" s="2246" t="s">
        <v>672</v>
      </c>
      <c r="C1218" s="2262"/>
      <c r="D1218" s="2146">
        <v>0</v>
      </c>
      <c r="E1218" s="2188" t="s">
        <v>5800</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ht="15" outlineLevel="1">
      <c r="A1219" s="2176" t="str">
        <f t="shared" si="200"/>
        <v/>
      </c>
      <c r="B1219" s="2246" t="s">
        <v>2006</v>
      </c>
      <c r="C1219" s="2262"/>
      <c r="D1219" s="2146" t="s">
        <v>5571</v>
      </c>
      <c r="E1219" s="2188" t="s">
        <v>6349</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ht="15" outlineLevel="1">
      <c r="A1220" s="2176">
        <f>+IF(L1220+N1220+O1220&gt;0,1,0)</f>
        <v>0</v>
      </c>
      <c r="B1220" s="2351"/>
      <c r="C1220" s="2417"/>
      <c r="D1220" s="2418"/>
      <c r="E1220" s="2393"/>
      <c r="F1220" s="2631"/>
      <c r="G1220" s="2632"/>
      <c r="H1220" s="2631"/>
      <c r="I1220" s="2631"/>
      <c r="J1220" s="2641" t="s">
        <v>6130</v>
      </c>
      <c r="K1220" s="2641"/>
      <c r="L1220" s="2419">
        <f>SUM(L1116:L1219)</f>
        <v>0</v>
      </c>
      <c r="M1220" s="2419">
        <f>SUM(M1116:M1219)</f>
        <v>0</v>
      </c>
      <c r="N1220" s="2419">
        <f>SUM(N1116:N1219)</f>
        <v>0</v>
      </c>
      <c r="O1220" s="2419">
        <f>SUM(O1116:O1219)</f>
        <v>0</v>
      </c>
      <c r="P1220" s="2390"/>
      <c r="Q1220" s="2260"/>
      <c r="R1220" s="2260"/>
      <c r="S1220" s="2260"/>
    </row>
    <row r="1221" spans="1:19" s="2099" customFormat="1" ht="13.9"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ht="15"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ht="15" outlineLevel="1">
      <c r="A1223" s="2176" t="str">
        <f>A1100</f>
        <v/>
      </c>
      <c r="B1223" s="2255" t="s">
        <v>2284</v>
      </c>
      <c r="C1223" s="2642" t="s">
        <v>1708</v>
      </c>
      <c r="D1223" s="2643" t="s">
        <v>2597</v>
      </c>
      <c r="E1223" s="2645" t="s">
        <v>2598</v>
      </c>
      <c r="F1223" s="2642" t="s">
        <v>2593</v>
      </c>
      <c r="G1223" s="2103" t="s">
        <v>6112</v>
      </c>
      <c r="H1223" s="2106" t="s">
        <v>6113</v>
      </c>
      <c r="I1223" s="2613"/>
      <c r="J1223" s="2613"/>
      <c r="K1223" s="2614"/>
      <c r="L1223" s="2106" t="s">
        <v>6114</v>
      </c>
      <c r="M1223" s="2613"/>
      <c r="N1223" s="2613"/>
      <c r="O1223" s="2614"/>
      <c r="P1223" s="2642" t="s">
        <v>2599</v>
      </c>
      <c r="Q1223" s="2260"/>
      <c r="R1223" s="2260"/>
      <c r="S1223" s="2260"/>
    </row>
    <row r="1224" spans="1:19" s="2099" customFormat="1" ht="15" outlineLevel="1">
      <c r="A1224" s="2176" t="str">
        <f>A1223</f>
        <v/>
      </c>
      <c r="B1224" s="2255"/>
      <c r="C1224" s="2642"/>
      <c r="D1224" s="2644"/>
      <c r="E1224" s="2646"/>
      <c r="F1224" s="2642"/>
      <c r="G1224" s="2105" t="s">
        <v>2286</v>
      </c>
      <c r="H1224" s="2106" t="s">
        <v>6115</v>
      </c>
      <c r="I1224" s="2106" t="s">
        <v>6116</v>
      </c>
      <c r="J1224" s="2106" t="s">
        <v>6117</v>
      </c>
      <c r="K1224" s="2106" t="s">
        <v>6118</v>
      </c>
      <c r="L1224" s="2106" t="s">
        <v>6115</v>
      </c>
      <c r="M1224" s="2106" t="s">
        <v>6116</v>
      </c>
      <c r="N1224" s="2106" t="s">
        <v>6117</v>
      </c>
      <c r="O1224" s="2106" t="s">
        <v>6118</v>
      </c>
      <c r="P1224" s="2642"/>
      <c r="Q1224" s="2260"/>
      <c r="R1224" s="2260"/>
      <c r="S1224" s="2260"/>
    </row>
    <row r="1225" spans="1:19" s="2099" customFormat="1" ht="15"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ht="15" outlineLevel="1">
      <c r="A1226" s="2176" t="str">
        <f>IF(G1226&lt;&gt;0,1,"")</f>
        <v/>
      </c>
      <c r="B1226" s="2246" t="str">
        <f>IF($F$8=15,"tr160","tr1601")</f>
        <v>tr1601</v>
      </c>
      <c r="C1226" s="2262">
        <f>IF(G1226&gt;0,1,0)</f>
        <v>0</v>
      </c>
      <c r="D1226" s="2146" t="s">
        <v>5589</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ht="15" outlineLevel="1">
      <c r="A1227" s="2176" t="str">
        <f>IF(G1227&lt;&gt;0,1,"")</f>
        <v/>
      </c>
      <c r="B1227" s="2246" t="str">
        <f>IF($F$8=15,"tr160","tr1601")</f>
        <v>tr1601</v>
      </c>
      <c r="C1227" s="2262">
        <f>IF(G1227&gt;0,1,0)</f>
        <v>0</v>
      </c>
      <c r="D1227" s="2146" t="s">
        <v>5589</v>
      </c>
      <c r="E1227" s="2188" t="s">
        <v>6223</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ht="15" outlineLevel="1">
      <c r="A1228" s="2176" t="str">
        <f t="shared" ref="A1228:A1235" si="209">IF(G1228&lt;&gt;0,1,"")</f>
        <v/>
      </c>
      <c r="B1228" s="2112" t="str">
        <f>"FCO100-"&amp;$F$8</f>
        <v>FCO100-22</v>
      </c>
      <c r="C1228" s="2262">
        <f>IF(G1228&gt;0,C1226+1,C1226)</f>
        <v>0</v>
      </c>
      <c r="D1228" s="2146" t="s">
        <v>5597</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ht="15"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ht="15" outlineLevel="1">
      <c r="A1230" s="2176" t="str">
        <f t="shared" si="209"/>
        <v/>
      </c>
      <c r="B1230" s="2255" t="str">
        <f>"LA"&amp;$F$6</f>
        <v>LA18</v>
      </c>
      <c r="C1230" s="2262">
        <f t="shared" si="210"/>
        <v>0</v>
      </c>
      <c r="D1230" s="2146" t="s">
        <v>5601</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ht="15" outlineLevel="1">
      <c r="A1231" s="2176" t="str">
        <f>IF(G1231&lt;&gt;0,1,"")</f>
        <v/>
      </c>
      <c r="B1231" s="2351" t="s">
        <v>710</v>
      </c>
      <c r="C1231" s="2262">
        <f>IF(G1231&gt;0,C1229+1,C1229)</f>
        <v>0</v>
      </c>
      <c r="D1231" s="2146">
        <v>0</v>
      </c>
      <c r="E1231" s="2188" t="s">
        <v>6224</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ht="15" outlineLevel="1">
      <c r="A1232" s="2176" t="str">
        <f t="shared" si="209"/>
        <v/>
      </c>
      <c r="B1232" s="2351" t="s">
        <v>710</v>
      </c>
      <c r="C1232" s="2262">
        <f>IF(G1232&gt;0,C1230+1,C1230)</f>
        <v>0</v>
      </c>
      <c r="D1232" s="2146">
        <v>0</v>
      </c>
      <c r="E1232" s="2188" t="s">
        <v>5681</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ht="15" outlineLevel="1">
      <c r="A1233" s="2176" t="str">
        <f>IF(G1233&lt;&gt;0,1,"")</f>
        <v/>
      </c>
      <c r="B1233" s="2351" t="s">
        <v>6225</v>
      </c>
      <c r="C1233" s="2262">
        <f t="shared" si="210"/>
        <v>0</v>
      </c>
      <c r="D1233" s="2146" t="s">
        <v>1025</v>
      </c>
      <c r="E1233" s="2188" t="s">
        <v>5624</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ht="15"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ht="15"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ht="15" outlineLevel="1">
      <c r="A1236" s="2176" t="str">
        <f>A1100</f>
        <v/>
      </c>
      <c r="B1236" s="2255"/>
      <c r="C1236" s="2387"/>
      <c r="D1236" s="2388"/>
      <c r="E1236" s="2389"/>
      <c r="F1236" s="2387"/>
      <c r="G1236" s="2630"/>
      <c r="H1236" s="2387"/>
      <c r="I1236" s="2387"/>
      <c r="J1236" s="2111" t="s">
        <v>6120</v>
      </c>
      <c r="K1236" s="2387"/>
      <c r="L1236" s="2389">
        <f>SUM(L1226:L1235)</f>
        <v>0</v>
      </c>
      <c r="M1236" s="2389">
        <f>SUM(M1226:M1235)</f>
        <v>0</v>
      </c>
      <c r="N1236" s="2389">
        <f>SUM(N1226:N1235)</f>
        <v>0</v>
      </c>
      <c r="O1236" s="2389">
        <f>SUM(O1226:O1235)</f>
        <v>0</v>
      </c>
      <c r="P1236" s="2390"/>
      <c r="Q1236" s="2260"/>
      <c r="R1236" s="2260"/>
      <c r="S1236" s="2260"/>
    </row>
    <row r="1237" spans="1:19" s="2099" customFormat="1" ht="15"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ht="15" outlineLevel="1">
      <c r="A1238" s="2176" t="str">
        <f t="shared" ref="A1238:A1256" si="211">IF(G1238&lt;&gt;0,1,"")</f>
        <v/>
      </c>
      <c r="B1238" s="2395"/>
      <c r="C1238" s="2396">
        <f>IF(G1238&gt;0,1,0)</f>
        <v>0</v>
      </c>
      <c r="D1238" s="2146"/>
      <c r="E1238" s="2397" t="s">
        <v>6121</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ht="15"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ht="15"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ht="15"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ht="15" outlineLevel="1">
      <c r="A1242" s="2176" t="str">
        <f>IF(G1242&lt;&gt;0,1,"")</f>
        <v/>
      </c>
      <c r="B1242" s="2395"/>
      <c r="C1242" s="2396">
        <f>IF(G1242&gt;0,1,0)</f>
        <v>0</v>
      </c>
      <c r="D1242" s="2146"/>
      <c r="E1242" s="2397" t="s">
        <v>6216</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ht="15"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ht="15"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ht="15"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ht="15"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ht="15" outlineLevel="1">
      <c r="A1247" s="2176" t="str">
        <f t="shared" si="211"/>
        <v/>
      </c>
      <c r="B1247" s="2351" t="s">
        <v>636</v>
      </c>
      <c r="C1247" s="2401"/>
      <c r="D1247" s="2146" t="s">
        <v>5046</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ht="15" outlineLevel="1">
      <c r="A1248" s="2176" t="str">
        <f t="shared" si="211"/>
        <v/>
      </c>
      <c r="B1248" s="2351" t="s">
        <v>566</v>
      </c>
      <c r="C1248" s="2401"/>
      <c r="D1248" s="2146"/>
      <c r="E1248" s="2402" t="s">
        <v>5071</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ht="15" outlineLevel="1">
      <c r="A1249" s="2176" t="str">
        <f t="shared" si="211"/>
        <v/>
      </c>
      <c r="B1249" s="2351" t="s">
        <v>639</v>
      </c>
      <c r="C1249" s="2401"/>
      <c r="D1249" s="2146" t="s">
        <v>1747</v>
      </c>
      <c r="E1249" s="2402" t="s">
        <v>5323</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ht="15" outlineLevel="1">
      <c r="A1250" s="2176" t="str">
        <f t="shared" si="211"/>
        <v/>
      </c>
      <c r="B1250" s="2351" t="s">
        <v>21</v>
      </c>
      <c r="C1250" s="2401"/>
      <c r="D1250" s="2146" t="s">
        <v>5324</v>
      </c>
      <c r="E1250" s="2402" t="s">
        <v>5325</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ht="15"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ht="15" outlineLevel="1">
      <c r="A1252" s="2176" t="str">
        <f>IF(G1252&lt;&gt;0,1,"")</f>
        <v/>
      </c>
      <c r="B1252" s="2351" t="s">
        <v>636</v>
      </c>
      <c r="C1252" s="2401"/>
      <c r="D1252" s="2146" t="s">
        <v>5046</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ht="15" outlineLevel="1">
      <c r="A1253" s="2176" t="str">
        <f>IF(G1253&lt;&gt;0,1,"")</f>
        <v/>
      </c>
      <c r="B1253" s="2351" t="s">
        <v>566</v>
      </c>
      <c r="C1253" s="2401"/>
      <c r="D1253" s="2146"/>
      <c r="E1253" s="2402" t="s">
        <v>5071</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ht="15" outlineLevel="1">
      <c r="A1254" s="2176" t="str">
        <f>IF(G1254&lt;&gt;0,1,"")</f>
        <v/>
      </c>
      <c r="B1254" s="2351" t="s">
        <v>639</v>
      </c>
      <c r="C1254" s="2401"/>
      <c r="D1254" s="2146" t="s">
        <v>1747</v>
      </c>
      <c r="E1254" s="2402" t="s">
        <v>5323</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ht="15" outlineLevel="1">
      <c r="A1255" s="2176" t="str">
        <f>IF(G1255&lt;&gt;0,1,"")</f>
        <v/>
      </c>
      <c r="B1255" s="2351" t="s">
        <v>21</v>
      </c>
      <c r="C1255" s="2401"/>
      <c r="D1255" s="2146" t="s">
        <v>5324</v>
      </c>
      <c r="E1255" s="2402" t="s">
        <v>5325</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ht="15"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5" outlineLevel="1">
      <c r="A1257" s="2176" t="str">
        <f>A1256</f>
        <v/>
      </c>
      <c r="B1257" s="2255"/>
      <c r="C1257" s="2252"/>
      <c r="D1257" s="2408"/>
      <c r="E1257" s="2261" t="s">
        <v>6132</v>
      </c>
      <c r="F1257" s="2262"/>
      <c r="G1257" s="2420"/>
      <c r="H1257" s="2409"/>
      <c r="I1257" s="2409"/>
      <c r="J1257" s="2409"/>
      <c r="K1257" s="2409"/>
      <c r="L1257" s="2409"/>
      <c r="M1257" s="2409"/>
      <c r="N1257" s="2409"/>
      <c r="O1257" s="2409"/>
      <c r="P1257" s="2259"/>
      <c r="Q1257" s="2260"/>
      <c r="R1257" s="2260"/>
      <c r="S1257" s="2260"/>
    </row>
    <row r="1258" spans="1:21" s="2099" customFormat="1" ht="15" outlineLevel="1">
      <c r="A1258" s="2176" t="str">
        <f t="shared" ref="A1258:A1263" si="212">IF(G1258&lt;&gt;0,1,"")</f>
        <v/>
      </c>
      <c r="B1258" s="2246" t="s">
        <v>1136</v>
      </c>
      <c r="C1258" s="2252"/>
      <c r="D1258" s="2146">
        <v>0</v>
      </c>
      <c r="E1258" s="2188" t="s">
        <v>6337</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ht="15" outlineLevel="1">
      <c r="A1259" s="2176" t="str">
        <f t="shared" si="212"/>
        <v/>
      </c>
      <c r="B1259" s="2246" t="s">
        <v>1137</v>
      </c>
      <c r="C1259" s="2252"/>
      <c r="D1259" s="2146">
        <v>0</v>
      </c>
      <c r="E1259" s="2188" t="s">
        <v>6338</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ht="15" outlineLevel="1">
      <c r="A1260" s="2176" t="str">
        <f t="shared" si="212"/>
        <v/>
      </c>
      <c r="B1260" s="2246" t="s">
        <v>1138</v>
      </c>
      <c r="C1260" s="2252"/>
      <c r="D1260" s="2146">
        <v>0</v>
      </c>
      <c r="E1260" s="2188" t="s">
        <v>6339</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ht="15"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ht="15"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ht="15"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ht="15" outlineLevel="1">
      <c r="A1264" s="2176" t="str">
        <f>IF(G1264&lt;&gt;0,1,"")</f>
        <v/>
      </c>
      <c r="B1264" s="2115" t="s">
        <v>5424</v>
      </c>
      <c r="C1264" s="2252"/>
      <c r="D1264" s="2146" t="s">
        <v>5425</v>
      </c>
      <c r="E1264" s="2188" t="s">
        <v>5426</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ht="15" outlineLevel="1">
      <c r="A1265" s="2176" t="str">
        <f>IF(G1265&lt;&gt;0,1,"")</f>
        <v/>
      </c>
      <c r="B1265" s="2255"/>
      <c r="C1265" s="2252">
        <f>IF(G1265&gt;0,C1256+1,C1256)</f>
        <v>0</v>
      </c>
      <c r="D1265" s="2253"/>
      <c r="E1265" s="2411" t="s">
        <v>6226</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5" outlineLevel="1">
      <c r="A1266" s="2176" t="str">
        <f>A1265</f>
        <v/>
      </c>
      <c r="B1266" s="2255"/>
      <c r="C1266" s="2252"/>
      <c r="D1266" s="2253"/>
      <c r="E1266" s="2261" t="s">
        <v>6132</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ht="15" outlineLevel="1">
      <c r="A1267" s="2176" t="str">
        <f>IF(G1267&lt;&gt;0,1,"")</f>
        <v/>
      </c>
      <c r="B1267" s="2246" t="s">
        <v>6227</v>
      </c>
      <c r="C1267" s="2252"/>
      <c r="D1267" s="2146">
        <v>0</v>
      </c>
      <c r="E1267" s="2188" t="s">
        <v>5242</v>
      </c>
      <c r="F1267" s="2146" t="s">
        <v>5173</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ht="15"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ht="15" outlineLevel="1">
      <c r="A1269" s="2176" t="str">
        <f>IF(G1269&lt;&gt;0,1,"")</f>
        <v/>
      </c>
      <c r="B1269" s="2115" t="s">
        <v>5424</v>
      </c>
      <c r="C1269" s="2252"/>
      <c r="D1269" s="2146" t="s">
        <v>5425</v>
      </c>
      <c r="E1269" s="2188" t="s">
        <v>5426</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ht="15" outlineLevel="1">
      <c r="A1270" s="2176" t="str">
        <f>IF(G1270&lt;&gt;0,1,"")</f>
        <v/>
      </c>
      <c r="B1270" s="2255"/>
      <c r="C1270" s="2252">
        <f>IF(G1270&gt;0,C1257+1,C1257)</f>
        <v>0</v>
      </c>
      <c r="D1270" s="2253"/>
      <c r="E1270" s="2411" t="s">
        <v>6218</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5" outlineLevel="1">
      <c r="A1271" s="2176" t="str">
        <f>A1270</f>
        <v/>
      </c>
      <c r="B1271" s="2255"/>
      <c r="C1271" s="2252"/>
      <c r="D1271" s="2253"/>
      <c r="E1271" s="2261" t="s">
        <v>6132</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ht="15" outlineLevel="1">
      <c r="A1272" s="2176" t="str">
        <f>IF(G1272&lt;&gt;0,1,"")</f>
        <v/>
      </c>
      <c r="B1272" s="2127" t="s">
        <v>5154</v>
      </c>
      <c r="C1272" s="2252"/>
      <c r="D1272" s="2146">
        <v>0</v>
      </c>
      <c r="E1272" s="2188" t="s">
        <v>5155</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ht="15" outlineLevel="1">
      <c r="A1273" s="2176" t="str">
        <f>IF(G1273&lt;&gt;0,1,"")</f>
        <v/>
      </c>
      <c r="B1273" s="2124" t="s">
        <v>488</v>
      </c>
      <c r="C1273" s="2252"/>
      <c r="D1273" s="2146">
        <v>0</v>
      </c>
      <c r="E1273" s="2188" t="s">
        <v>5077</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ht="15"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ht="15" outlineLevel="1">
      <c r="A1275" s="2176" t="str">
        <f>IF(G1275&lt;&gt;0,1,"")</f>
        <v/>
      </c>
      <c r="B1275" s="2115" t="s">
        <v>5373</v>
      </c>
      <c r="C1275" s="2252"/>
      <c r="D1275" s="2146" t="s">
        <v>5147</v>
      </c>
      <c r="E1275" s="2188" t="s">
        <v>5374</v>
      </c>
      <c r="F1275" s="2146" t="s">
        <v>2439</v>
      </c>
      <c r="G1275" s="2420">
        <f>+G1270</f>
        <v>0</v>
      </c>
      <c r="H1275" s="2258">
        <v>0</v>
      </c>
      <c r="I1275" s="2353"/>
      <c r="J1275" s="2353" t="s">
        <v>6350</v>
      </c>
      <c r="K1275" s="2353"/>
      <c r="L1275" s="2354">
        <f t="shared" si="218"/>
        <v>0</v>
      </c>
      <c r="M1275" s="2354"/>
      <c r="N1275" s="2353">
        <v>0</v>
      </c>
      <c r="O1275" s="2354"/>
      <c r="P1275" s="2259"/>
      <c r="Q1275" s="2260"/>
      <c r="R1275" s="2260"/>
      <c r="S1275" s="2260"/>
    </row>
    <row r="1276" spans="1:20" s="2099" customFormat="1" ht="15" outlineLevel="1">
      <c r="A1276" s="2176" t="str">
        <f>IF(G1276&lt;&gt;0,1,"")</f>
        <v/>
      </c>
      <c r="B1276" s="2255"/>
      <c r="C1276" s="2252">
        <f>IF(G1276&gt;0,C1265+1,C1265)</f>
        <v>0</v>
      </c>
      <c r="D1276" s="2253"/>
      <c r="E1276" s="2411" t="s">
        <v>6220</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5" outlineLevel="1">
      <c r="A1277" s="2176" t="str">
        <f>A1276</f>
        <v/>
      </c>
      <c r="B1277" s="2255"/>
      <c r="C1277" s="2252"/>
      <c r="D1277" s="2253"/>
      <c r="E1277" s="2261" t="s">
        <v>6132</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ht="15"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ht="15"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ht="15"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ht="15" outlineLevel="1">
      <c r="A1281" s="2176" t="str">
        <f>IF(G1281&lt;&gt;0,1,"")</f>
        <v/>
      </c>
      <c r="B1281" s="2115" t="s">
        <v>5424</v>
      </c>
      <c r="C1281" s="2252"/>
      <c r="D1281" s="2146" t="s">
        <v>5425</v>
      </c>
      <c r="E1281" s="2188" t="s">
        <v>5426</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ht="15"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5" outlineLevel="1">
      <c r="A1283" s="2176" t="str">
        <f>+A1282</f>
        <v/>
      </c>
      <c r="B1283" s="2412"/>
      <c r="C1283" s="2252"/>
      <c r="D1283" s="2253"/>
      <c r="E1283" s="2261" t="s">
        <v>6132</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ht="15"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ht="15" outlineLevel="1">
      <c r="A1285" s="2176" t="str">
        <f t="shared" si="221"/>
        <v/>
      </c>
      <c r="B1285" s="2246" t="s">
        <v>1508</v>
      </c>
      <c r="C1285" s="2252"/>
      <c r="D1285" s="2146">
        <v>0</v>
      </c>
      <c r="E1285" s="2188" t="s">
        <v>5162</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ht="15"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ht="15"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ht="15"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ht="15" outlineLevel="1">
      <c r="A1289" s="2176" t="str">
        <f>IF(G1289&lt;&gt;0,1,"")</f>
        <v/>
      </c>
      <c r="B1289" s="2255" t="s">
        <v>6192</v>
      </c>
      <c r="C1289" s="2413"/>
      <c r="D1289" s="2146" t="s">
        <v>5724</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ht="15" outlineLevel="1">
      <c r="A1290" s="2176" t="str">
        <f t="shared" si="221"/>
        <v/>
      </c>
      <c r="B1290" s="2255" t="s">
        <v>6193</v>
      </c>
      <c r="C1290" s="2413"/>
      <c r="D1290" s="2146" t="s">
        <v>5725</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ht="15"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ht="15" outlineLevel="1">
      <c r="A1292" s="2176" t="str">
        <f t="shared" si="221"/>
        <v/>
      </c>
      <c r="B1292" s="2246" t="s">
        <v>525</v>
      </c>
      <c r="C1292" s="2252"/>
      <c r="D1292" s="2146">
        <v>0</v>
      </c>
      <c r="E1292" s="2188" t="s">
        <v>5251</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ht="15" outlineLevel="1">
      <c r="A1293" s="2176" t="str">
        <f t="shared" si="221"/>
        <v/>
      </c>
      <c r="B1293" s="2124" t="s">
        <v>5180</v>
      </c>
      <c r="C1293" s="2252"/>
      <c r="D1293" s="2146">
        <v>0</v>
      </c>
      <c r="E1293" s="2188" t="s">
        <v>5181</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ht="15" outlineLevel="1">
      <c r="A1294" s="2176" t="str">
        <f t="shared" si="221"/>
        <v/>
      </c>
      <c r="B1294" s="2124" t="s">
        <v>5182</v>
      </c>
      <c r="C1294" s="2252"/>
      <c r="D1294" s="2146">
        <v>0</v>
      </c>
      <c r="E1294" s="2188" t="s">
        <v>5183</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ht="15" outlineLevel="1">
      <c r="A1295" s="2176" t="str">
        <f t="shared" si="221"/>
        <v/>
      </c>
      <c r="B1295" s="2246" t="s">
        <v>1585</v>
      </c>
      <c r="C1295" s="2252"/>
      <c r="D1295" s="2146">
        <v>0</v>
      </c>
      <c r="E1295" s="2188" t="s">
        <v>5712</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ht="15" outlineLevel="1">
      <c r="A1296" s="2176">
        <f>IF(G1296=0,0,1)</f>
        <v>0</v>
      </c>
      <c r="B1296" s="2246" t="s">
        <v>794</v>
      </c>
      <c r="C1296" s="2262"/>
      <c r="D1296" s="2146" t="s">
        <v>5335</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ht="15" outlineLevel="1">
      <c r="A1297" s="2176">
        <f>IF(G1297=0,0,1)</f>
        <v>0</v>
      </c>
      <c r="B1297" s="2246" t="s">
        <v>1056</v>
      </c>
      <c r="C1297" s="2262"/>
      <c r="D1297" s="2146" t="s">
        <v>5324</v>
      </c>
      <c r="E1297" s="2188" t="s">
        <v>5336</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ht="15" outlineLevel="1">
      <c r="A1298" s="2176">
        <f>IF(G1298=0,0,1)</f>
        <v>0</v>
      </c>
      <c r="B1298" s="2246" t="s">
        <v>902</v>
      </c>
      <c r="C1298" s="2262"/>
      <c r="D1298" s="2146" t="s">
        <v>5350</v>
      </c>
      <c r="E1298" s="2188" t="s">
        <v>5351</v>
      </c>
      <c r="F1298" s="2146" t="s">
        <v>2278</v>
      </c>
      <c r="G1298" s="2420">
        <f>G1285</f>
        <v>0</v>
      </c>
      <c r="H1298" s="2258">
        <v>0</v>
      </c>
      <c r="I1298" s="2258"/>
      <c r="J1298" s="2258" t="s">
        <v>6311</v>
      </c>
      <c r="K1298" s="2258">
        <v>0</v>
      </c>
      <c r="L1298" s="2258">
        <f>H1298*$G1298</f>
        <v>0</v>
      </c>
      <c r="M1298" s="2258">
        <f>I1298*$G1298</f>
        <v>0</v>
      </c>
      <c r="N1298" s="2258">
        <v>0</v>
      </c>
      <c r="O1298" s="2258">
        <f>K1298*$G1298</f>
        <v>0</v>
      </c>
      <c r="P1298" s="2383"/>
      <c r="Q1298" s="2260"/>
      <c r="R1298" s="2260"/>
      <c r="S1298" s="2260"/>
    </row>
    <row r="1299" spans="1:20" s="2099" customFormat="1" ht="15" outlineLevel="1">
      <c r="A1299" s="2176" t="str">
        <f>IF(G1299&lt;&gt;0,1,"")</f>
        <v/>
      </c>
      <c r="B1299" s="2246" t="s">
        <v>1437</v>
      </c>
      <c r="C1299" s="2252"/>
      <c r="D1299" s="2146" t="s">
        <v>5345</v>
      </c>
      <c r="E1299" s="2188" t="s">
        <v>5346</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ht="15" outlineLevel="1">
      <c r="A1300" s="2176" t="str">
        <f>IF(G1300&lt;&gt;0,1,"")</f>
        <v/>
      </c>
      <c r="B1300" s="2255"/>
      <c r="C1300" s="2252">
        <f>IF(G1300&gt;0,C1282+1,C1282)</f>
        <v>0</v>
      </c>
      <c r="D1300" s="2253"/>
      <c r="E1300" s="2256" t="s">
        <v>6221</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5" outlineLevel="1">
      <c r="A1301" s="2176" t="str">
        <f>A1300</f>
        <v/>
      </c>
      <c r="B1301" s="2255"/>
      <c r="C1301" s="2252"/>
      <c r="D1301" s="2253"/>
      <c r="E1301" s="2261" t="s">
        <v>6132</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ht="15" outlineLevel="1">
      <c r="A1302" s="2176" t="str">
        <f>IF(G1302&lt;&gt;0,1,"")</f>
        <v/>
      </c>
      <c r="B1302" s="2255" t="s">
        <v>653</v>
      </c>
      <c r="C1302" s="2262"/>
      <c r="D1302" s="2146">
        <v>0</v>
      </c>
      <c r="E1302" s="2188" t="s">
        <v>5288</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ht="15"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ht="15"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ht="15" outlineLevel="1">
      <c r="A1305" s="2176" t="str">
        <f>IF(G1305&lt;&gt;0,1,"")</f>
        <v/>
      </c>
      <c r="B1305" s="2255" t="s">
        <v>654</v>
      </c>
      <c r="C1305" s="2262"/>
      <c r="D1305" s="2146" t="s">
        <v>5470</v>
      </c>
      <c r="E1305" s="2188" t="s">
        <v>5473</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ht="15" outlineLevel="1">
      <c r="A1306" s="2176" t="str">
        <f>IF(G1306&lt;&gt;0,1,"")</f>
        <v/>
      </c>
      <c r="B1306" s="2255"/>
      <c r="C1306" s="2252">
        <f>IF(G1306&gt;0,C1300+1,C1300)</f>
        <v>0</v>
      </c>
      <c r="D1306" s="2253"/>
      <c r="E1306" s="2370" t="s">
        <v>6208</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5" outlineLevel="1">
      <c r="A1307" s="2176" t="str">
        <f>A1306</f>
        <v/>
      </c>
      <c r="B1307" s="2255"/>
      <c r="C1307" s="2252"/>
      <c r="D1307" s="2253"/>
      <c r="E1307" s="2261" t="s">
        <v>6132</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ht="15" outlineLevel="1">
      <c r="A1308" s="2176" t="str">
        <f>IF(G1308&lt;&gt;0,1,"")</f>
        <v/>
      </c>
      <c r="B1308" s="2174" t="s">
        <v>838</v>
      </c>
      <c r="C1308" s="2262"/>
      <c r="D1308" s="2146"/>
      <c r="E1308" s="2188" t="s">
        <v>5658</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ht="15" outlineLevel="1">
      <c r="A1309" s="2176" t="str">
        <f>IF(G1309&lt;&gt;0,1,"")</f>
        <v/>
      </c>
      <c r="B1309" s="2174" t="s">
        <v>5642</v>
      </c>
      <c r="C1309" s="2252"/>
      <c r="D1309" s="2146" t="s">
        <v>5632</v>
      </c>
      <c r="E1309" s="2188" t="s">
        <v>5643</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ht="15" outlineLevel="1">
      <c r="A1310" s="2176" t="str">
        <f>IF(G1310&lt;&gt;0,1,"")</f>
        <v/>
      </c>
      <c r="B1310" s="2255" t="s">
        <v>289</v>
      </c>
      <c r="C1310" s="2262"/>
      <c r="D1310" s="2146"/>
      <c r="E1310" s="2188" t="s">
        <v>5711</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ht="15"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5" outlineLevel="1">
      <c r="A1312" s="2176" t="str">
        <f>A1311</f>
        <v/>
      </c>
      <c r="B1312" s="2255"/>
      <c r="C1312" s="2252"/>
      <c r="D1312" s="2253"/>
      <c r="E1312" s="2268" t="s">
        <v>6132</v>
      </c>
      <c r="F1312" s="2252"/>
      <c r="G1312" s="2224"/>
      <c r="H1312" s="2258"/>
      <c r="I1312" s="2258"/>
      <c r="J1312" s="2258"/>
      <c r="K1312" s="2258"/>
      <c r="L1312" s="2258"/>
      <c r="M1312" s="2258"/>
      <c r="N1312" s="2258"/>
      <c r="O1312" s="2258"/>
      <c r="P1312" s="2383"/>
      <c r="Q1312" s="2260"/>
      <c r="R1312" s="2260"/>
      <c r="S1312" s="2260"/>
    </row>
    <row r="1313" spans="1:20" s="2099" customFormat="1" ht="15" outlineLevel="1">
      <c r="A1313" s="2176" t="str">
        <f>IF(G1313&lt;&gt;0,1,"")</f>
        <v/>
      </c>
      <c r="B1313" s="2246" t="s">
        <v>697</v>
      </c>
      <c r="C1313" s="2262"/>
      <c r="D1313" s="2146">
        <v>0</v>
      </c>
      <c r="E1313" s="2188" t="s">
        <v>5086</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ht="15" outlineLevel="1">
      <c r="A1314" s="2176" t="str">
        <f>IF(G1314&lt;&gt;0,1,"")</f>
        <v/>
      </c>
      <c r="B1314" s="2246" t="s">
        <v>5698</v>
      </c>
      <c r="C1314" s="2262"/>
      <c r="D1314" s="2146">
        <v>0</v>
      </c>
      <c r="E1314" s="2188" t="s">
        <v>5699</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ht="15" outlineLevel="1">
      <c r="A1315" s="2176" t="str">
        <f>IF(G1315&lt;&gt;0,1,"")</f>
        <v/>
      </c>
      <c r="B1315" s="2246" t="s">
        <v>5704</v>
      </c>
      <c r="C1315" s="2262"/>
      <c r="D1315" s="2146">
        <v>0</v>
      </c>
      <c r="E1315" s="2188" t="s">
        <v>5705</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ht="15" outlineLevel="1">
      <c r="A1316" s="2176" t="str">
        <f>IF(G1316&lt;&gt;0,1,"")</f>
        <v/>
      </c>
      <c r="B1316" s="2246" t="s">
        <v>5706</v>
      </c>
      <c r="C1316" s="2262"/>
      <c r="D1316" s="2146">
        <v>0</v>
      </c>
      <c r="E1316" s="2188" t="s">
        <v>5707</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ht="15" outlineLevel="1">
      <c r="A1317" s="2176" t="str">
        <f>IF(G1317&lt;&gt;0,1,"")</f>
        <v/>
      </c>
      <c r="B1317" s="2423" t="s">
        <v>5703</v>
      </c>
      <c r="C1317" s="2262"/>
      <c r="D1317" s="2146">
        <v>0</v>
      </c>
      <c r="E1317" s="2188" t="s">
        <v>4537</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ht="15"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ht="15" outlineLevel="1">
      <c r="A1319" s="2176" t="str">
        <f t="shared" si="229"/>
        <v/>
      </c>
      <c r="B1319" s="2351" t="s">
        <v>1477</v>
      </c>
      <c r="C1319" s="2262"/>
      <c r="D1319" s="2146"/>
      <c r="E1319" s="2188" t="s">
        <v>6345</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ht="15"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ht="15"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ht="15" outlineLevel="1">
      <c r="A1322" s="2176" t="str">
        <f>IF(G1322&lt;&gt;0,1,"")</f>
        <v/>
      </c>
      <c r="B1322" s="2246" t="s">
        <v>1565</v>
      </c>
      <c r="C1322" s="2262"/>
      <c r="D1322" s="2146" t="s">
        <v>5559</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ht="15" outlineLevel="1">
      <c r="A1323" s="2176" t="str">
        <f>IF(G1323&lt;&gt;0,1,"")</f>
        <v/>
      </c>
      <c r="B1323" s="2246" t="s">
        <v>1525</v>
      </c>
      <c r="C1323" s="2262"/>
      <c r="D1323" s="2146" t="s">
        <v>5570</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ht="15"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5" outlineLevel="1">
      <c r="A1325" s="2176" t="str">
        <f>A1324</f>
        <v/>
      </c>
      <c r="B1325" s="2255"/>
      <c r="C1325" s="2252"/>
      <c r="D1325" s="2253"/>
      <c r="E1325" s="2268" t="s">
        <v>6132</v>
      </c>
      <c r="F1325" s="2252"/>
      <c r="G1325" s="2224"/>
      <c r="H1325" s="2258"/>
      <c r="I1325" s="2258"/>
      <c r="J1325" s="2258"/>
      <c r="K1325" s="2258"/>
      <c r="L1325" s="2258"/>
      <c r="M1325" s="2258"/>
      <c r="N1325" s="2258"/>
      <c r="O1325" s="2258"/>
      <c r="P1325" s="2259"/>
      <c r="Q1325" s="2260"/>
      <c r="R1325" s="2260"/>
      <c r="S1325" s="2260"/>
    </row>
    <row r="1326" spans="1:20" s="2099" customFormat="1" ht="15"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ht="15" outlineLevel="1">
      <c r="A1327" s="2176" t="str">
        <f>IF(G1327&lt;&gt;0,1,"")</f>
        <v/>
      </c>
      <c r="B1327" s="2255" t="s">
        <v>86</v>
      </c>
      <c r="C1327" s="2262"/>
      <c r="D1327" s="2146">
        <v>0</v>
      </c>
      <c r="E1327" s="2188" t="s">
        <v>5796</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ht="15"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ht="15"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ht="15" outlineLevel="1">
      <c r="A1330" s="2273" t="str">
        <f>IF(G1330&lt;&gt;0,1,"")</f>
        <v/>
      </c>
      <c r="B1330" s="2424"/>
      <c r="C1330" s="2252">
        <f>IF(G1330&gt;0,C1324+1,C1324)</f>
        <v>0</v>
      </c>
      <c r="D1330" s="2253"/>
      <c r="E1330" s="2254" t="s">
        <v>6222</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5" outlineLevel="1">
      <c r="A1331" s="2176" t="str">
        <f>A1330</f>
        <v/>
      </c>
      <c r="B1331" s="2246"/>
      <c r="C1331" s="2252"/>
      <c r="D1331" s="2253"/>
      <c r="E1331" s="2268" t="s">
        <v>6132</v>
      </c>
      <c r="F1331" s="2252"/>
      <c r="G1331" s="2420"/>
      <c r="H1331" s="2258"/>
      <c r="I1331" s="2258"/>
      <c r="J1331" s="2258"/>
      <c r="K1331" s="2258"/>
      <c r="L1331" s="2258"/>
      <c r="M1331" s="2258"/>
      <c r="N1331" s="2258"/>
      <c r="O1331" s="2258"/>
      <c r="P1331" s="2383"/>
      <c r="Q1331" s="2260"/>
      <c r="R1331" s="2260"/>
      <c r="S1331" s="2260"/>
    </row>
    <row r="1332" spans="1:20" s="2099" customFormat="1" ht="15"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ht="15"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ht="15"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ht="15" outlineLevel="1">
      <c r="A1335" s="2176" t="str">
        <f t="shared" si="234"/>
        <v/>
      </c>
      <c r="B1335" s="2255" t="s">
        <v>6182</v>
      </c>
      <c r="C1335" s="2262"/>
      <c r="D1335" s="2146" t="s">
        <v>5727</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ht="15" outlineLevel="1">
      <c r="A1336" s="2176" t="str">
        <f t="shared" si="234"/>
        <v/>
      </c>
      <c r="B1336" s="2255" t="s">
        <v>6177</v>
      </c>
      <c r="C1336" s="2262"/>
      <c r="D1336" s="2146" t="s">
        <v>5725</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ht="15"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ht="15"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ht="15"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ht="15" outlineLevel="1">
      <c r="A1340" s="2176" t="str">
        <f t="shared" si="234"/>
        <v/>
      </c>
      <c r="B1340" s="2246" t="s">
        <v>731</v>
      </c>
      <c r="C1340" s="2262"/>
      <c r="D1340" s="2146">
        <v>0</v>
      </c>
      <c r="E1340" s="2188" t="s">
        <v>5257</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ht="15"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ht="15"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ht="15" outlineLevel="1">
      <c r="A1343" s="2176" t="str">
        <f t="shared" si="234"/>
        <v/>
      </c>
      <c r="B1343" s="2115" t="s">
        <v>1740</v>
      </c>
      <c r="C1343" s="2262"/>
      <c r="D1343" s="2146">
        <v>0</v>
      </c>
      <c r="E1343" s="2188" t="s">
        <v>5794</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ht="15" outlineLevel="1">
      <c r="A1344" s="2176" t="str">
        <f t="shared" si="234"/>
        <v/>
      </c>
      <c r="B1344" s="2428" t="s">
        <v>5786</v>
      </c>
      <c r="C1344" s="2262"/>
      <c r="D1344" s="2146"/>
      <c r="E1344" s="2188" t="s">
        <v>5787</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ht="15" outlineLevel="1">
      <c r="A1345" s="2176" t="str">
        <f t="shared" si="234"/>
        <v/>
      </c>
      <c r="B1345" s="2174" t="s">
        <v>5790</v>
      </c>
      <c r="C1345" s="2262"/>
      <c r="D1345" s="2146">
        <v>0</v>
      </c>
      <c r="E1345" s="2188" t="s">
        <v>5791</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ht="15" outlineLevel="1">
      <c r="A1346" s="2176" t="str">
        <f t="shared" si="234"/>
        <v/>
      </c>
      <c r="B1346" s="2429" t="s">
        <v>5252</v>
      </c>
      <c r="C1346" s="2262"/>
      <c r="D1346" s="2146">
        <v>0</v>
      </c>
      <c r="E1346" s="2188" t="s">
        <v>5253</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ht="15" outlineLevel="1">
      <c r="A1347" s="2176" t="str">
        <f t="shared" si="234"/>
        <v/>
      </c>
      <c r="B1347" s="2428" t="s">
        <v>6228</v>
      </c>
      <c r="C1347" s="2262"/>
      <c r="D1347" s="2146">
        <v>0</v>
      </c>
      <c r="E1347" s="2188" t="s">
        <v>5807</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ht="15" outlineLevel="1">
      <c r="A1348" s="2176" t="str">
        <f t="shared" si="234"/>
        <v/>
      </c>
      <c r="B1348" s="2428" t="s">
        <v>6229</v>
      </c>
      <c r="C1348" s="2262"/>
      <c r="D1348" s="2146"/>
      <c r="E1348" s="2188" t="s">
        <v>5811</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ht="15" outlineLevel="1">
      <c r="A1349" s="2176" t="str">
        <f>IF(G1349&lt;&gt;0,1,"")</f>
        <v/>
      </c>
      <c r="B1349" s="2429" t="s">
        <v>6</v>
      </c>
      <c r="C1349" s="2262"/>
      <c r="D1349" s="2146">
        <v>0</v>
      </c>
      <c r="E1349" s="2188" t="s">
        <v>3567</v>
      </c>
      <c r="F1349" s="2146" t="s">
        <v>5805</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ht="15" outlineLevel="1">
      <c r="A1350" s="2176" t="str">
        <f>IF(G1350&lt;&gt;0,1,"")</f>
        <v/>
      </c>
      <c r="B1350" s="2246" t="s">
        <v>672</v>
      </c>
      <c r="C1350" s="2262"/>
      <c r="D1350" s="2146">
        <v>0</v>
      </c>
      <c r="E1350" s="2188" t="s">
        <v>5800</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ht="15" outlineLevel="1">
      <c r="A1351" s="2176" t="str">
        <f>IF(G1351&lt;&gt;0,1,"")</f>
        <v/>
      </c>
      <c r="B1351" s="2246" t="s">
        <v>1525</v>
      </c>
      <c r="C1351" s="2262"/>
      <c r="D1351" s="2146" t="s">
        <v>5570</v>
      </c>
      <c r="E1351" s="2188" t="s">
        <v>6351</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ht="15" outlineLevel="1">
      <c r="A1352" s="2176" t="str">
        <f>IF(G1352&lt;&gt;0,1,"")</f>
        <v/>
      </c>
      <c r="B1352" s="2246" t="s">
        <v>2006</v>
      </c>
      <c r="C1352" s="2262"/>
      <c r="D1352" s="2146" t="s">
        <v>5571</v>
      </c>
      <c r="E1352" s="2188" t="s">
        <v>6349</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ht="15" outlineLevel="1">
      <c r="A1353" s="2176" t="str">
        <f>A1100</f>
        <v/>
      </c>
      <c r="B1353" s="2351"/>
      <c r="C1353" s="2417"/>
      <c r="D1353" s="2418"/>
      <c r="E1353" s="2393"/>
      <c r="F1353" s="2631"/>
      <c r="G1353" s="2632"/>
      <c r="H1353" s="2631"/>
      <c r="I1353" s="2631"/>
      <c r="J1353" s="2641" t="s">
        <v>6130</v>
      </c>
      <c r="K1353" s="2641"/>
      <c r="L1353" s="2419">
        <f>SUM(L1239:L1352)</f>
        <v>0</v>
      </c>
      <c r="M1353" s="2419">
        <f>SUM(M1239:M1352)</f>
        <v>0</v>
      </c>
      <c r="N1353" s="2419">
        <f>SUM(N1239:N1352)</f>
        <v>0</v>
      </c>
      <c r="O1353" s="2419">
        <f>SUM(O1239:O1352)</f>
        <v>0</v>
      </c>
      <c r="P1353" s="2390"/>
      <c r="Q1353" s="2260"/>
      <c r="R1353" s="2260"/>
      <c r="S1353" s="2260"/>
    </row>
    <row r="1354" spans="1:19" s="2099" customFormat="1" ht="13.9"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ht="15"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ht="15" outlineLevel="1">
      <c r="A1356" s="2176">
        <f>A1354</f>
        <v>0</v>
      </c>
      <c r="B1356" s="2255" t="s">
        <v>6111</v>
      </c>
      <c r="C1356" s="2642" t="s">
        <v>1708</v>
      </c>
      <c r="D1356" s="2643" t="s">
        <v>2597</v>
      </c>
      <c r="E1356" s="2645" t="s">
        <v>2598</v>
      </c>
      <c r="F1356" s="2642" t="s">
        <v>2593</v>
      </c>
      <c r="G1356" s="2103" t="s">
        <v>6112</v>
      </c>
      <c r="H1356" s="2106" t="s">
        <v>6113</v>
      </c>
      <c r="I1356" s="2613"/>
      <c r="J1356" s="2613"/>
      <c r="K1356" s="2614"/>
      <c r="L1356" s="2106" t="s">
        <v>6114</v>
      </c>
      <c r="M1356" s="2613"/>
      <c r="N1356" s="2613"/>
      <c r="O1356" s="2614"/>
      <c r="P1356" s="2527" t="s">
        <v>2599</v>
      </c>
      <c r="Q1356" s="2260"/>
      <c r="R1356" s="2260"/>
      <c r="S1356" s="2260"/>
    </row>
    <row r="1357" spans="1:19" s="2099" customFormat="1" ht="15" outlineLevel="1">
      <c r="A1357" s="2176">
        <f>A1356</f>
        <v>0</v>
      </c>
      <c r="B1357" s="2255"/>
      <c r="C1357" s="2642"/>
      <c r="D1357" s="2644"/>
      <c r="E1357" s="2646"/>
      <c r="F1357" s="2642"/>
      <c r="G1357" s="2105" t="s">
        <v>2286</v>
      </c>
      <c r="H1357" s="2106" t="s">
        <v>6115</v>
      </c>
      <c r="I1357" s="2106" t="s">
        <v>6116</v>
      </c>
      <c r="J1357" s="2106" t="s">
        <v>6117</v>
      </c>
      <c r="K1357" s="2106" t="s">
        <v>6118</v>
      </c>
      <c r="L1357" s="2106" t="s">
        <v>6115</v>
      </c>
      <c r="M1357" s="2106" t="s">
        <v>6116</v>
      </c>
      <c r="N1357" s="2106" t="s">
        <v>6117</v>
      </c>
      <c r="O1357" s="2106" t="s">
        <v>6118</v>
      </c>
      <c r="P1357" s="2527"/>
      <c r="Q1357" s="2260"/>
      <c r="R1357" s="2260"/>
      <c r="S1357" s="2260"/>
    </row>
    <row r="1358" spans="1:19" s="2099" customFormat="1" ht="15"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ht="15" outlineLevel="1">
      <c r="A1359" s="2176" t="str">
        <f t="shared" ref="A1359:A1368" si="239">IF(G1359&lt;&gt;0,1,"")</f>
        <v/>
      </c>
      <c r="B1359" s="2246" t="str">
        <f>IF($F$8=15,"tr250","tr2501")</f>
        <v>tr2501</v>
      </c>
      <c r="C1359" s="2262">
        <f>IF(G1359&gt;0,1,0)</f>
        <v>0</v>
      </c>
      <c r="D1359" s="2146" t="s">
        <v>5590</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ht="15" outlineLevel="1">
      <c r="A1360" s="2176" t="str">
        <f t="shared" si="239"/>
        <v/>
      </c>
      <c r="B1360" s="2112" t="str">
        <f>"FCO100-"&amp;$F$8</f>
        <v>FCO100-22</v>
      </c>
      <c r="C1360" s="2262">
        <f>IF(G1360&gt;0,C1359+1,C1359)</f>
        <v>0</v>
      </c>
      <c r="D1360" s="2146" t="s">
        <v>5597</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ht="15"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ht="15" outlineLevel="1">
      <c r="A1362" s="2176" t="str">
        <f t="shared" si="239"/>
        <v/>
      </c>
      <c r="B1362" s="2255" t="str">
        <f>"LA"&amp;$F$6</f>
        <v>LA18</v>
      </c>
      <c r="C1362" s="2262">
        <f t="shared" si="244"/>
        <v>0</v>
      </c>
      <c r="D1362" s="2146" t="s">
        <v>5601</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ht="15" outlineLevel="1">
      <c r="A1363" s="2176" t="str">
        <f t="shared" si="239"/>
        <v/>
      </c>
      <c r="B1363" s="2351" t="s">
        <v>953</v>
      </c>
      <c r="C1363" s="2262">
        <f t="shared" si="244"/>
        <v>0</v>
      </c>
      <c r="D1363" s="2146" t="s">
        <v>5684</v>
      </c>
      <c r="E1363" s="2188" t="s">
        <v>5685</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ht="15" outlineLevel="1">
      <c r="A1364" s="2176" t="str">
        <f>IF(G1364&lt;&gt;0,1,"")</f>
        <v/>
      </c>
      <c r="B1364" s="2351" t="s">
        <v>953</v>
      </c>
      <c r="C1364" s="2262">
        <f>IF(G1364&gt;0,C1363+1,C1363)</f>
        <v>0</v>
      </c>
      <c r="D1364" s="2146" t="s">
        <v>5684</v>
      </c>
      <c r="E1364" s="2188" t="s">
        <v>5685</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ht="15" outlineLevel="1">
      <c r="A1365" s="2176" t="str">
        <f t="shared" si="239"/>
        <v/>
      </c>
      <c r="B1365" s="2351" t="s">
        <v>6230</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ht="15"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ht="15"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ht="15"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ht="15" outlineLevel="1">
      <c r="A1369" s="2176">
        <f>A1354</f>
        <v>0</v>
      </c>
      <c r="B1369" s="2255"/>
      <c r="C1369" s="2387"/>
      <c r="D1369" s="2388"/>
      <c r="E1369" s="2389"/>
      <c r="F1369" s="2387"/>
      <c r="G1369" s="2439"/>
      <c r="H1369" s="2387"/>
      <c r="I1369" s="2387"/>
      <c r="J1369" s="2111" t="s">
        <v>6120</v>
      </c>
      <c r="K1369" s="2387"/>
      <c r="L1369" s="2389">
        <f>SUM(L1359:L1368)</f>
        <v>0</v>
      </c>
      <c r="M1369" s="2389">
        <f>SUM(M1359:M1368)</f>
        <v>0</v>
      </c>
      <c r="N1369" s="2389">
        <f>SUM(N1359:N1368)</f>
        <v>0</v>
      </c>
      <c r="O1369" s="2389">
        <f>SUM(O1359:O1368)</f>
        <v>0</v>
      </c>
      <c r="P1369" s="2440"/>
      <c r="Q1369" s="2260"/>
      <c r="R1369" s="2260"/>
      <c r="S1369" s="2260"/>
    </row>
    <row r="1370" spans="1:19" s="2099" customFormat="1" ht="15"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ht="15" outlineLevel="1">
      <c r="A1371" s="2176" t="str">
        <f t="shared" ref="A1371:A1389" si="245">IF(G1371&lt;&gt;0,1,"")</f>
        <v/>
      </c>
      <c r="B1371" s="2395"/>
      <c r="C1371" s="2396">
        <f>IF(G1371&gt;0,1,0)</f>
        <v>0</v>
      </c>
      <c r="D1371" s="2146"/>
      <c r="E1371" s="2397" t="s">
        <v>6231</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ht="15"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ht="15"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ht="15"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ht="15" outlineLevel="1">
      <c r="A1375" s="2176" t="str">
        <f t="shared" si="245"/>
        <v/>
      </c>
      <c r="B1375" s="2395"/>
      <c r="C1375" s="2396">
        <f>IF(G1375&gt;0,1,0)</f>
        <v>0</v>
      </c>
      <c r="D1375" s="2146"/>
      <c r="E1375" s="2397" t="s">
        <v>6216</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ht="15"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ht="15"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ht="15"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ht="15"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ht="15" outlineLevel="1">
      <c r="A1380" s="2176" t="str">
        <f t="shared" si="245"/>
        <v/>
      </c>
      <c r="B1380" s="2351" t="s">
        <v>636</v>
      </c>
      <c r="C1380" s="2401"/>
      <c r="D1380" s="2146" t="s">
        <v>5046</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ht="15" outlineLevel="1">
      <c r="A1381" s="2176" t="str">
        <f t="shared" si="245"/>
        <v/>
      </c>
      <c r="B1381" s="2351" t="s">
        <v>566</v>
      </c>
      <c r="C1381" s="2401"/>
      <c r="D1381" s="2146"/>
      <c r="E1381" s="2402" t="s">
        <v>5071</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ht="15" outlineLevel="1">
      <c r="A1382" s="2176" t="str">
        <f t="shared" si="245"/>
        <v/>
      </c>
      <c r="B1382" s="2351" t="s">
        <v>639</v>
      </c>
      <c r="C1382" s="2401"/>
      <c r="D1382" s="2146" t="s">
        <v>1747</v>
      </c>
      <c r="E1382" s="2402" t="s">
        <v>5323</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ht="15" outlineLevel="1">
      <c r="A1383" s="2176" t="str">
        <f t="shared" si="245"/>
        <v/>
      </c>
      <c r="B1383" s="2351" t="s">
        <v>21</v>
      </c>
      <c r="C1383" s="2401"/>
      <c r="D1383" s="2146" t="s">
        <v>5324</v>
      </c>
      <c r="E1383" s="2402" t="s">
        <v>5325</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ht="15"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ht="15" outlineLevel="1">
      <c r="A1385" s="2176" t="str">
        <f t="shared" si="245"/>
        <v/>
      </c>
      <c r="B1385" s="2351" t="s">
        <v>636</v>
      </c>
      <c r="C1385" s="2401"/>
      <c r="D1385" s="2146" t="s">
        <v>5046</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ht="15" outlineLevel="1">
      <c r="A1386" s="2176" t="str">
        <f t="shared" si="245"/>
        <v/>
      </c>
      <c r="B1386" s="2351" t="s">
        <v>566</v>
      </c>
      <c r="C1386" s="2401"/>
      <c r="D1386" s="2146"/>
      <c r="E1386" s="2402" t="s">
        <v>5071</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ht="15" outlineLevel="1">
      <c r="A1387" s="2176" t="str">
        <f t="shared" si="245"/>
        <v/>
      </c>
      <c r="B1387" s="2351" t="s">
        <v>639</v>
      </c>
      <c r="C1387" s="2401"/>
      <c r="D1387" s="2146" t="s">
        <v>1747</v>
      </c>
      <c r="E1387" s="2402" t="s">
        <v>5323</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ht="15" outlineLevel="1">
      <c r="A1388" s="2176" t="str">
        <f t="shared" si="245"/>
        <v/>
      </c>
      <c r="B1388" s="2351" t="s">
        <v>21</v>
      </c>
      <c r="C1388" s="2401"/>
      <c r="D1388" s="2146" t="s">
        <v>5324</v>
      </c>
      <c r="E1388" s="2402" t="s">
        <v>5325</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ht="15"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5" outlineLevel="1">
      <c r="A1390" s="2176" t="str">
        <f>A1389</f>
        <v/>
      </c>
      <c r="B1390" s="2255"/>
      <c r="C1390" s="2252"/>
      <c r="D1390" s="2408"/>
      <c r="E1390" s="2261" t="s">
        <v>6132</v>
      </c>
      <c r="F1390" s="2262"/>
      <c r="G1390" s="2444"/>
      <c r="H1390" s="2409"/>
      <c r="I1390" s="2409"/>
      <c r="J1390" s="2409"/>
      <c r="K1390" s="2409"/>
      <c r="L1390" s="2409"/>
      <c r="M1390" s="2409"/>
      <c r="N1390" s="2409"/>
      <c r="O1390" s="2409"/>
      <c r="P1390" s="2443"/>
      <c r="Q1390" s="2260"/>
      <c r="R1390" s="2260"/>
      <c r="S1390" s="2260"/>
    </row>
    <row r="1391" spans="1:19" s="2099" customFormat="1" ht="15" outlineLevel="1">
      <c r="A1391" s="2176" t="str">
        <f t="shared" ref="A1391:A1396" si="246">IF(G1391&lt;&gt;0,1,"")</f>
        <v/>
      </c>
      <c r="B1391" s="2246" t="s">
        <v>1408</v>
      </c>
      <c r="C1391" s="2252"/>
      <c r="D1391" s="2146">
        <v>0</v>
      </c>
      <c r="E1391" s="2188" t="s">
        <v>6352</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ht="15" outlineLevel="1">
      <c r="A1392" s="2176" t="str">
        <f t="shared" si="246"/>
        <v/>
      </c>
      <c r="B1392" s="2246" t="s">
        <v>1137</v>
      </c>
      <c r="C1392" s="2252"/>
      <c r="D1392" s="2146">
        <v>0</v>
      </c>
      <c r="E1392" s="2188" t="s">
        <v>6338</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ht="15" outlineLevel="1">
      <c r="A1393" s="2176" t="str">
        <f t="shared" si="246"/>
        <v/>
      </c>
      <c r="B1393" s="2246" t="s">
        <v>1138</v>
      </c>
      <c r="C1393" s="2252"/>
      <c r="D1393" s="2146">
        <v>0</v>
      </c>
      <c r="E1393" s="2188" t="s">
        <v>6339</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ht="15"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ht="15"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ht="15"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ht="15" outlineLevel="1">
      <c r="A1397" s="2176" t="str">
        <f>IF(G1397&lt;&gt;0,1,"")</f>
        <v/>
      </c>
      <c r="B1397" s="2246" t="s">
        <v>2242</v>
      </c>
      <c r="C1397" s="2252"/>
      <c r="D1397" s="2146" t="s">
        <v>5443</v>
      </c>
      <c r="E1397" s="2188" t="s">
        <v>2440</v>
      </c>
      <c r="F1397" s="2146" t="s">
        <v>2439</v>
      </c>
      <c r="G1397" s="2264">
        <f>+G1389*1*0</f>
        <v>0</v>
      </c>
      <c r="H1397" s="2353">
        <v>0</v>
      </c>
      <c r="I1397" s="2410"/>
      <c r="J1397" s="2353" t="s">
        <v>6341</v>
      </c>
      <c r="K1397" s="2353">
        <v>0</v>
      </c>
      <c r="L1397" s="2354">
        <f>H1397*G1397</f>
        <v>0</v>
      </c>
      <c r="M1397" s="2354">
        <f t="shared" si="248"/>
        <v>0</v>
      </c>
      <c r="N1397" s="2353">
        <v>0</v>
      </c>
      <c r="O1397" s="2354">
        <f t="shared" si="249"/>
        <v>0</v>
      </c>
      <c r="P1397" s="2259"/>
      <c r="Q1397" s="2260"/>
      <c r="R1397" s="2260"/>
      <c r="S1397" s="2260"/>
    </row>
    <row r="1398" spans="1:19" s="2099" customFormat="1" ht="15" outlineLevel="1">
      <c r="A1398" s="2176" t="str">
        <f>IF(G1398&lt;&gt;0,1,"")</f>
        <v/>
      </c>
      <c r="B1398" s="2115" t="s">
        <v>5424</v>
      </c>
      <c r="C1398" s="2252"/>
      <c r="D1398" s="2146" t="s">
        <v>5425</v>
      </c>
      <c r="E1398" s="2188" t="s">
        <v>5426</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ht="15" outlineLevel="1">
      <c r="A1399" s="2176" t="str">
        <f>IF(G1399&lt;&gt;0,1,"")</f>
        <v/>
      </c>
      <c r="B1399" s="2255"/>
      <c r="C1399" s="2252">
        <f>IF(G1399&gt;0,C1389+1,C1385)</f>
        <v>0</v>
      </c>
      <c r="D1399" s="2253"/>
      <c r="E1399" s="2411" t="s">
        <v>6218</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5" outlineLevel="1">
      <c r="A1400" s="2176" t="str">
        <f>A1399</f>
        <v/>
      </c>
      <c r="B1400" s="2255"/>
      <c r="C1400" s="2252"/>
      <c r="D1400" s="2253"/>
      <c r="E1400" s="2261" t="s">
        <v>6132</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ht="15" outlineLevel="1">
      <c r="A1401" s="2176" t="str">
        <f>IF(G1401&lt;&gt;0,1,"")</f>
        <v/>
      </c>
      <c r="B1401" s="2127" t="s">
        <v>5154</v>
      </c>
      <c r="C1401" s="2252"/>
      <c r="D1401" s="2146">
        <v>0</v>
      </c>
      <c r="E1401" s="2188" t="s">
        <v>5155</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ht="15" outlineLevel="1">
      <c r="A1402" s="2176" t="str">
        <f>IF(G1402&lt;&gt;0,1,"")</f>
        <v/>
      </c>
      <c r="B1402" s="2124" t="s">
        <v>488</v>
      </c>
      <c r="C1402" s="2252"/>
      <c r="D1402" s="2146">
        <v>0</v>
      </c>
      <c r="E1402" s="2188" t="s">
        <v>5077</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ht="15"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ht="15" outlineLevel="1">
      <c r="A1404" s="2176" t="str">
        <f>IF(G1404&lt;&gt;0,1,"")</f>
        <v/>
      </c>
      <c r="B1404" s="2115" t="s">
        <v>5375</v>
      </c>
      <c r="C1404" s="2252"/>
      <c r="D1404" s="2146" t="s">
        <v>5147</v>
      </c>
      <c r="E1404" s="2188" t="s">
        <v>5376</v>
      </c>
      <c r="F1404" s="2146" t="s">
        <v>2439</v>
      </c>
      <c r="G1404" s="2444">
        <f>+G1399</f>
        <v>0</v>
      </c>
      <c r="H1404" s="2258">
        <v>0</v>
      </c>
      <c r="I1404" s="2353"/>
      <c r="J1404" s="2353" t="s">
        <v>6353</v>
      </c>
      <c r="K1404" s="2353"/>
      <c r="L1404" s="2354">
        <f t="shared" si="247"/>
        <v>0</v>
      </c>
      <c r="M1404" s="2354"/>
      <c r="N1404" s="2353">
        <v>0</v>
      </c>
      <c r="O1404" s="2354"/>
      <c r="P1404" s="2443"/>
      <c r="Q1404" s="2260"/>
      <c r="R1404" s="2260"/>
      <c r="S1404" s="2260"/>
    </row>
    <row r="1405" spans="1:19" s="2099" customFormat="1" ht="15" outlineLevel="1">
      <c r="A1405" s="2176" t="str">
        <f>IF(G1405&lt;&gt;0,1,"")</f>
        <v/>
      </c>
      <c r="B1405" s="2255"/>
      <c r="C1405" s="2252">
        <f>IF(G1405&gt;0,C1389+2,C1389)</f>
        <v>0</v>
      </c>
      <c r="D1405" s="2253"/>
      <c r="E1405" s="2411" t="s">
        <v>6232</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5" outlineLevel="1">
      <c r="A1406" s="2176" t="str">
        <f>A1405</f>
        <v/>
      </c>
      <c r="B1406" s="2255"/>
      <c r="C1406" s="2252"/>
      <c r="D1406" s="2253"/>
      <c r="E1406" s="2261" t="s">
        <v>6132</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ht="15"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ht="15"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ht="15" outlineLevel="1">
      <c r="A1409" s="2176" t="str">
        <f>IF(G1409&lt;&gt;0,1,"")</f>
        <v/>
      </c>
      <c r="B1409" s="2115" t="s">
        <v>5424</v>
      </c>
      <c r="C1409" s="2252"/>
      <c r="D1409" s="2146" t="s">
        <v>5425</v>
      </c>
      <c r="E1409" s="2188" t="s">
        <v>5426</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ht="15" outlineLevel="1">
      <c r="A1410" s="2176" t="str">
        <f>IF(G1410&lt;&gt;0,1,"")</f>
        <v/>
      </c>
      <c r="B1410" s="2255"/>
      <c r="C1410" s="2252">
        <f>IF(G1410&gt;0,C1405+1,C1405)</f>
        <v>0</v>
      </c>
      <c r="D1410" s="2253"/>
      <c r="E1410" s="2411" t="s">
        <v>6220</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5" outlineLevel="1">
      <c r="A1411" s="2176" t="str">
        <f>A1410</f>
        <v/>
      </c>
      <c r="B1411" s="2255"/>
      <c r="C1411" s="2252"/>
      <c r="D1411" s="2253"/>
      <c r="E1411" s="2261" t="s">
        <v>6132</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ht="15"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ht="15"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ht="15"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ht="15" outlineLevel="1">
      <c r="A1415" s="2176" t="str">
        <f>IF(G1415&lt;&gt;0,1,"")</f>
        <v/>
      </c>
      <c r="B1415" s="2115" t="s">
        <v>5424</v>
      </c>
      <c r="C1415" s="2252"/>
      <c r="D1415" s="2146" t="s">
        <v>5425</v>
      </c>
      <c r="E1415" s="2188" t="s">
        <v>5426</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ht="15"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5" outlineLevel="1">
      <c r="A1417" s="2176" t="str">
        <f>+A1416</f>
        <v/>
      </c>
      <c r="B1417" s="2412"/>
      <c r="C1417" s="2252"/>
      <c r="D1417" s="2253"/>
      <c r="E1417" s="2261" t="s">
        <v>6132</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ht="15"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ht="15" outlineLevel="1">
      <c r="A1419" s="2176" t="str">
        <f t="shared" si="251"/>
        <v/>
      </c>
      <c r="B1419" s="2246" t="s">
        <v>1508</v>
      </c>
      <c r="C1419" s="2252"/>
      <c r="D1419" s="2146">
        <v>0</v>
      </c>
      <c r="E1419" s="2188" t="s">
        <v>5162</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ht="15"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ht="15"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ht="15"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ht="15" outlineLevel="1">
      <c r="A1423" s="2176" t="str">
        <f t="shared" ref="A1423:A1428" si="252">IF(G1423&lt;&gt;0,1,"")</f>
        <v/>
      </c>
      <c r="B1423" s="2255" t="s">
        <v>377</v>
      </c>
      <c r="C1423" s="2252"/>
      <c r="D1423" s="2146" t="s">
        <v>5724</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ht="15" outlineLevel="1">
      <c r="A1424" s="2176" t="str">
        <f t="shared" si="252"/>
        <v/>
      </c>
      <c r="B1424" s="2246" t="s">
        <v>5298</v>
      </c>
      <c r="C1424" s="2252"/>
      <c r="D1424" s="2146" t="s">
        <v>5299</v>
      </c>
      <c r="E1424" s="2188" t="s">
        <v>5300</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ht="15" outlineLevel="1">
      <c r="A1425" s="2176" t="str">
        <f t="shared" si="252"/>
        <v/>
      </c>
      <c r="B1425" s="2246" t="s">
        <v>525</v>
      </c>
      <c r="C1425" s="2252"/>
      <c r="D1425" s="2146">
        <v>0</v>
      </c>
      <c r="E1425" s="2188" t="s">
        <v>5251</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ht="15" outlineLevel="1">
      <c r="A1426" s="2176" t="str">
        <f t="shared" si="252"/>
        <v/>
      </c>
      <c r="B1426" s="2124" t="s">
        <v>5180</v>
      </c>
      <c r="C1426" s="2252"/>
      <c r="D1426" s="2146">
        <v>0</v>
      </c>
      <c r="E1426" s="2188" t="s">
        <v>5181</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ht="15" outlineLevel="1">
      <c r="A1427" s="2176" t="str">
        <f t="shared" si="252"/>
        <v/>
      </c>
      <c r="B1427" s="2124" t="s">
        <v>5182</v>
      </c>
      <c r="C1427" s="2252"/>
      <c r="D1427" s="2146">
        <v>0</v>
      </c>
      <c r="E1427" s="2188" t="s">
        <v>5183</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ht="15" outlineLevel="1">
      <c r="A1428" s="2176" t="str">
        <f t="shared" si="252"/>
        <v/>
      </c>
      <c r="B1428" s="2246" t="s">
        <v>1585</v>
      </c>
      <c r="C1428" s="2252"/>
      <c r="D1428" s="2146">
        <v>0</v>
      </c>
      <c r="E1428" s="2188" t="s">
        <v>5712</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ht="15" outlineLevel="1">
      <c r="A1429" s="2176" t="str">
        <f t="shared" si="251"/>
        <v/>
      </c>
      <c r="B1429" s="2246" t="s">
        <v>794</v>
      </c>
      <c r="C1429" s="2413"/>
      <c r="D1429" s="2146" t="s">
        <v>5335</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ht="15" outlineLevel="1">
      <c r="A1430" s="2176" t="str">
        <f t="shared" si="251"/>
        <v/>
      </c>
      <c r="B1430" s="2246" t="s">
        <v>798</v>
      </c>
      <c r="C1430" s="2252"/>
      <c r="D1430" s="2146" t="s">
        <v>5324</v>
      </c>
      <c r="E1430" s="2188" t="s">
        <v>5336</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ht="15" outlineLevel="1">
      <c r="A1431" s="2176" t="str">
        <f t="shared" si="251"/>
        <v/>
      </c>
      <c r="B1431" s="2246" t="s">
        <v>902</v>
      </c>
      <c r="C1431" s="2252"/>
      <c r="D1431" s="2146" t="s">
        <v>5350</v>
      </c>
      <c r="E1431" s="2188" t="s">
        <v>5351</v>
      </c>
      <c r="F1431" s="2146" t="s">
        <v>2278</v>
      </c>
      <c r="G1431" s="2420">
        <f>G1419</f>
        <v>0</v>
      </c>
      <c r="H1431" s="2258">
        <v>0</v>
      </c>
      <c r="I1431" s="2258"/>
      <c r="J1431" s="2258" t="s">
        <v>6311</v>
      </c>
      <c r="K1431" s="2258">
        <v>0</v>
      </c>
      <c r="L1431" s="2258">
        <f>H1431*$G1431</f>
        <v>0</v>
      </c>
      <c r="M1431" s="2258">
        <f>I1431*$G1431</f>
        <v>0</v>
      </c>
      <c r="N1431" s="2258">
        <v>0</v>
      </c>
      <c r="O1431" s="2258">
        <f>K1431*$G1431</f>
        <v>0</v>
      </c>
      <c r="P1431" s="2435"/>
      <c r="Q1431" s="2260"/>
      <c r="R1431" s="2260"/>
      <c r="S1431" s="2260"/>
    </row>
    <row r="1432" spans="1:19" s="2099" customFormat="1" ht="15" outlineLevel="1">
      <c r="A1432" s="2176" t="str">
        <f t="shared" si="251"/>
        <v/>
      </c>
      <c r="B1432" s="2246" t="s">
        <v>1437</v>
      </c>
      <c r="C1432" s="2252"/>
      <c r="D1432" s="2146" t="s">
        <v>5345</v>
      </c>
      <c r="E1432" s="2188" t="s">
        <v>5346</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ht="15" outlineLevel="1">
      <c r="A1433" s="2176" t="str">
        <f t="shared" si="251"/>
        <v/>
      </c>
      <c r="B1433" s="2246" t="s">
        <v>5174</v>
      </c>
      <c r="C1433" s="2252"/>
      <c r="D1433" s="2146">
        <v>0</v>
      </c>
      <c r="E1433" s="2188" t="s">
        <v>5175</v>
      </c>
      <c r="F1433" s="2146" t="s">
        <v>5173</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ht="15" outlineLevel="1">
      <c r="A1434" s="2176" t="str">
        <f t="shared" si="251"/>
        <v/>
      </c>
      <c r="B1434" s="2246" t="s">
        <v>5176</v>
      </c>
      <c r="C1434" s="2252"/>
      <c r="D1434" s="2146">
        <v>0</v>
      </c>
      <c r="E1434" s="2188" t="s">
        <v>5177</v>
      </c>
      <c r="F1434" s="2146" t="s">
        <v>5173</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ht="15" outlineLevel="1">
      <c r="A1435" s="2176" t="str">
        <f t="shared" si="251"/>
        <v/>
      </c>
      <c r="B1435" s="2447" t="s">
        <v>5178</v>
      </c>
      <c r="C1435" s="2252"/>
      <c r="D1435" s="2146">
        <v>0</v>
      </c>
      <c r="E1435" s="2188" t="s">
        <v>5179</v>
      </c>
      <c r="F1435" s="2146" t="s">
        <v>5173</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ht="15" outlineLevel="1">
      <c r="A1436" s="2176" t="str">
        <f>IF(G1436&lt;&gt;0,1,"")</f>
        <v/>
      </c>
      <c r="B1436" s="2447" t="s">
        <v>6233</v>
      </c>
      <c r="C1436" s="2252"/>
      <c r="D1436" s="2146">
        <v>0</v>
      </c>
      <c r="E1436" s="2188" t="s">
        <v>5050</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ht="15" outlineLevel="1">
      <c r="A1437" s="2176" t="str">
        <f t="shared" si="251"/>
        <v/>
      </c>
      <c r="B1437" s="2246" t="s">
        <v>5180</v>
      </c>
      <c r="C1437" s="2252"/>
      <c r="D1437" s="2146">
        <v>0</v>
      </c>
      <c r="E1437" s="2188" t="s">
        <v>5181</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ht="15" outlineLevel="1">
      <c r="A1438" s="2176" t="str">
        <f t="shared" si="251"/>
        <v/>
      </c>
      <c r="B1438" s="2246" t="s">
        <v>5182</v>
      </c>
      <c r="C1438" s="2252"/>
      <c r="D1438" s="2146">
        <v>0</v>
      </c>
      <c r="E1438" s="2188" t="s">
        <v>5183</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ht="15" outlineLevel="1">
      <c r="A1439" s="2176">
        <f>IF(G1439=0,0,1)</f>
        <v>0</v>
      </c>
      <c r="B1439" s="2246" t="s">
        <v>794</v>
      </c>
      <c r="C1439" s="2262"/>
      <c r="D1439" s="2146" t="s">
        <v>5335</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ht="15" outlineLevel="1">
      <c r="A1440" s="2176">
        <f>IF(G1440=0,0,1)</f>
        <v>0</v>
      </c>
      <c r="B1440" s="2246" t="s">
        <v>798</v>
      </c>
      <c r="C1440" s="2262"/>
      <c r="D1440" s="2146" t="s">
        <v>5324</v>
      </c>
      <c r="E1440" s="2188" t="s">
        <v>5336</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ht="15" outlineLevel="1">
      <c r="A1441" s="2176">
        <f>IF(G1441=0,0,1)</f>
        <v>0</v>
      </c>
      <c r="B1441" s="2246" t="s">
        <v>902</v>
      </c>
      <c r="C1441" s="2262"/>
      <c r="D1441" s="2146" t="s">
        <v>5350</v>
      </c>
      <c r="E1441" s="2188" t="s">
        <v>5351</v>
      </c>
      <c r="F1441" s="2146" t="s">
        <v>2278</v>
      </c>
      <c r="G1441" s="2448">
        <f>G1419*0</f>
        <v>0</v>
      </c>
      <c r="H1441" s="2258">
        <v>0</v>
      </c>
      <c r="I1441" s="2258"/>
      <c r="J1441" s="2258" t="s">
        <v>6311</v>
      </c>
      <c r="K1441" s="2258">
        <v>0</v>
      </c>
      <c r="L1441" s="2258">
        <f>H1441*$G1441</f>
        <v>0</v>
      </c>
      <c r="M1441" s="2258">
        <f>I1441*$G1441</f>
        <v>0</v>
      </c>
      <c r="N1441" s="2258">
        <v>0</v>
      </c>
      <c r="O1441" s="2258">
        <f>K1441*$G1441</f>
        <v>0</v>
      </c>
      <c r="P1441" s="2435"/>
      <c r="Q1441" s="2260"/>
      <c r="R1441" s="2260"/>
      <c r="S1441" s="2260"/>
    </row>
    <row r="1442" spans="1:20" s="2099" customFormat="1" ht="15" outlineLevel="1">
      <c r="A1442" s="2176" t="str">
        <f>IF(G1442&lt;&gt;0,1,"")</f>
        <v/>
      </c>
      <c r="B1442" s="2246" t="s">
        <v>1437</v>
      </c>
      <c r="C1442" s="2252"/>
      <c r="D1442" s="2146" t="s">
        <v>5345</v>
      </c>
      <c r="E1442" s="2188" t="s">
        <v>5346</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ht="15" outlineLevel="1">
      <c r="A1443" s="2176" t="str">
        <f>IF(G1443&lt;&gt;0,1,"")</f>
        <v/>
      </c>
      <c r="B1443" s="2255"/>
      <c r="C1443" s="2252">
        <f>IF(G1443&gt;0,C1416+1,C1416)</f>
        <v>0</v>
      </c>
      <c r="D1443" s="2253"/>
      <c r="E1443" s="2256" t="s">
        <v>6221</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5" outlineLevel="1">
      <c r="A1444" s="2176" t="str">
        <f>A1443</f>
        <v/>
      </c>
      <c r="B1444" s="2255"/>
      <c r="C1444" s="2252"/>
      <c r="D1444" s="2253"/>
      <c r="E1444" s="2261" t="s">
        <v>6132</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ht="15" outlineLevel="1">
      <c r="A1445" s="2176" t="str">
        <f>IF(G1445&lt;&gt;0,1,"")</f>
        <v/>
      </c>
      <c r="B1445" s="2255" t="s">
        <v>653</v>
      </c>
      <c r="C1445" s="2262"/>
      <c r="D1445" s="2146">
        <v>0</v>
      </c>
      <c r="E1445" s="2188" t="s">
        <v>5288</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ht="15"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ht="15"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ht="15" outlineLevel="1">
      <c r="A1448" s="2176" t="str">
        <f>IF(G1448&lt;&gt;0,1,"")</f>
        <v/>
      </c>
      <c r="B1448" s="2255" t="s">
        <v>654</v>
      </c>
      <c r="C1448" s="2262"/>
      <c r="D1448" s="2146" t="s">
        <v>5470</v>
      </c>
      <c r="E1448" s="2188" t="s">
        <v>5473</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ht="15" outlineLevel="1">
      <c r="A1449" s="2176" t="str">
        <f>IF(G1449&lt;&gt;0,1,"")</f>
        <v/>
      </c>
      <c r="B1449" s="2255"/>
      <c r="C1449" s="2252">
        <f>IF(G1449&gt;0,C1443+1,C1443)</f>
        <v>0</v>
      </c>
      <c r="D1449" s="2253"/>
      <c r="E1449" s="2370" t="s">
        <v>6208</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5" outlineLevel="1">
      <c r="A1450" s="2176" t="str">
        <f>A1449</f>
        <v/>
      </c>
      <c r="B1450" s="2255"/>
      <c r="C1450" s="2252"/>
      <c r="D1450" s="2253"/>
      <c r="E1450" s="2261" t="s">
        <v>6132</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ht="15" outlineLevel="1">
      <c r="A1451" s="2176" t="str">
        <f>IF(G1451&lt;&gt;0,1,"")</f>
        <v/>
      </c>
      <c r="B1451" s="2255" t="s">
        <v>5644</v>
      </c>
      <c r="C1451" s="2262"/>
      <c r="D1451" s="2146" t="s">
        <v>5632</v>
      </c>
      <c r="E1451" s="2188" t="s">
        <v>5645</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ht="15" outlineLevel="1">
      <c r="A1452" s="2176" t="str">
        <f>IF(G1452&lt;&gt;0,1,"")</f>
        <v/>
      </c>
      <c r="B1452" s="2255" t="s">
        <v>880</v>
      </c>
      <c r="C1452" s="2252"/>
      <c r="D1452" s="2146">
        <v>0</v>
      </c>
      <c r="E1452" s="2188" t="s">
        <v>5798</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ht="15" outlineLevel="1">
      <c r="A1453" s="2176" t="str">
        <f>IF(G1453&lt;&gt;0,1,"")</f>
        <v/>
      </c>
      <c r="B1453" s="2255" t="s">
        <v>289</v>
      </c>
      <c r="C1453" s="2262"/>
      <c r="D1453" s="2146">
        <v>0</v>
      </c>
      <c r="E1453" s="2188" t="s">
        <v>5711</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ht="15"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ht="15" outlineLevel="1">
      <c r="A1455" s="2176" t="str">
        <f>IF(G1455&lt;&gt;0,1,"")</f>
        <v/>
      </c>
      <c r="B1455" s="2255"/>
      <c r="C1455" s="2252">
        <f>IF(G1455&gt;0,C1449+1,C1449)</f>
        <v>0</v>
      </c>
      <c r="D1455" s="2253"/>
      <c r="E1455" s="2370" t="s">
        <v>6209</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5" outlineLevel="1">
      <c r="A1456" s="2176" t="str">
        <f>A1455</f>
        <v/>
      </c>
      <c r="B1456" s="2255"/>
      <c r="C1456" s="2252"/>
      <c r="D1456" s="2253"/>
      <c r="E1456" s="2261" t="s">
        <v>6132</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ht="15" outlineLevel="1">
      <c r="A1457" s="2176" t="str">
        <f>IF(G1457&lt;&gt;0,1,"")</f>
        <v/>
      </c>
      <c r="B1457" s="2115" t="s">
        <v>838</v>
      </c>
      <c r="C1457" s="2262"/>
      <c r="D1457" s="2146" t="s">
        <v>5654</v>
      </c>
      <c r="E1457" s="2188" t="s">
        <v>5658</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ht="15" outlineLevel="1">
      <c r="A1458" s="2176" t="str">
        <f>IF(G1458&lt;&gt;0,1,"")</f>
        <v/>
      </c>
      <c r="B1458" s="2255" t="s">
        <v>880</v>
      </c>
      <c r="C1458" s="2252"/>
      <c r="D1458" s="2146">
        <v>0</v>
      </c>
      <c r="E1458" s="2188" t="s">
        <v>5798</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ht="15" outlineLevel="1">
      <c r="A1459" s="2176" t="str">
        <f>IF(G1459&lt;&gt;0,1,"")</f>
        <v/>
      </c>
      <c r="B1459" s="2255" t="s">
        <v>289</v>
      </c>
      <c r="C1459" s="2252"/>
      <c r="D1459" s="2146">
        <v>0</v>
      </c>
      <c r="E1459" s="2188" t="s">
        <v>5711</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ht="15"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ht="15"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5" outlineLevel="1">
      <c r="A1462" s="2176" t="str">
        <f>A1461</f>
        <v/>
      </c>
      <c r="B1462" s="2255"/>
      <c r="C1462" s="2252"/>
      <c r="D1462" s="2253"/>
      <c r="E1462" s="2268" t="s">
        <v>6132</v>
      </c>
      <c r="F1462" s="2252"/>
      <c r="G1462" s="2445"/>
      <c r="H1462" s="2258"/>
      <c r="I1462" s="2258"/>
      <c r="J1462" s="2258"/>
      <c r="K1462" s="2258"/>
      <c r="L1462" s="2258"/>
      <c r="M1462" s="2258"/>
      <c r="N1462" s="2258"/>
      <c r="O1462" s="2258"/>
      <c r="P1462" s="2435"/>
      <c r="Q1462" s="2260"/>
      <c r="R1462" s="2260"/>
      <c r="S1462" s="2260"/>
    </row>
    <row r="1463" spans="1:19" s="2099" customFormat="1" ht="15" outlineLevel="1">
      <c r="A1463" s="2176" t="str">
        <f>IF(G1463&lt;&gt;0,1,"")</f>
        <v/>
      </c>
      <c r="B1463" s="2246" t="s">
        <v>697</v>
      </c>
      <c r="C1463" s="2262"/>
      <c r="D1463" s="2146">
        <v>0</v>
      </c>
      <c r="E1463" s="2188" t="s">
        <v>5086</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ht="15"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ht="15" outlineLevel="1">
      <c r="A1465" s="2176" t="str">
        <f t="shared" si="268"/>
        <v/>
      </c>
      <c r="B1465" s="2351" t="s">
        <v>1477</v>
      </c>
      <c r="C1465" s="2262"/>
      <c r="D1465" s="2146">
        <v>0</v>
      </c>
      <c r="E1465" s="2188" t="s">
        <v>4334</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ht="15" outlineLevel="1">
      <c r="A1466" s="2176" t="str">
        <f>IF(G1466&lt;&gt;0,1,"")</f>
        <v/>
      </c>
      <c r="B1466" s="2351" t="s">
        <v>5698</v>
      </c>
      <c r="C1466" s="2262"/>
      <c r="D1466" s="2146">
        <v>0</v>
      </c>
      <c r="E1466" s="2188" t="s">
        <v>5699</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ht="15" outlineLevel="1">
      <c r="A1467" s="2176" t="str">
        <f>IF(G1467&lt;&gt;0,1,"")</f>
        <v/>
      </c>
      <c r="B1467" s="2351" t="s">
        <v>5704</v>
      </c>
      <c r="C1467" s="2262"/>
      <c r="D1467" s="2146">
        <v>0</v>
      </c>
      <c r="E1467" s="2188" t="s">
        <v>5705</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ht="15" outlineLevel="1">
      <c r="A1468" s="2176" t="str">
        <f>IF(G1468&lt;&gt;0,1,"")</f>
        <v/>
      </c>
      <c r="B1468" s="2351" t="s">
        <v>5706</v>
      </c>
      <c r="C1468" s="2262"/>
      <c r="D1468" s="2146">
        <v>0</v>
      </c>
      <c r="E1468" s="2188" t="s">
        <v>5707</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ht="15" outlineLevel="1">
      <c r="A1469" s="2176" t="str">
        <f>IF(G1469&lt;&gt;0,1,"")</f>
        <v/>
      </c>
      <c r="B1469" s="2351" t="s">
        <v>5703</v>
      </c>
      <c r="C1469" s="2262"/>
      <c r="D1469" s="2146">
        <v>0</v>
      </c>
      <c r="E1469" s="2188" t="s">
        <v>4537</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ht="15"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ht="15"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ht="15" outlineLevel="1">
      <c r="A1472" s="2176" t="str">
        <f t="shared" si="268"/>
        <v/>
      </c>
      <c r="B1472" s="2246" t="s">
        <v>1565</v>
      </c>
      <c r="C1472" s="2262"/>
      <c r="D1472" s="2146" t="s">
        <v>5559</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ht="15" outlineLevel="1">
      <c r="A1473" s="2176" t="str">
        <f t="shared" si="268"/>
        <v/>
      </c>
      <c r="B1473" s="2246" t="s">
        <v>1525</v>
      </c>
      <c r="C1473" s="2262"/>
      <c r="D1473" s="2146" t="s">
        <v>5570</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ht="15"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5" outlineLevel="1">
      <c r="A1475" s="2176" t="str">
        <f>A1474</f>
        <v/>
      </c>
      <c r="B1475" s="2255"/>
      <c r="C1475" s="2252"/>
      <c r="D1475" s="2253"/>
      <c r="E1475" s="2268" t="s">
        <v>6132</v>
      </c>
      <c r="F1475" s="2252"/>
      <c r="G1475" s="2257"/>
      <c r="H1475" s="2258"/>
      <c r="I1475" s="2258"/>
      <c r="J1475" s="2258"/>
      <c r="K1475" s="2258"/>
      <c r="L1475" s="2258"/>
      <c r="M1475" s="2258"/>
      <c r="N1475" s="2258"/>
      <c r="O1475" s="2258"/>
      <c r="P1475" s="2259"/>
      <c r="Q1475" s="2260"/>
      <c r="R1475" s="2260"/>
      <c r="S1475" s="2260"/>
    </row>
    <row r="1476" spans="1:19" s="2099" customFormat="1" ht="15"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ht="15" outlineLevel="1">
      <c r="A1477" s="2176" t="str">
        <f t="shared" si="269"/>
        <v/>
      </c>
      <c r="B1477" s="2255" t="s">
        <v>86</v>
      </c>
      <c r="C1477" s="2262"/>
      <c r="D1477" s="2146">
        <v>0</v>
      </c>
      <c r="E1477" s="2188" t="s">
        <v>5796</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ht="15" outlineLevel="1">
      <c r="A1478" s="2176" t="str">
        <f t="shared" si="269"/>
        <v/>
      </c>
      <c r="B1478" s="2127" t="s">
        <v>276</v>
      </c>
      <c r="C1478" s="2262"/>
      <c r="D1478" s="2146">
        <v>0</v>
      </c>
      <c r="E1478" s="2188" t="s">
        <v>6354</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ht="15" outlineLevel="1">
      <c r="A1479" s="2176" t="str">
        <f t="shared" si="269"/>
        <v/>
      </c>
      <c r="B1479" s="2127" t="s">
        <v>86</v>
      </c>
      <c r="C1479" s="2262"/>
      <c r="D1479" s="2146">
        <v>0</v>
      </c>
      <c r="E1479" s="2188" t="s">
        <v>5796</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ht="15"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ht="15"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ht="15"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ht="15"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ht="15"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5" outlineLevel="1">
      <c r="A1485" s="2176" t="str">
        <f>A1484</f>
        <v/>
      </c>
      <c r="B1485" s="2246"/>
      <c r="C1485" s="2252"/>
      <c r="D1485" s="2253"/>
      <c r="E1485" s="2268" t="s">
        <v>6132</v>
      </c>
      <c r="F1485" s="2252"/>
      <c r="G1485" s="2444"/>
      <c r="H1485" s="2258"/>
      <c r="I1485" s="2258"/>
      <c r="J1485" s="2258"/>
      <c r="K1485" s="2258"/>
      <c r="L1485" s="2258"/>
      <c r="M1485" s="2258"/>
      <c r="N1485" s="2258"/>
      <c r="O1485" s="2258"/>
      <c r="P1485" s="2435"/>
      <c r="Q1485" s="2260"/>
      <c r="R1485" s="2260"/>
      <c r="S1485" s="2260"/>
    </row>
    <row r="1486" spans="1:19" s="2099" customFormat="1" ht="15"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ht="15"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ht="15"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ht="15" outlineLevel="1">
      <c r="A1489" s="2176" t="str">
        <f t="shared" si="272"/>
        <v/>
      </c>
      <c r="B1489" s="2255" t="s">
        <v>2156</v>
      </c>
      <c r="C1489" s="2262"/>
      <c r="D1489" s="2146" t="s">
        <v>5730</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ht="15" outlineLevel="1">
      <c r="A1490" s="2176" t="str">
        <f t="shared" si="272"/>
        <v/>
      </c>
      <c r="B1490" s="2255" t="s">
        <v>1305</v>
      </c>
      <c r="C1490" s="2262"/>
      <c r="D1490" s="2146" t="s">
        <v>5727</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ht="15"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ht="15"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ht="15"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ht="15"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ht="15" outlineLevel="1">
      <c r="A1495" s="2176" t="str">
        <f>IF(G1495&lt;&gt;0,1,"")</f>
        <v/>
      </c>
      <c r="B1495" s="2255" t="s">
        <v>4598</v>
      </c>
      <c r="C1495" s="2262"/>
      <c r="D1495" s="2146">
        <v>0</v>
      </c>
      <c r="E1495" s="2188" t="s">
        <v>5797</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ht="15" outlineLevel="1">
      <c r="A1496" s="2176" t="str">
        <f t="shared" si="272"/>
        <v/>
      </c>
      <c r="B1496" s="2246" t="s">
        <v>731</v>
      </c>
      <c r="C1496" s="2262"/>
      <c r="D1496" s="2146">
        <v>0</v>
      </c>
      <c r="E1496" s="2188" t="s">
        <v>5257</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ht="15"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ht="15"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ht="15" outlineLevel="1">
      <c r="A1499" s="2176" t="str">
        <f>IF(G1499&lt;&gt;0,1,"")</f>
        <v/>
      </c>
      <c r="B1499" s="2115" t="s">
        <v>1740</v>
      </c>
      <c r="C1499" s="2262"/>
      <c r="D1499" s="2146">
        <v>0</v>
      </c>
      <c r="E1499" s="2188" t="s">
        <v>5794</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ht="15"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ht="15" outlineLevel="1">
      <c r="A1501" s="2176" t="str">
        <f t="shared" si="272"/>
        <v/>
      </c>
      <c r="B1501" s="2246" t="s">
        <v>6</v>
      </c>
      <c r="C1501" s="2262"/>
      <c r="D1501" s="2146"/>
      <c r="E1501" s="2188" t="s">
        <v>3567</v>
      </c>
      <c r="F1501" s="2146" t="s">
        <v>5805</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ht="15"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ht="15" outlineLevel="1">
      <c r="A1503" s="2176" t="str">
        <f t="shared" si="272"/>
        <v/>
      </c>
      <c r="B1503" s="2246" t="s">
        <v>672</v>
      </c>
      <c r="C1503" s="2262"/>
      <c r="D1503" s="2146">
        <v>0</v>
      </c>
      <c r="E1503" s="2188" t="s">
        <v>5800</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ht="15" outlineLevel="1">
      <c r="A1504" s="2176" t="str">
        <f t="shared" si="272"/>
        <v/>
      </c>
      <c r="B1504" s="2246" t="s">
        <v>247</v>
      </c>
      <c r="C1504" s="2262"/>
      <c r="D1504" s="2146" t="s">
        <v>5572</v>
      </c>
      <c r="E1504" s="2188" t="s">
        <v>5573</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ht="15" outlineLevel="1">
      <c r="A1505" s="2176">
        <f>A1354</f>
        <v>0</v>
      </c>
      <c r="B1505" s="2351"/>
      <c r="C1505" s="2417"/>
      <c r="D1505" s="2418"/>
      <c r="E1505" s="2393"/>
      <c r="F1505" s="2631"/>
      <c r="G1505" s="2632"/>
      <c r="H1505" s="2631"/>
      <c r="I1505" s="2631"/>
      <c r="J1505" s="2641" t="s">
        <v>6130</v>
      </c>
      <c r="K1505" s="2641"/>
      <c r="L1505" s="2419">
        <f>SUM(L1372:L1504)</f>
        <v>0</v>
      </c>
      <c r="M1505" s="2419">
        <f>SUM(M1372:M1504)</f>
        <v>0</v>
      </c>
      <c r="N1505" s="2419">
        <f>SUM(N1372:N1504)</f>
        <v>0</v>
      </c>
      <c r="O1505" s="2419">
        <f>SUM(O1372:O1504)</f>
        <v>0</v>
      </c>
      <c r="P1505" s="2440"/>
      <c r="Q1505" s="2260"/>
      <c r="R1505" s="2260"/>
      <c r="S1505" s="2260"/>
    </row>
    <row r="1506" spans="1:19" s="2099" customFormat="1" ht="13.9"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ht="15"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ht="15" outlineLevel="1">
      <c r="A1508" s="2176">
        <f>A1506</f>
        <v>0</v>
      </c>
      <c r="B1508" s="2255" t="s">
        <v>6111</v>
      </c>
      <c r="C1508" s="2642" t="s">
        <v>1708</v>
      </c>
      <c r="D1508" s="2643" t="s">
        <v>2597</v>
      </c>
      <c r="E1508" s="2645" t="s">
        <v>2598</v>
      </c>
      <c r="F1508" s="2642" t="s">
        <v>2593</v>
      </c>
      <c r="G1508" s="2103" t="s">
        <v>6112</v>
      </c>
      <c r="H1508" s="2106" t="s">
        <v>6113</v>
      </c>
      <c r="I1508" s="2613"/>
      <c r="J1508" s="2613"/>
      <c r="K1508" s="2614"/>
      <c r="L1508" s="2106" t="s">
        <v>6114</v>
      </c>
      <c r="M1508" s="2613"/>
      <c r="N1508" s="2613"/>
      <c r="O1508" s="2614"/>
      <c r="P1508" s="2642" t="s">
        <v>2599</v>
      </c>
      <c r="Q1508" s="2260"/>
      <c r="R1508" s="2260"/>
      <c r="S1508" s="2260"/>
    </row>
    <row r="1509" spans="1:19" s="2099" customFormat="1" ht="15" outlineLevel="1">
      <c r="A1509" s="2176">
        <f>A1508</f>
        <v>0</v>
      </c>
      <c r="B1509" s="2255"/>
      <c r="C1509" s="2642"/>
      <c r="D1509" s="2644"/>
      <c r="E1509" s="2646"/>
      <c r="F1509" s="2642"/>
      <c r="G1509" s="2105" t="s">
        <v>2286</v>
      </c>
      <c r="H1509" s="2106" t="s">
        <v>6115</v>
      </c>
      <c r="I1509" s="2106" t="s">
        <v>6116</v>
      </c>
      <c r="J1509" s="2106" t="s">
        <v>6117</v>
      </c>
      <c r="K1509" s="2106" t="s">
        <v>6118</v>
      </c>
      <c r="L1509" s="2106" t="s">
        <v>6115</v>
      </c>
      <c r="M1509" s="2106" t="s">
        <v>6116</v>
      </c>
      <c r="N1509" s="2106" t="s">
        <v>6117</v>
      </c>
      <c r="O1509" s="2106" t="s">
        <v>6118</v>
      </c>
      <c r="P1509" s="2642"/>
      <c r="Q1509" s="2260"/>
      <c r="R1509" s="2260"/>
      <c r="S1509" s="2260"/>
    </row>
    <row r="1510" spans="1:19" s="2099" customFormat="1" ht="15"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ht="15" outlineLevel="1">
      <c r="A1511" s="2176" t="str">
        <f t="shared" ref="A1511:A1518" si="277">IF(G1511&lt;&gt;0,1,"")</f>
        <v/>
      </c>
      <c r="B1511" s="2246" t="str">
        <f>IF($F$8=15,"tr320","tr3201")</f>
        <v>tr3201</v>
      </c>
      <c r="C1511" s="2262">
        <f>IF(G1511&gt;0,1,0)</f>
        <v>0</v>
      </c>
      <c r="D1511" s="2146" t="s">
        <v>5590</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ht="15" outlineLevel="1">
      <c r="A1512" s="2176" t="str">
        <f t="shared" si="277"/>
        <v/>
      </c>
      <c r="B1512" s="2112" t="str">
        <f>"FCO100-"&amp;$F$8</f>
        <v>FCO100-22</v>
      </c>
      <c r="C1512" s="2262">
        <f t="shared" ref="C1512:C1518" si="282">IF(G1512&gt;0,C1511+1,C1511)</f>
        <v>0</v>
      </c>
      <c r="D1512" s="2146" t="s">
        <v>5597</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ht="15"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ht="15" outlineLevel="1">
      <c r="A1514" s="2176" t="str">
        <f t="shared" si="277"/>
        <v/>
      </c>
      <c r="B1514" s="2255" t="str">
        <f>"LA"&amp;$F$6</f>
        <v>LA18</v>
      </c>
      <c r="C1514" s="2262">
        <f t="shared" si="282"/>
        <v>0</v>
      </c>
      <c r="D1514" s="2146" t="s">
        <v>5601</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ht="15" outlineLevel="1">
      <c r="A1515" s="2176" t="str">
        <f t="shared" si="277"/>
        <v/>
      </c>
      <c r="B1515" s="2351" t="s">
        <v>1459</v>
      </c>
      <c r="C1515" s="2262">
        <f t="shared" si="282"/>
        <v>0</v>
      </c>
      <c r="D1515" s="2146">
        <v>0</v>
      </c>
      <c r="E1515" s="2188" t="s">
        <v>5686</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ht="15"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ht="15"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ht="15"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ht="15" outlineLevel="1">
      <c r="A1519" s="2176">
        <f>A1506</f>
        <v>0</v>
      </c>
      <c r="B1519" s="2255"/>
      <c r="C1519" s="2387"/>
      <c r="D1519" s="2388"/>
      <c r="E1519" s="2389"/>
      <c r="F1519" s="2387"/>
      <c r="G1519" s="2630"/>
      <c r="H1519" s="2387"/>
      <c r="I1519" s="2387"/>
      <c r="J1519" s="2111" t="s">
        <v>6120</v>
      </c>
      <c r="K1519" s="2387"/>
      <c r="L1519" s="2389">
        <f>SUM(L1511:L1518)</f>
        <v>0</v>
      </c>
      <c r="M1519" s="2389">
        <f>SUM(M1511:M1518)</f>
        <v>0</v>
      </c>
      <c r="N1519" s="2389">
        <f>SUM(N1511:N1518)</f>
        <v>0</v>
      </c>
      <c r="O1519" s="2389">
        <f>SUM(O1511:O1518)</f>
        <v>0</v>
      </c>
      <c r="P1519" s="2390"/>
      <c r="Q1519" s="2260"/>
      <c r="R1519" s="2260"/>
      <c r="S1519" s="2260"/>
    </row>
    <row r="1520" spans="1:19" s="2099" customFormat="1" ht="15"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ht="15" outlineLevel="1">
      <c r="A1521" s="2176" t="str">
        <f t="shared" ref="A1521:A1539" si="283">IF(G1521&lt;&gt;0,1,"")</f>
        <v/>
      </c>
      <c r="B1521" s="2395"/>
      <c r="C1521" s="2396">
        <f>IF(G1521&gt;0,1,0)</f>
        <v>0</v>
      </c>
      <c r="D1521" s="2146"/>
      <c r="E1521" s="2397" t="s">
        <v>6121</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ht="15"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ht="15"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ht="15"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ht="15" outlineLevel="1">
      <c r="A1525" s="2176" t="str">
        <f t="shared" si="283"/>
        <v/>
      </c>
      <c r="B1525" s="2395"/>
      <c r="C1525" s="2396">
        <f>IF(G1525&gt;0,1,0)</f>
        <v>0</v>
      </c>
      <c r="D1525" s="2146"/>
      <c r="E1525" s="2397" t="s">
        <v>6216</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ht="15"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ht="15"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ht="15"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ht="15"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ht="15" outlineLevel="1">
      <c r="A1530" s="2176" t="str">
        <f t="shared" si="283"/>
        <v/>
      </c>
      <c r="B1530" s="2351" t="s">
        <v>636</v>
      </c>
      <c r="C1530" s="2401"/>
      <c r="D1530" s="2146" t="s">
        <v>5046</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ht="15" outlineLevel="1">
      <c r="A1531" s="2176" t="str">
        <f t="shared" si="283"/>
        <v/>
      </c>
      <c r="B1531" s="2351" t="s">
        <v>566</v>
      </c>
      <c r="C1531" s="2401"/>
      <c r="D1531" s="2146"/>
      <c r="E1531" s="2402" t="s">
        <v>5071</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ht="15" outlineLevel="1">
      <c r="A1532" s="2176" t="str">
        <f t="shared" si="283"/>
        <v/>
      </c>
      <c r="B1532" s="2351" t="s">
        <v>639</v>
      </c>
      <c r="C1532" s="2401"/>
      <c r="D1532" s="2146" t="s">
        <v>1747</v>
      </c>
      <c r="E1532" s="2402" t="s">
        <v>5323</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ht="15" outlineLevel="1">
      <c r="A1533" s="2176" t="str">
        <f t="shared" si="283"/>
        <v/>
      </c>
      <c r="B1533" s="2351" t="s">
        <v>21</v>
      </c>
      <c r="C1533" s="2401"/>
      <c r="D1533" s="2146" t="s">
        <v>5324</v>
      </c>
      <c r="E1533" s="2402" t="s">
        <v>5325</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ht="15"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ht="15" outlineLevel="1">
      <c r="A1535" s="2176" t="str">
        <f t="shared" si="283"/>
        <v/>
      </c>
      <c r="B1535" s="2351" t="s">
        <v>636</v>
      </c>
      <c r="C1535" s="2401"/>
      <c r="D1535" s="2146" t="s">
        <v>5046</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ht="15" outlineLevel="1">
      <c r="A1536" s="2176" t="str">
        <f t="shared" si="283"/>
        <v/>
      </c>
      <c r="B1536" s="2351" t="s">
        <v>566</v>
      </c>
      <c r="C1536" s="2401"/>
      <c r="D1536" s="2146"/>
      <c r="E1536" s="2402" t="s">
        <v>5071</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ht="15" outlineLevel="1">
      <c r="A1537" s="2176" t="str">
        <f t="shared" si="283"/>
        <v/>
      </c>
      <c r="B1537" s="2351" t="s">
        <v>639</v>
      </c>
      <c r="C1537" s="2401"/>
      <c r="D1537" s="2146" t="s">
        <v>1747</v>
      </c>
      <c r="E1537" s="2402" t="s">
        <v>5323</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ht="15" outlineLevel="1">
      <c r="A1538" s="2176" t="str">
        <f t="shared" si="283"/>
        <v/>
      </c>
      <c r="B1538" s="2351" t="s">
        <v>21</v>
      </c>
      <c r="C1538" s="2401"/>
      <c r="D1538" s="2146" t="s">
        <v>5324</v>
      </c>
      <c r="E1538" s="2402" t="s">
        <v>5325</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ht="15"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5" outlineLevel="1">
      <c r="A1540" s="2176" t="str">
        <f>A1539</f>
        <v/>
      </c>
      <c r="B1540" s="2255"/>
      <c r="C1540" s="2252"/>
      <c r="D1540" s="2408"/>
      <c r="E1540" s="2261" t="s">
        <v>6132</v>
      </c>
      <c r="F1540" s="2262"/>
      <c r="G1540" s="2263"/>
      <c r="H1540" s="2409"/>
      <c r="I1540" s="2409"/>
      <c r="J1540" s="2409"/>
      <c r="K1540" s="2409"/>
      <c r="L1540" s="2409"/>
      <c r="M1540" s="2409"/>
      <c r="N1540" s="2409"/>
      <c r="O1540" s="2409"/>
      <c r="P1540" s="2259"/>
      <c r="Q1540" s="2260"/>
      <c r="R1540" s="2260"/>
      <c r="S1540" s="2260"/>
    </row>
    <row r="1541" spans="1:19" s="2099" customFormat="1" ht="15" outlineLevel="1">
      <c r="A1541" s="2176" t="str">
        <f t="shared" ref="A1541:A1546" si="284">IF(G1541&lt;&gt;0,1,"")</f>
        <v/>
      </c>
      <c r="B1541" s="2246" t="s">
        <v>1136</v>
      </c>
      <c r="C1541" s="2252"/>
      <c r="D1541" s="2146">
        <v>0</v>
      </c>
      <c r="E1541" s="2188" t="s">
        <v>6337</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ht="15" outlineLevel="1">
      <c r="A1542" s="2176" t="str">
        <f t="shared" si="284"/>
        <v/>
      </c>
      <c r="B1542" s="2246" t="s">
        <v>1137</v>
      </c>
      <c r="C1542" s="2252"/>
      <c r="D1542" s="2146">
        <v>0</v>
      </c>
      <c r="E1542" s="2188" t="s">
        <v>6338</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ht="15" outlineLevel="1">
      <c r="A1543" s="2176" t="str">
        <f t="shared" si="284"/>
        <v/>
      </c>
      <c r="B1543" s="2246" t="s">
        <v>1138</v>
      </c>
      <c r="C1543" s="2252"/>
      <c r="D1543" s="2146">
        <v>0</v>
      </c>
      <c r="E1543" s="2188" t="s">
        <v>6339</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ht="15"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ht="15"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ht="15"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ht="15" outlineLevel="1">
      <c r="A1547" s="2176" t="str">
        <f>IF(G1547&lt;&gt;0,1,"")</f>
        <v/>
      </c>
      <c r="B1547" s="2246" t="s">
        <v>2242</v>
      </c>
      <c r="C1547" s="2252"/>
      <c r="D1547" s="2146" t="s">
        <v>5443</v>
      </c>
      <c r="E1547" s="2188" t="s">
        <v>6340</v>
      </c>
      <c r="F1547" s="2146" t="s">
        <v>2439</v>
      </c>
      <c r="G1547" s="2263">
        <f>+G1539*1</f>
        <v>0</v>
      </c>
      <c r="H1547" s="2353">
        <v>0</v>
      </c>
      <c r="I1547" s="2410"/>
      <c r="J1547" s="2353" t="s">
        <v>6341</v>
      </c>
      <c r="K1547" s="2353">
        <v>0</v>
      </c>
      <c r="L1547" s="2354">
        <f>H1547*G1547</f>
        <v>0</v>
      </c>
      <c r="M1547" s="2354">
        <f t="shared" si="286"/>
        <v>0</v>
      </c>
      <c r="N1547" s="2353">
        <v>0</v>
      </c>
      <c r="O1547" s="2354">
        <f t="shared" si="287"/>
        <v>0</v>
      </c>
      <c r="P1547" s="2259"/>
      <c r="Q1547" s="2260"/>
      <c r="R1547" s="2260"/>
      <c r="S1547" s="2260"/>
    </row>
    <row r="1548" spans="1:19" s="2099" customFormat="1" ht="15" outlineLevel="1">
      <c r="A1548" s="2176" t="str">
        <f>IF(G1548&lt;&gt;0,1,"")</f>
        <v/>
      </c>
      <c r="B1548" s="2246" t="s">
        <v>6217</v>
      </c>
      <c r="C1548" s="2252"/>
      <c r="D1548" s="2146" t="s">
        <v>5377</v>
      </c>
      <c r="E1548" s="2188" t="s">
        <v>6342</v>
      </c>
      <c r="F1548" s="2146" t="s">
        <v>2439</v>
      </c>
      <c r="G1548" s="2263">
        <f>+G1539*(IF(G1542&gt;0,2,0)+IF(G1543&gt;0,1,0))</f>
        <v>0</v>
      </c>
      <c r="H1548" s="2353">
        <v>0</v>
      </c>
      <c r="I1548" s="2410"/>
      <c r="J1548" s="2353" t="s">
        <v>6343</v>
      </c>
      <c r="K1548" s="2353">
        <v>0</v>
      </c>
      <c r="L1548" s="2354">
        <f>H1548*G1548</f>
        <v>0</v>
      </c>
      <c r="M1548" s="2354">
        <f t="shared" si="286"/>
        <v>0</v>
      </c>
      <c r="N1548" s="2353">
        <v>0</v>
      </c>
      <c r="O1548" s="2354">
        <f t="shared" si="287"/>
        <v>0</v>
      </c>
      <c r="P1548" s="2259"/>
      <c r="Q1548" s="2260"/>
      <c r="R1548" s="2260"/>
      <c r="S1548" s="2260"/>
    </row>
    <row r="1549" spans="1:19" s="2099" customFormat="1" ht="15" outlineLevel="1">
      <c r="A1549" s="2176" t="str">
        <f>IF(G1549&lt;&gt;0,1,"")</f>
        <v/>
      </c>
      <c r="B1549" s="2255"/>
      <c r="C1549" s="2252">
        <f>IF(G1549&gt;0,C1535+1,C1535)</f>
        <v>0</v>
      </c>
      <c r="D1549" s="2253"/>
      <c r="E1549" s="2411" t="s">
        <v>6218</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5" outlineLevel="1">
      <c r="A1550" s="2176" t="str">
        <f>A1549</f>
        <v/>
      </c>
      <c r="B1550" s="2255"/>
      <c r="C1550" s="2252"/>
      <c r="D1550" s="2253"/>
      <c r="E1550" s="2261" t="s">
        <v>6132</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ht="15" outlineLevel="1">
      <c r="A1551" s="2176" t="str">
        <f>IF(G1551&lt;&gt;0,1,"")</f>
        <v/>
      </c>
      <c r="B1551" s="2127" t="s">
        <v>5154</v>
      </c>
      <c r="C1551" s="2252"/>
      <c r="D1551" s="2146">
        <v>0</v>
      </c>
      <c r="E1551" s="2188" t="s">
        <v>5155</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ht="15" outlineLevel="1">
      <c r="A1552" s="2176" t="str">
        <f>IF(G1552&lt;&gt;0,1,"")</f>
        <v/>
      </c>
      <c r="B1552" s="2124" t="s">
        <v>488</v>
      </c>
      <c r="C1552" s="2252"/>
      <c r="D1552" s="2146">
        <v>0</v>
      </c>
      <c r="E1552" s="2188" t="s">
        <v>5077</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ht="15"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ht="15" outlineLevel="1">
      <c r="A1554" s="2176" t="str">
        <f>IF(G1554&lt;&gt;0,1,"")</f>
        <v/>
      </c>
      <c r="B1554" s="2246" t="s">
        <v>2242</v>
      </c>
      <c r="C1554" s="2252"/>
      <c r="D1554" s="2146" t="s">
        <v>5443</v>
      </c>
      <c r="E1554" s="2188" t="s">
        <v>2440</v>
      </c>
      <c r="F1554" s="2146" t="s">
        <v>2439</v>
      </c>
      <c r="G1554" s="2263">
        <f>+G1549</f>
        <v>0</v>
      </c>
      <c r="H1554" s="2258">
        <v>0</v>
      </c>
      <c r="I1554" s="2353"/>
      <c r="J1554" s="2353" t="s">
        <v>6344</v>
      </c>
      <c r="K1554" s="2353"/>
      <c r="L1554" s="2354">
        <f t="shared" si="288"/>
        <v>0</v>
      </c>
      <c r="M1554" s="2354"/>
      <c r="N1554" s="2353">
        <v>0</v>
      </c>
      <c r="O1554" s="2354"/>
      <c r="P1554" s="2259"/>
      <c r="Q1554" s="2260"/>
      <c r="R1554" s="2260"/>
      <c r="S1554" s="2260"/>
    </row>
    <row r="1555" spans="1:19" s="2099" customFormat="1" ht="15" outlineLevel="1">
      <c r="A1555" s="2176" t="str">
        <f>IF(G1555&lt;&gt;0,1,"")</f>
        <v/>
      </c>
      <c r="B1555" s="2255"/>
      <c r="C1555" s="2252">
        <f>IF(G1555&gt;0,C1539+1,C1539)</f>
        <v>0</v>
      </c>
      <c r="D1555" s="2253"/>
      <c r="E1555" s="2411" t="s">
        <v>6219</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5" outlineLevel="1">
      <c r="A1556" s="2176" t="str">
        <f>A1555</f>
        <v/>
      </c>
      <c r="B1556" s="2255"/>
      <c r="C1556" s="2252"/>
      <c r="D1556" s="2253"/>
      <c r="E1556" s="2261" t="s">
        <v>6132</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ht="15"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ht="15"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ht="15" outlineLevel="1">
      <c r="A1559" s="2176" t="str">
        <f>IF(G1559&lt;&gt;0,1,"")</f>
        <v/>
      </c>
      <c r="B1559" s="2255" t="s">
        <v>2242</v>
      </c>
      <c r="C1559" s="2252"/>
      <c r="D1559" s="2146" t="s">
        <v>5443</v>
      </c>
      <c r="E1559" s="2188" t="s">
        <v>2440</v>
      </c>
      <c r="F1559" s="2146" t="s">
        <v>2439</v>
      </c>
      <c r="G1559" s="2263">
        <f>G1511</f>
        <v>0</v>
      </c>
      <c r="H1559" s="2258">
        <v>0</v>
      </c>
      <c r="I1559" s="2353"/>
      <c r="J1559" s="2353" t="s">
        <v>6344</v>
      </c>
      <c r="K1559" s="2353"/>
      <c r="L1559" s="2354">
        <f t="shared" si="288"/>
        <v>0</v>
      </c>
      <c r="M1559" s="2354"/>
      <c r="N1559" s="2353">
        <v>0</v>
      </c>
      <c r="O1559" s="2354"/>
      <c r="P1559" s="2259"/>
      <c r="Q1559" s="2260"/>
      <c r="R1559" s="2260"/>
      <c r="S1559" s="2260"/>
    </row>
    <row r="1560" spans="1:19" s="2099" customFormat="1" ht="15" outlineLevel="1">
      <c r="A1560" s="2176" t="str">
        <f>IF(G1560&lt;&gt;0,1,"")</f>
        <v/>
      </c>
      <c r="B1560" s="2255"/>
      <c r="C1560" s="2252">
        <f>IF(G1560&gt;0,C1555+1,C1555)</f>
        <v>0</v>
      </c>
      <c r="D1560" s="2253"/>
      <c r="E1560" s="2411" t="s">
        <v>6220</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5" outlineLevel="1">
      <c r="A1561" s="2176" t="str">
        <f>A1560</f>
        <v/>
      </c>
      <c r="B1561" s="2255"/>
      <c r="C1561" s="2252"/>
      <c r="D1561" s="2253"/>
      <c r="E1561" s="2261" t="s">
        <v>6132</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ht="15"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ht="15"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ht="15"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ht="15" outlineLevel="1">
      <c r="A1565" s="2176" t="str">
        <f>IF(G1565&lt;&gt;0,1,"")</f>
        <v/>
      </c>
      <c r="B1565" s="2255" t="s">
        <v>2242</v>
      </c>
      <c r="C1565" s="2252"/>
      <c r="D1565" s="2146" t="s">
        <v>5443</v>
      </c>
      <c r="E1565" s="2188" t="s">
        <v>2440</v>
      </c>
      <c r="F1565" s="2146" t="s">
        <v>2439</v>
      </c>
      <c r="G1565" s="2263">
        <f>G1560/2</f>
        <v>0</v>
      </c>
      <c r="H1565" s="2258">
        <v>0</v>
      </c>
      <c r="I1565" s="2353"/>
      <c r="J1565" s="2353" t="s">
        <v>6344</v>
      </c>
      <c r="K1565" s="2353"/>
      <c r="L1565" s="2354">
        <f t="shared" si="288"/>
        <v>0</v>
      </c>
      <c r="M1565" s="2354"/>
      <c r="N1565" s="2353">
        <v>0</v>
      </c>
      <c r="O1565" s="2354"/>
      <c r="P1565" s="2259"/>
      <c r="Q1565" s="2260"/>
      <c r="R1565" s="2260"/>
      <c r="S1565" s="2260"/>
    </row>
    <row r="1566" spans="1:19" s="2099" customFormat="1" ht="15"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5" outlineLevel="1">
      <c r="A1567" s="2176" t="str">
        <f>+A1566</f>
        <v/>
      </c>
      <c r="B1567" s="2412"/>
      <c r="C1567" s="2252"/>
      <c r="D1567" s="2253"/>
      <c r="E1567" s="2261" t="s">
        <v>6132</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ht="15"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ht="15" outlineLevel="1">
      <c r="A1569" s="2176" t="str">
        <f t="shared" si="290"/>
        <v/>
      </c>
      <c r="B1569" s="2246" t="s">
        <v>1508</v>
      </c>
      <c r="C1569" s="2252"/>
      <c r="D1569" s="2146">
        <v>0</v>
      </c>
      <c r="E1569" s="2188" t="s">
        <v>5162</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ht="15"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ht="15"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ht="15"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ht="15" outlineLevel="1">
      <c r="A1573" s="2176" t="str">
        <f t="shared" si="290"/>
        <v/>
      </c>
      <c r="B1573" s="2246" t="s">
        <v>525</v>
      </c>
      <c r="C1573" s="2252"/>
      <c r="D1573" s="2146">
        <v>0</v>
      </c>
      <c r="E1573" s="2188" t="s">
        <v>5251</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ht="15" outlineLevel="1">
      <c r="A1574" s="2176" t="str">
        <f t="shared" si="290"/>
        <v/>
      </c>
      <c r="B1574" s="2246" t="s">
        <v>1585</v>
      </c>
      <c r="C1574" s="2252"/>
      <c r="D1574" s="2146">
        <v>0</v>
      </c>
      <c r="E1574" s="2188" t="s">
        <v>5712</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ht="15" outlineLevel="1">
      <c r="A1575" s="2176">
        <f>IF(G1575=0,0,1)</f>
        <v>0</v>
      </c>
      <c r="B1575" s="2246" t="s">
        <v>794</v>
      </c>
      <c r="C1575" s="2262"/>
      <c r="D1575" s="2146" t="s">
        <v>5335</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ht="15" outlineLevel="1">
      <c r="A1576" s="2176">
        <f>IF(G1576=0,0,1)</f>
        <v>0</v>
      </c>
      <c r="B1576" s="2246" t="s">
        <v>798</v>
      </c>
      <c r="C1576" s="2262"/>
      <c r="D1576" s="2146" t="s">
        <v>5324</v>
      </c>
      <c r="E1576" s="2188" t="s">
        <v>5336</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ht="15" outlineLevel="1">
      <c r="A1577" s="2176">
        <f>IF(G1577=0,0,1)</f>
        <v>0</v>
      </c>
      <c r="B1577" s="2246" t="s">
        <v>902</v>
      </c>
      <c r="C1577" s="2262"/>
      <c r="D1577" s="2146" t="s">
        <v>5350</v>
      </c>
      <c r="E1577" s="2188" t="s">
        <v>5351</v>
      </c>
      <c r="F1577" s="2146" t="s">
        <v>2278</v>
      </c>
      <c r="G1577" s="2383">
        <f>G1569</f>
        <v>0</v>
      </c>
      <c r="H1577" s="2258">
        <v>0</v>
      </c>
      <c r="I1577" s="2258"/>
      <c r="J1577" s="2258" t="s">
        <v>6311</v>
      </c>
      <c r="K1577" s="2258">
        <v>0</v>
      </c>
      <c r="L1577" s="2258">
        <f>H1577*$G1577</f>
        <v>0</v>
      </c>
      <c r="M1577" s="2258">
        <f>I1577*$G1577</f>
        <v>0</v>
      </c>
      <c r="N1577" s="2258">
        <v>0</v>
      </c>
      <c r="O1577" s="2258">
        <f>K1577*$G1577</f>
        <v>0</v>
      </c>
      <c r="P1577" s="2383"/>
      <c r="Q1577" s="2260"/>
      <c r="R1577" s="2260"/>
      <c r="S1577" s="2260"/>
    </row>
    <row r="1578" spans="1:20" s="2099" customFormat="1" ht="15" outlineLevel="1">
      <c r="A1578" s="2176" t="str">
        <f>IF(G1578&lt;&gt;0,1,"")</f>
        <v/>
      </c>
      <c r="B1578" s="2246" t="s">
        <v>1437</v>
      </c>
      <c r="C1578" s="2252"/>
      <c r="D1578" s="2146" t="s">
        <v>5345</v>
      </c>
      <c r="E1578" s="2188" t="s">
        <v>5346</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ht="15" outlineLevel="1">
      <c r="A1579" s="2176" t="str">
        <f>IF(G1579&lt;&gt;0,1,"")</f>
        <v/>
      </c>
      <c r="B1579" s="2255"/>
      <c r="C1579" s="2252">
        <f>IF(G1579&gt;0,C1566+1,C1566)</f>
        <v>0</v>
      </c>
      <c r="D1579" s="2253"/>
      <c r="E1579" s="2256" t="s">
        <v>6221</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5" outlineLevel="1">
      <c r="A1580" s="2176" t="str">
        <f>A1579</f>
        <v/>
      </c>
      <c r="B1580" s="2255"/>
      <c r="C1580" s="2252"/>
      <c r="D1580" s="2253"/>
      <c r="E1580" s="2261" t="s">
        <v>6132</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ht="15" outlineLevel="1">
      <c r="A1581" s="2176" t="str">
        <f>IF(G1581&lt;&gt;0,1,"")</f>
        <v/>
      </c>
      <c r="B1581" s="2255" t="s">
        <v>653</v>
      </c>
      <c r="C1581" s="2262"/>
      <c r="D1581" s="2146">
        <v>0</v>
      </c>
      <c r="E1581" s="2188" t="s">
        <v>5288</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ht="15"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ht="15"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ht="15" outlineLevel="1">
      <c r="A1584" s="2176" t="str">
        <f>IF(G1584&lt;&gt;0,1,"")</f>
        <v/>
      </c>
      <c r="B1584" s="2255" t="s">
        <v>654</v>
      </c>
      <c r="C1584" s="2262"/>
      <c r="D1584" s="2146" t="s">
        <v>5470</v>
      </c>
      <c r="E1584" s="2188" t="s">
        <v>5473</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ht="15" outlineLevel="1">
      <c r="A1585" s="2176" t="str">
        <f>IF(G1585&lt;&gt;0,1,"")</f>
        <v/>
      </c>
      <c r="B1585" s="2255"/>
      <c r="C1585" s="2252">
        <f>IF(G1585&gt;0,C1579+1,C1579)</f>
        <v>0</v>
      </c>
      <c r="D1585" s="2253"/>
      <c r="E1585" s="2370" t="s">
        <v>6208</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5" outlineLevel="1">
      <c r="A1586" s="2176" t="str">
        <f>A1585</f>
        <v/>
      </c>
      <c r="B1586" s="2255"/>
      <c r="C1586" s="2252"/>
      <c r="D1586" s="2253"/>
      <c r="E1586" s="2261" t="s">
        <v>6132</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ht="15" outlineLevel="1">
      <c r="A1587" s="2176" t="str">
        <f>IF(G1587&lt;&gt;0,1,"")</f>
        <v/>
      </c>
      <c r="B1587" s="2255" t="s">
        <v>5644</v>
      </c>
      <c r="C1587" s="2262"/>
      <c r="D1587" s="2146" t="s">
        <v>5632</v>
      </c>
      <c r="E1587" s="2188" t="s">
        <v>6355</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ht="15" outlineLevel="1">
      <c r="A1588" s="2176" t="str">
        <f>IF(G1588&lt;&gt;0,1,"")</f>
        <v/>
      </c>
      <c r="B1588" s="2255" t="s">
        <v>880</v>
      </c>
      <c r="C1588" s="2252"/>
      <c r="D1588" s="2146">
        <v>0</v>
      </c>
      <c r="E1588" s="2188" t="s">
        <v>5798</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ht="15" outlineLevel="1">
      <c r="A1589" s="2176" t="str">
        <f>IF(G1589&lt;&gt;0,1,"")</f>
        <v/>
      </c>
      <c r="B1589" s="2255" t="s">
        <v>289</v>
      </c>
      <c r="C1589" s="2262"/>
      <c r="D1589" s="2146">
        <v>0</v>
      </c>
      <c r="E1589" s="2188" t="s">
        <v>5711</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ht="15" outlineLevel="1">
      <c r="A1590" s="2176" t="str">
        <f>IF(G1590&lt;&gt;0,1,"")</f>
        <v/>
      </c>
      <c r="B1590" s="2255"/>
      <c r="C1590" s="2252">
        <f>IF(G1590&gt;0,C1585+1,C1585)</f>
        <v>0</v>
      </c>
      <c r="D1590" s="2253"/>
      <c r="E1590" s="2254" t="s">
        <v>6162</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5" outlineLevel="1">
      <c r="A1591" s="2176" t="str">
        <f>A1590</f>
        <v/>
      </c>
      <c r="B1591" s="2255"/>
      <c r="C1591" s="2252"/>
      <c r="D1591" s="2253"/>
      <c r="E1591" s="2268" t="s">
        <v>6132</v>
      </c>
      <c r="F1591" s="2252"/>
      <c r="G1591" s="2257"/>
      <c r="H1591" s="2258"/>
      <c r="I1591" s="2258"/>
      <c r="J1591" s="2258"/>
      <c r="K1591" s="2258"/>
      <c r="L1591" s="2258"/>
      <c r="M1591" s="2258"/>
      <c r="N1591" s="2258"/>
      <c r="O1591" s="2258"/>
      <c r="P1591" s="2383"/>
      <c r="Q1591" s="2260"/>
      <c r="R1591" s="2260"/>
      <c r="S1591" s="2260"/>
    </row>
    <row r="1592" spans="1:19" s="2099" customFormat="1" ht="15" outlineLevel="1">
      <c r="A1592" s="2176" t="str">
        <f>IF(G1592&lt;&gt;0,1,"")</f>
        <v/>
      </c>
      <c r="B1592" s="2246" t="s">
        <v>697</v>
      </c>
      <c r="C1592" s="2262"/>
      <c r="D1592" s="2146">
        <v>0</v>
      </c>
      <c r="E1592" s="2188" t="s">
        <v>5086</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ht="15"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ht="15" outlineLevel="1">
      <c r="A1594" s="2176" t="str">
        <f t="shared" si="299"/>
        <v/>
      </c>
      <c r="B1594" s="2351" t="s">
        <v>1477</v>
      </c>
      <c r="C1594" s="2262"/>
      <c r="D1594" s="2146">
        <v>0</v>
      </c>
      <c r="E1594" s="2188" t="s">
        <v>4334</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ht="15" outlineLevel="1">
      <c r="A1595" s="2176" t="str">
        <f>IF(G1595&lt;&gt;0,1,"")</f>
        <v/>
      </c>
      <c r="B1595" s="2351" t="s">
        <v>5698</v>
      </c>
      <c r="C1595" s="2262"/>
      <c r="D1595" s="2146">
        <v>0</v>
      </c>
      <c r="E1595" s="2188" t="s">
        <v>5699</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ht="15" outlineLevel="1">
      <c r="A1596" s="2176" t="str">
        <f>IF(G1596&lt;&gt;0,1,"")</f>
        <v/>
      </c>
      <c r="B1596" s="2351" t="s">
        <v>5704</v>
      </c>
      <c r="C1596" s="2262"/>
      <c r="D1596" s="2146">
        <v>0</v>
      </c>
      <c r="E1596" s="2188" t="s">
        <v>5705</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ht="15" outlineLevel="1">
      <c r="A1597" s="2176" t="str">
        <f>IF(G1597&lt;&gt;0,1,"")</f>
        <v/>
      </c>
      <c r="B1597" s="2351" t="s">
        <v>5706</v>
      </c>
      <c r="C1597" s="2262"/>
      <c r="D1597" s="2146">
        <v>0</v>
      </c>
      <c r="E1597" s="2188" t="s">
        <v>5707</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ht="15"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ht="15"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ht="15" outlineLevel="1">
      <c r="A1600" s="2176" t="str">
        <f t="shared" si="299"/>
        <v/>
      </c>
      <c r="B1600" s="2246" t="s">
        <v>1565</v>
      </c>
      <c r="C1600" s="2262"/>
      <c r="D1600" s="2146" t="s">
        <v>5559</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ht="15" outlineLevel="1">
      <c r="A1601" s="2176" t="str">
        <f t="shared" si="299"/>
        <v/>
      </c>
      <c r="B1601" s="2246" t="s">
        <v>1525</v>
      </c>
      <c r="C1601" s="2262"/>
      <c r="D1601" s="2146" t="s">
        <v>5570</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ht="15"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5" outlineLevel="1">
      <c r="A1603" s="2176" t="str">
        <f>A1602</f>
        <v/>
      </c>
      <c r="B1603" s="2255"/>
      <c r="C1603" s="2252"/>
      <c r="D1603" s="2253"/>
      <c r="E1603" s="2268" t="s">
        <v>6132</v>
      </c>
      <c r="F1603" s="2252"/>
      <c r="G1603" s="2257"/>
      <c r="H1603" s="2258"/>
      <c r="I1603" s="2258"/>
      <c r="J1603" s="2258"/>
      <c r="K1603" s="2258"/>
      <c r="L1603" s="2258"/>
      <c r="M1603" s="2258"/>
      <c r="N1603" s="2258"/>
      <c r="O1603" s="2258"/>
      <c r="P1603" s="2259"/>
      <c r="Q1603" s="2260"/>
      <c r="R1603" s="2260"/>
      <c r="S1603" s="2260"/>
    </row>
    <row r="1604" spans="1:19" s="2099" customFormat="1" ht="15"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ht="15" outlineLevel="1">
      <c r="A1605" s="2176" t="str">
        <f>IF(G1605&lt;&gt;0,1,"")</f>
        <v/>
      </c>
      <c r="B1605" s="2255" t="s">
        <v>86</v>
      </c>
      <c r="C1605" s="2262"/>
      <c r="D1605" s="2146">
        <v>0</v>
      </c>
      <c r="E1605" s="2188" t="s">
        <v>5796</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ht="15"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ht="15"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ht="15"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5" outlineLevel="1">
      <c r="A1609" s="2176" t="str">
        <f>A1608</f>
        <v/>
      </c>
      <c r="B1609" s="2246"/>
      <c r="C1609" s="2252"/>
      <c r="D1609" s="2253"/>
      <c r="E1609" s="2268" t="s">
        <v>6132</v>
      </c>
      <c r="F1609" s="2252"/>
      <c r="G1609" s="2263"/>
      <c r="H1609" s="2258"/>
      <c r="I1609" s="2258"/>
      <c r="J1609" s="2258"/>
      <c r="K1609" s="2258"/>
      <c r="L1609" s="2258"/>
      <c r="M1609" s="2258"/>
      <c r="N1609" s="2258"/>
      <c r="O1609" s="2258"/>
      <c r="P1609" s="2383"/>
      <c r="Q1609" s="2260"/>
      <c r="R1609" s="2260"/>
      <c r="S1609" s="2260"/>
    </row>
    <row r="1610" spans="1:19" s="2099" customFormat="1" ht="15"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ht="15"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ht="15"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ht="15" outlineLevel="1">
      <c r="A1613" s="2176" t="str">
        <f t="shared" si="301"/>
        <v/>
      </c>
      <c r="B1613" s="2255" t="s">
        <v>449</v>
      </c>
      <c r="C1613" s="2262"/>
      <c r="D1613" s="2146" t="s">
        <v>5731</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ht="15" outlineLevel="1">
      <c r="A1614" s="2176" t="str">
        <f t="shared" si="301"/>
        <v/>
      </c>
      <c r="B1614" s="2255" t="s">
        <v>2155</v>
      </c>
      <c r="C1614" s="2262"/>
      <c r="D1614" s="2146" t="s">
        <v>5728</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ht="15"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ht="15"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ht="15"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ht="15" outlineLevel="1">
      <c r="A1618" s="2176" t="str">
        <f t="shared" si="301"/>
        <v/>
      </c>
      <c r="B1618" s="2246" t="s">
        <v>731</v>
      </c>
      <c r="C1618" s="2262"/>
      <c r="D1618" s="2146">
        <v>0</v>
      </c>
      <c r="E1618" s="2188" t="s">
        <v>5257</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ht="15"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ht="15"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ht="15"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ht="15" outlineLevel="1">
      <c r="A1622" s="2176" t="str">
        <f t="shared" si="301"/>
        <v/>
      </c>
      <c r="B1622" s="2246" t="s">
        <v>6</v>
      </c>
      <c r="C1622" s="2262"/>
      <c r="D1622" s="2146"/>
      <c r="E1622" s="2188" t="s">
        <v>3567</v>
      </c>
      <c r="F1622" s="2146" t="s">
        <v>5805</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ht="15"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ht="15" outlineLevel="1">
      <c r="A1624" s="2176" t="str">
        <f t="shared" si="301"/>
        <v/>
      </c>
      <c r="B1624" s="2246" t="s">
        <v>672</v>
      </c>
      <c r="C1624" s="2262"/>
      <c r="D1624" s="2146">
        <v>0</v>
      </c>
      <c r="E1624" s="2188" t="s">
        <v>6356</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ht="15" outlineLevel="1">
      <c r="A1625" s="2176" t="str">
        <f t="shared" si="301"/>
        <v/>
      </c>
      <c r="B1625" s="2246" t="s">
        <v>247</v>
      </c>
      <c r="C1625" s="2262"/>
      <c r="D1625" s="2146" t="s">
        <v>5572</v>
      </c>
      <c r="E1625" s="2188" t="s">
        <v>5573</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ht="15" outlineLevel="1">
      <c r="A1626" s="2176">
        <f>A1506</f>
        <v>0</v>
      </c>
      <c r="B1626" s="2351"/>
      <c r="C1626" s="2417"/>
      <c r="D1626" s="2418"/>
      <c r="E1626" s="2393"/>
      <c r="F1626" s="2631"/>
      <c r="G1626" s="2632"/>
      <c r="H1626" s="2631"/>
      <c r="I1626" s="2631"/>
      <c r="J1626" s="2641" t="s">
        <v>6130</v>
      </c>
      <c r="K1626" s="2641"/>
      <c r="L1626" s="2419">
        <f>SUM(L1521:L1625)</f>
        <v>0</v>
      </c>
      <c r="M1626" s="2419">
        <f>SUM(M1522:M1625)</f>
        <v>0</v>
      </c>
      <c r="N1626" s="2419">
        <f>SUM(N1522:N1625)</f>
        <v>0</v>
      </c>
      <c r="O1626" s="2419">
        <f>SUM(O1522:O1625)</f>
        <v>0</v>
      </c>
      <c r="P1626" s="2390"/>
      <c r="Q1626" s="2260"/>
      <c r="R1626" s="2260"/>
      <c r="S1626" s="2260"/>
    </row>
    <row r="1627" spans="1:19" s="2099" customFormat="1" ht="13.9"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ht="15"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ht="15" outlineLevel="1">
      <c r="A1629" s="2176">
        <f>A1627</f>
        <v>0</v>
      </c>
      <c r="B1629" s="2255" t="s">
        <v>6111</v>
      </c>
      <c r="C1629" s="2642" t="s">
        <v>1708</v>
      </c>
      <c r="D1629" s="2643" t="s">
        <v>2597</v>
      </c>
      <c r="E1629" s="2645" t="s">
        <v>2598</v>
      </c>
      <c r="F1629" s="2642" t="s">
        <v>2593</v>
      </c>
      <c r="G1629" s="2103" t="s">
        <v>6112</v>
      </c>
      <c r="H1629" s="2106" t="s">
        <v>6113</v>
      </c>
      <c r="I1629" s="2613"/>
      <c r="J1629" s="2613"/>
      <c r="K1629" s="2614"/>
      <c r="L1629" s="2106" t="s">
        <v>6114</v>
      </c>
      <c r="M1629" s="2613"/>
      <c r="N1629" s="2613"/>
      <c r="O1629" s="2614"/>
      <c r="P1629" s="2527" t="s">
        <v>2599</v>
      </c>
      <c r="Q1629" s="2260"/>
      <c r="R1629" s="2260"/>
      <c r="S1629" s="2260"/>
    </row>
    <row r="1630" spans="1:19" s="2099" customFormat="1" ht="15" outlineLevel="1">
      <c r="A1630" s="2176">
        <f>A1629</f>
        <v>0</v>
      </c>
      <c r="B1630" s="2255"/>
      <c r="C1630" s="2642"/>
      <c r="D1630" s="2644"/>
      <c r="E1630" s="2646"/>
      <c r="F1630" s="2642"/>
      <c r="G1630" s="2105" t="s">
        <v>2286</v>
      </c>
      <c r="H1630" s="2106" t="s">
        <v>6115</v>
      </c>
      <c r="I1630" s="2106" t="s">
        <v>6116</v>
      </c>
      <c r="J1630" s="2106" t="s">
        <v>6117</v>
      </c>
      <c r="K1630" s="2106" t="s">
        <v>6118</v>
      </c>
      <c r="L1630" s="2106" t="s">
        <v>6115</v>
      </c>
      <c r="M1630" s="2106" t="s">
        <v>6116</v>
      </c>
      <c r="N1630" s="2106" t="s">
        <v>6117</v>
      </c>
      <c r="O1630" s="2106" t="s">
        <v>6118</v>
      </c>
      <c r="P1630" s="2527"/>
      <c r="Q1630" s="2260"/>
      <c r="R1630" s="2260"/>
      <c r="S1630" s="2260"/>
    </row>
    <row r="1631" spans="1:19" s="2099" customFormat="1" ht="15"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ht="15" outlineLevel="1">
      <c r="A1632" s="2176" t="str">
        <f t="shared" ref="A1632:A1643" si="306">IF(G1632&lt;&gt;0,1,"")</f>
        <v/>
      </c>
      <c r="B1632" s="2246" t="s">
        <v>1279</v>
      </c>
      <c r="C1632" s="2262">
        <f>IF(G1632&gt;0,1,0)</f>
        <v>0</v>
      </c>
      <c r="D1632" s="2146" t="s">
        <v>5593</v>
      </c>
      <c r="E1632" s="2449" t="s">
        <v>6357</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30" outlineLevel="1">
      <c r="A1633" s="2176" t="str">
        <f t="shared" si="306"/>
        <v/>
      </c>
      <c r="B1633" s="2112" t="s">
        <v>5630</v>
      </c>
      <c r="C1633" s="2262">
        <f t="shared" ref="C1633:C1643" si="311">IF(G1633&gt;0,C1632+1,C1632)</f>
        <v>0</v>
      </c>
      <c r="D1633" s="2146" t="s">
        <v>5628</v>
      </c>
      <c r="E1633" s="2449" t="s">
        <v>5631</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ht="15" outlineLevel="1">
      <c r="A1634" s="2176" t="str">
        <f t="shared" si="306"/>
        <v/>
      </c>
      <c r="B1634" s="2112" t="str">
        <f>"FCO200-"&amp;$F$8</f>
        <v>FCO200-22</v>
      </c>
      <c r="C1634" s="2262">
        <f>IF(G1634&gt;0,C1633+1,C1633)</f>
        <v>0</v>
      </c>
      <c r="D1634" s="2146" t="s">
        <v>5597</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6234</v>
      </c>
      <c r="Q1634" s="2260"/>
      <c r="R1634" s="2260"/>
      <c r="S1634" s="2260"/>
    </row>
    <row r="1635" spans="1:19" s="2099" customFormat="1" ht="15"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ht="15" outlineLevel="1">
      <c r="A1636" s="2176" t="str">
        <f t="shared" si="306"/>
        <v/>
      </c>
      <c r="B1636" s="2255" t="str">
        <f>"LA"&amp;$F$6</f>
        <v>LA18</v>
      </c>
      <c r="C1636" s="2262">
        <f t="shared" si="311"/>
        <v>0</v>
      </c>
      <c r="D1636" s="2146" t="s">
        <v>5601</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ht="15" outlineLevel="1">
      <c r="A1637" s="2176" t="str">
        <f t="shared" si="306"/>
        <v/>
      </c>
      <c r="B1637" s="2255" t="str">
        <f>"LA"&amp;$F$6</f>
        <v>LA18</v>
      </c>
      <c r="C1637" s="2262">
        <f t="shared" si="311"/>
        <v>0</v>
      </c>
      <c r="D1637" s="2146" t="s">
        <v>5601</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6234</v>
      </c>
      <c r="Q1637" s="2260"/>
      <c r="R1637" s="2260"/>
      <c r="S1637" s="2260"/>
    </row>
    <row r="1638" spans="1:19" s="2099" customFormat="1" ht="15" outlineLevel="1">
      <c r="A1638" s="2176" t="str">
        <f t="shared" si="306"/>
        <v/>
      </c>
      <c r="B1638" s="2351" t="s">
        <v>5690</v>
      </c>
      <c r="C1638" s="2262">
        <f t="shared" si="311"/>
        <v>0</v>
      </c>
      <c r="D1638" s="2146" t="s">
        <v>5687</v>
      </c>
      <c r="E1638" s="2188" t="s">
        <v>5691</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ht="15" outlineLevel="1">
      <c r="A1639" s="2176" t="str">
        <f t="shared" si="306"/>
        <v/>
      </c>
      <c r="B1639" s="2351" t="s">
        <v>953</v>
      </c>
      <c r="C1639" s="2262">
        <f t="shared" si="311"/>
        <v>0</v>
      </c>
      <c r="D1639" s="2146" t="s">
        <v>5684</v>
      </c>
      <c r="E1639" s="2188" t="s">
        <v>5685</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ht="15" outlineLevel="1">
      <c r="A1640" s="2176" t="str">
        <f t="shared" si="306"/>
        <v/>
      </c>
      <c r="B1640" s="2351" t="s">
        <v>6235</v>
      </c>
      <c r="C1640" s="2262">
        <f t="shared" si="311"/>
        <v>0</v>
      </c>
      <c r="D1640" s="2146" t="s">
        <v>5612</v>
      </c>
      <c r="E1640" s="2188" t="s">
        <v>5613</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ht="15"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ht="15" outlineLevel="1">
      <c r="A1642" s="2176" t="str">
        <f t="shared" si="306"/>
        <v/>
      </c>
      <c r="B1642" s="2243" t="s">
        <v>2187</v>
      </c>
      <c r="C1642" s="2262">
        <f t="shared" si="311"/>
        <v>0</v>
      </c>
      <c r="D1642" s="2146">
        <v>0</v>
      </c>
      <c r="E1642" s="2188" t="s">
        <v>5610</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ht="15"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6120</v>
      </c>
      <c r="K1644" s="2302"/>
      <c r="L1644" s="2304">
        <f>SUM(L1632:L1643)</f>
        <v>0</v>
      </c>
      <c r="M1644" s="2304">
        <f>SUM(M1632:M1643)</f>
        <v>0</v>
      </c>
      <c r="N1644" s="2304">
        <f>SUM(N1632:N1643)</f>
        <v>0</v>
      </c>
      <c r="O1644" s="2304">
        <f>SUM(O1632:O1643)</f>
        <v>0</v>
      </c>
      <c r="P1644" s="2454"/>
    </row>
    <row r="1645" spans="1:19" s="2099" customFormat="1" ht="15"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ht="15" outlineLevel="1">
      <c r="A1646" s="2176" t="str">
        <f t="shared" ref="A1646:A1664" si="312">IF(G1646&lt;&gt;0,1,"")</f>
        <v/>
      </c>
      <c r="B1646" s="2395"/>
      <c r="C1646" s="2396">
        <f>IF(G1646&gt;0,1,0)</f>
        <v>0</v>
      </c>
      <c r="D1646" s="2146"/>
      <c r="E1646" s="2397" t="s">
        <v>6121</v>
      </c>
      <c r="F1646" s="2398" t="s">
        <v>2277</v>
      </c>
      <c r="G1646" s="2455"/>
      <c r="H1646" s="2398"/>
      <c r="I1646" s="2398"/>
      <c r="J1646" s="2398"/>
      <c r="K1646" s="2398"/>
      <c r="L1646" s="2399"/>
      <c r="M1646" s="2399"/>
      <c r="N1646" s="2399"/>
      <c r="O1646" s="2400"/>
      <c r="P1646" s="2383"/>
      <c r="Q1646" s="2260"/>
      <c r="R1646" s="2260"/>
      <c r="S1646" s="2260"/>
    </row>
    <row r="1647" spans="1:19" s="2099" customFormat="1" ht="15"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ht="15"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ht="15"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ht="15" outlineLevel="1">
      <c r="A1650" s="2176" t="str">
        <f t="shared" si="312"/>
        <v/>
      </c>
      <c r="B1650" s="2395"/>
      <c r="C1650" s="2396">
        <f>IF(G1650&gt;0,1,0)</f>
        <v>0</v>
      </c>
      <c r="D1650" s="2146"/>
      <c r="E1650" s="2397" t="s">
        <v>6216</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ht="15"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ht="15"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ht="15"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ht="15"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ht="15" outlineLevel="1">
      <c r="A1655" s="2176" t="str">
        <f t="shared" si="312"/>
        <v/>
      </c>
      <c r="B1655" s="2351" t="s">
        <v>636</v>
      </c>
      <c r="C1655" s="2401"/>
      <c r="D1655" s="2146" t="s">
        <v>5046</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ht="15" outlineLevel="1">
      <c r="A1656" s="2176" t="str">
        <f t="shared" si="312"/>
        <v/>
      </c>
      <c r="B1656" s="2351" t="s">
        <v>566</v>
      </c>
      <c r="C1656" s="2401"/>
      <c r="D1656" s="2146"/>
      <c r="E1656" s="2402" t="s">
        <v>5071</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ht="15" outlineLevel="1">
      <c r="A1657" s="2176" t="str">
        <f t="shared" si="312"/>
        <v/>
      </c>
      <c r="B1657" s="2351" t="s">
        <v>639</v>
      </c>
      <c r="C1657" s="2401"/>
      <c r="D1657" s="2146" t="s">
        <v>1747</v>
      </c>
      <c r="E1657" s="2402" t="s">
        <v>5323</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ht="15" outlineLevel="1">
      <c r="A1658" s="2176" t="str">
        <f t="shared" si="312"/>
        <v/>
      </c>
      <c r="B1658" s="2351" t="s">
        <v>21</v>
      </c>
      <c r="C1658" s="2401"/>
      <c r="D1658" s="2146" t="s">
        <v>5324</v>
      </c>
      <c r="E1658" s="2402" t="s">
        <v>5325</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ht="15"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ht="15" outlineLevel="1">
      <c r="A1660" s="2176" t="str">
        <f t="shared" si="312"/>
        <v/>
      </c>
      <c r="B1660" s="2351" t="s">
        <v>636</v>
      </c>
      <c r="C1660" s="2401"/>
      <c r="D1660" s="2146" t="s">
        <v>5046</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ht="15" outlineLevel="1">
      <c r="A1661" s="2176" t="str">
        <f t="shared" si="312"/>
        <v/>
      </c>
      <c r="B1661" s="2351" t="s">
        <v>566</v>
      </c>
      <c r="C1661" s="2401"/>
      <c r="D1661" s="2146"/>
      <c r="E1661" s="2402" t="s">
        <v>5071</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ht="15" outlineLevel="1">
      <c r="A1662" s="2176" t="str">
        <f t="shared" si="312"/>
        <v/>
      </c>
      <c r="B1662" s="2351" t="s">
        <v>639</v>
      </c>
      <c r="C1662" s="2401"/>
      <c r="D1662" s="2146" t="s">
        <v>1747</v>
      </c>
      <c r="E1662" s="2402" t="s">
        <v>5323</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ht="15" outlineLevel="1">
      <c r="A1663" s="2176" t="str">
        <f t="shared" si="312"/>
        <v/>
      </c>
      <c r="B1663" s="2351" t="s">
        <v>21</v>
      </c>
      <c r="C1663" s="2401"/>
      <c r="D1663" s="2146" t="s">
        <v>5324</v>
      </c>
      <c r="E1663" s="2402" t="s">
        <v>5325</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ht="15"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5" outlineLevel="1">
      <c r="A1665" s="2176" t="str">
        <f>A1664</f>
        <v/>
      </c>
      <c r="B1665" s="2255"/>
      <c r="C1665" s="2252"/>
      <c r="D1665" s="2408"/>
      <c r="E1665" s="2261" t="s">
        <v>6132</v>
      </c>
      <c r="F1665" s="2262"/>
      <c r="G1665" s="2444"/>
      <c r="H1665" s="2409"/>
      <c r="I1665" s="2409"/>
      <c r="J1665" s="2409"/>
      <c r="K1665" s="2409"/>
      <c r="L1665" s="2409"/>
      <c r="M1665" s="2409"/>
      <c r="N1665" s="2409"/>
      <c r="O1665" s="2409"/>
      <c r="P1665" s="2443"/>
      <c r="Q1665" s="2260"/>
      <c r="R1665" s="2260"/>
      <c r="S1665" s="2260"/>
    </row>
    <row r="1666" spans="1:16383" s="2099" customFormat="1" ht="15" outlineLevel="1">
      <c r="A1666" s="2176" t="str">
        <f t="shared" ref="A1666:A1671" si="313">IF(G1666&lt;&gt;0,1,"")</f>
        <v/>
      </c>
      <c r="B1666" s="2246" t="s">
        <v>1408</v>
      </c>
      <c r="C1666" s="2252"/>
      <c r="D1666" s="2146">
        <v>0</v>
      </c>
      <c r="E1666" s="2188" t="s">
        <v>6352</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ht="15" outlineLevel="1">
      <c r="A1667" s="2176" t="str">
        <f t="shared" si="313"/>
        <v/>
      </c>
      <c r="B1667" s="2246" t="s">
        <v>1137</v>
      </c>
      <c r="C1667" s="2252"/>
      <c r="D1667" s="2146">
        <v>0</v>
      </c>
      <c r="E1667" s="2188" t="s">
        <v>6338</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ht="15" outlineLevel="1">
      <c r="A1668" s="2176" t="str">
        <f t="shared" si="313"/>
        <v/>
      </c>
      <c r="B1668" s="2246" t="s">
        <v>1138</v>
      </c>
      <c r="C1668" s="2252"/>
      <c r="D1668" s="2146">
        <v>0</v>
      </c>
      <c r="E1668" s="2188" t="s">
        <v>6339</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ht="15"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ht="15"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ht="15"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ht="15" outlineLevel="1">
      <c r="A1672" s="2176" t="str">
        <f>IF(G1672&lt;&gt;0,1,"")</f>
        <v/>
      </c>
      <c r="B1672" s="2115" t="s">
        <v>5424</v>
      </c>
      <c r="C1672" s="2252"/>
      <c r="D1672" s="2146" t="s">
        <v>5425</v>
      </c>
      <c r="E1672" s="2188" t="s">
        <v>5426</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ht="15" outlineLevel="1">
      <c r="A1673" s="2176" t="str">
        <f>IF(G1673&lt;&gt;0,1,"")</f>
        <v/>
      </c>
      <c r="B1673" s="2255"/>
      <c r="C1673" s="2457">
        <f>IF(G1673&gt;0,C1664+1,C1664)</f>
        <v>0</v>
      </c>
      <c r="D1673" s="2458"/>
      <c r="E1673" s="2459" t="s">
        <v>6236</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5" outlineLevel="1">
      <c r="A1674" s="2176" t="str">
        <f>A1673</f>
        <v/>
      </c>
      <c r="B1674" s="2255"/>
      <c r="C1674" s="2252"/>
      <c r="D1674" s="2253"/>
      <c r="E1674" s="2261" t="s">
        <v>6132</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ht="15" outlineLevel="1">
      <c r="A1675" s="2176" t="str">
        <f>IF(G1675&lt;&gt;0,1,"")</f>
        <v/>
      </c>
      <c r="B1675" s="2127" t="s">
        <v>5154</v>
      </c>
      <c r="C1675" s="2252"/>
      <c r="D1675" s="2146">
        <v>0</v>
      </c>
      <c r="E1675" s="2188" t="s">
        <v>5155</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ht="15" outlineLevel="1">
      <c r="A1676" s="2176"/>
      <c r="B1676" s="2127" t="s">
        <v>5157</v>
      </c>
      <c r="C1676" s="2252"/>
      <c r="D1676" s="2146">
        <v>0</v>
      </c>
      <c r="E1676" s="2188" t="s">
        <v>5158</v>
      </c>
      <c r="F1676" s="2146" t="s">
        <v>5159</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ht="15" outlineLevel="1">
      <c r="A1677" s="2176" t="str">
        <f>IF(G1677&lt;&gt;0,1,"")</f>
        <v/>
      </c>
      <c r="B1677" s="2124" t="s">
        <v>488</v>
      </c>
      <c r="C1677" s="2252"/>
      <c r="D1677" s="2146">
        <v>0</v>
      </c>
      <c r="E1677" s="2188" t="s">
        <v>5077</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ht="15"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ht="15" outlineLevel="1">
      <c r="A1679" s="2176" t="str">
        <f>IF(G1679&lt;&gt;0,1,"")</f>
        <v/>
      </c>
      <c r="B1679" s="2467" t="s">
        <v>5371</v>
      </c>
      <c r="C1679" s="2252"/>
      <c r="D1679" s="2146" t="s">
        <v>5147</v>
      </c>
      <c r="E1679" s="2188" t="s">
        <v>5372</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ht="15"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5" outlineLevel="1">
      <c r="A1681" s="2176" t="str">
        <f>A1680</f>
        <v/>
      </c>
      <c r="B1681" s="2255"/>
      <c r="C1681" s="2252"/>
      <c r="D1681" s="2253"/>
      <c r="E1681" s="2261" t="s">
        <v>6132</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ht="15" outlineLevel="1">
      <c r="A1682" s="2176" t="str">
        <f t="shared" ref="A1682:A1688" si="320">IF(G1682&lt;&gt;0,1,"")</f>
        <v/>
      </c>
      <c r="B1682" s="2255" t="s">
        <v>6237</v>
      </c>
      <c r="C1682" s="2252"/>
      <c r="D1682" s="2146">
        <v>0</v>
      </c>
      <c r="E1682" s="2188" t="s">
        <v>5238</v>
      </c>
      <c r="F1682" s="2146" t="s">
        <v>5173</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ht="15" outlineLevel="1">
      <c r="A1683" s="2176" t="str">
        <f t="shared" si="320"/>
        <v/>
      </c>
      <c r="B1683" s="2467" t="s">
        <v>5227</v>
      </c>
      <c r="C1683" s="2252"/>
      <c r="D1683" s="2146">
        <v>0</v>
      </c>
      <c r="E1683" s="2188" t="s">
        <v>6358</v>
      </c>
      <c r="F1683" s="2146" t="s">
        <v>5173</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ht="15"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ht="15"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ht="15"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ht="15" outlineLevel="1">
      <c r="A1687" s="2176" t="str">
        <f t="shared" si="320"/>
        <v/>
      </c>
      <c r="B1687" s="2243" t="s">
        <v>516</v>
      </c>
      <c r="C1687" s="2252"/>
      <c r="D1687" s="2146" t="s">
        <v>5420</v>
      </c>
      <c r="E1687" s="2188" t="s">
        <v>5421</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ht="15" outlineLevel="1">
      <c r="A1688" s="2468" t="str">
        <f t="shared" si="320"/>
        <v/>
      </c>
      <c r="B1688" s="2469"/>
      <c r="C1688" s="2457">
        <f>IF(G1688&gt;0,C1680+1,C1680)</f>
        <v>0</v>
      </c>
      <c r="D1688" s="2458"/>
      <c r="E1688" s="2459" t="s">
        <v>6238</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5" outlineLevel="1">
      <c r="A1689" s="2176" t="str">
        <f>A1688</f>
        <v/>
      </c>
      <c r="B1689" s="2255"/>
      <c r="C1689" s="2252"/>
      <c r="D1689" s="2253"/>
      <c r="E1689" s="2261" t="s">
        <v>6132</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ht="15" outlineLevel="1">
      <c r="A1690" s="2176" t="str">
        <f t="shared" ref="A1690:A1696" si="322">IF(G1690&lt;&gt;0,1,"")</f>
        <v/>
      </c>
      <c r="B1690" s="2255" t="s">
        <v>6237</v>
      </c>
      <c r="C1690" s="2252"/>
      <c r="D1690" s="2146">
        <v>0</v>
      </c>
      <c r="E1690" s="2188" t="s">
        <v>5238</v>
      </c>
      <c r="F1690" s="2146" t="s">
        <v>5173</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ht="15" outlineLevel="1">
      <c r="A1691" s="2176" t="str">
        <f t="shared" si="322"/>
        <v/>
      </c>
      <c r="B1691" s="2467" t="s">
        <v>5227</v>
      </c>
      <c r="C1691" s="2252"/>
      <c r="D1691" s="2146">
        <v>0</v>
      </c>
      <c r="E1691" s="2188" t="s">
        <v>6358</v>
      </c>
      <c r="F1691" s="2146" t="s">
        <v>5173</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ht="15"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ht="15"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ht="15"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ht="15" outlineLevel="1">
      <c r="A1695" s="2176" t="str">
        <f t="shared" si="322"/>
        <v/>
      </c>
      <c r="B1695" s="2255" t="s">
        <v>988</v>
      </c>
      <c r="C1695" s="2252"/>
      <c r="D1695" s="2146">
        <v>0</v>
      </c>
      <c r="E1695" s="2188" t="s">
        <v>5269</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ht="15" outlineLevel="1">
      <c r="A1696" s="2176" t="str">
        <f t="shared" si="322"/>
        <v/>
      </c>
      <c r="B1696" s="2255" t="s">
        <v>1440</v>
      </c>
      <c r="C1696" s="2252"/>
      <c r="D1696" s="2146" t="s">
        <v>5420</v>
      </c>
      <c r="E1696" s="2188" t="s">
        <v>5421</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ht="15" outlineLevel="1">
      <c r="A1697" s="2176" t="str">
        <f>IF(G1697&lt;&gt;0,1,"")</f>
        <v/>
      </c>
      <c r="B1697" s="2255"/>
      <c r="C1697" s="2457">
        <f>IF(G1697&gt;0,C1688+1,C1688)</f>
        <v>0</v>
      </c>
      <c r="D1697" s="2458"/>
      <c r="E1697" s="2459" t="s">
        <v>6239</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5" outlineLevel="1">
      <c r="A1698" s="2176" t="str">
        <f>A1697</f>
        <v/>
      </c>
      <c r="B1698" s="2255"/>
      <c r="C1698" s="2252"/>
      <c r="D1698" s="2253"/>
      <c r="E1698" s="2261" t="s">
        <v>6132</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ht="15" outlineLevel="1">
      <c r="A1699" s="2176" t="str">
        <f t="shared" ref="A1699:A1705" si="326">IF(G1699&lt;&gt;0,1,"")</f>
        <v/>
      </c>
      <c r="B1699" s="2467" t="s">
        <v>5235</v>
      </c>
      <c r="C1699" s="2252"/>
      <c r="D1699" s="2146">
        <v>0</v>
      </c>
      <c r="E1699" s="2188" t="s">
        <v>5236</v>
      </c>
      <c r="F1699" s="2146" t="s">
        <v>5173</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ht="15" outlineLevel="1">
      <c r="A1700" s="2176" t="str">
        <f t="shared" si="326"/>
        <v/>
      </c>
      <c r="B1700" s="2467" t="s">
        <v>5227</v>
      </c>
      <c r="C1700" s="2252"/>
      <c r="D1700" s="2146">
        <v>0</v>
      </c>
      <c r="E1700" s="2188" t="s">
        <v>5228</v>
      </c>
      <c r="F1700" s="2146" t="s">
        <v>5173</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ht="15"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ht="15"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ht="15"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ht="15" outlineLevel="1">
      <c r="A1704" s="2176" t="str">
        <f t="shared" si="326"/>
        <v/>
      </c>
      <c r="B1704" s="2467" t="s">
        <v>5406</v>
      </c>
      <c r="C1704" s="2252"/>
      <c r="D1704" s="2146" t="s">
        <v>5398</v>
      </c>
      <c r="E1704" s="2188" t="s">
        <v>5407</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ht="15" outlineLevel="1">
      <c r="A1705" s="2176" t="str">
        <f t="shared" si="326"/>
        <v/>
      </c>
      <c r="B1705" s="2255"/>
      <c r="C1705" s="2252">
        <f>IF(G1705&gt;0,C1697+1,C1697)</f>
        <v>0</v>
      </c>
      <c r="D1705" s="2253"/>
      <c r="E1705" s="2411" t="s">
        <v>6218</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5" outlineLevel="1">
      <c r="A1706" s="2176" t="str">
        <f>A1705</f>
        <v/>
      </c>
      <c r="B1706" s="2255"/>
      <c r="C1706" s="2252"/>
      <c r="D1706" s="2253"/>
      <c r="E1706" s="2261" t="s">
        <v>6132</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ht="15" outlineLevel="1">
      <c r="A1707" s="2176" t="str">
        <f>IF(G1707&lt;&gt;0,1,"")</f>
        <v/>
      </c>
      <c r="B1707" s="2127" t="s">
        <v>5154</v>
      </c>
      <c r="C1707" s="2252"/>
      <c r="D1707" s="2146">
        <v>0</v>
      </c>
      <c r="E1707" s="2188" t="s">
        <v>5155</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ht="15" outlineLevel="1">
      <c r="A1708" s="2176" t="str">
        <f>IF(G1708&lt;&gt;0,1,"")</f>
        <v/>
      </c>
      <c r="B1708" s="2124" t="s">
        <v>488</v>
      </c>
      <c r="C1708" s="2252"/>
      <c r="D1708" s="2146">
        <v>0</v>
      </c>
      <c r="E1708" s="2188" t="s">
        <v>5077</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ht="15"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ht="15" outlineLevel="1">
      <c r="A1710" s="2176" t="str">
        <f>IF(G1710&lt;&gt;0,1,"")</f>
        <v/>
      </c>
      <c r="B1710" s="2115" t="s">
        <v>6240</v>
      </c>
      <c r="C1710" s="2252"/>
      <c r="D1710" s="2146" t="s">
        <v>5147</v>
      </c>
      <c r="E1710" s="2188" t="s">
        <v>5376</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ht="15" outlineLevel="1">
      <c r="A1711" s="2176" t="str">
        <f>IF(G1711&lt;&gt;0,1,"")</f>
        <v/>
      </c>
      <c r="B1711" s="2255"/>
      <c r="C1711" s="2252">
        <f>IF(G1711&gt;0,C1705+1,C1705)</f>
        <v>0</v>
      </c>
      <c r="D1711" s="2253"/>
      <c r="E1711" s="2411" t="s">
        <v>4451</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5" outlineLevel="1">
      <c r="A1712" s="2176" t="str">
        <f>A1711</f>
        <v/>
      </c>
      <c r="B1712" s="2255"/>
      <c r="C1712" s="2252"/>
      <c r="D1712" s="2253"/>
      <c r="E1712" s="2261" t="s">
        <v>6132</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ht="15"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ht="15"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ht="15" outlineLevel="1">
      <c r="A1715" s="2176" t="str">
        <f>IF(G1715&lt;&gt;0,1,"")</f>
        <v/>
      </c>
      <c r="B1715" s="2115" t="s">
        <v>5424</v>
      </c>
      <c r="C1715" s="2252"/>
      <c r="D1715" s="2146" t="s">
        <v>5425</v>
      </c>
      <c r="E1715" s="2188" t="s">
        <v>5426</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ht="15" outlineLevel="1">
      <c r="A1716" s="2176" t="str">
        <f>IF(G1716&lt;&gt;0,1,"")</f>
        <v/>
      </c>
      <c r="B1716" s="2255"/>
      <c r="C1716" s="2252">
        <f>IF(G1716&gt;0,C1711+1,C1711)</f>
        <v>0</v>
      </c>
      <c r="D1716" s="2253"/>
      <c r="E1716" s="2411" t="s">
        <v>6220</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5" outlineLevel="1">
      <c r="A1717" s="2176" t="str">
        <f>A1716</f>
        <v/>
      </c>
      <c r="B1717" s="2255"/>
      <c r="C1717" s="2252"/>
      <c r="D1717" s="2253"/>
      <c r="E1717" s="2261" t="s">
        <v>6132</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ht="15"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ht="15"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ht="15"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ht="15" outlineLevel="1">
      <c r="A1721" s="2176" t="str">
        <f>IF(G1721&lt;&gt;0,1,"")</f>
        <v/>
      </c>
      <c r="B1721" s="2115" t="s">
        <v>5424</v>
      </c>
      <c r="C1721" s="2252"/>
      <c r="D1721" s="2146" t="s">
        <v>5425</v>
      </c>
      <c r="E1721" s="2188" t="s">
        <v>5426</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5" outlineLevel="1">
      <c r="A1723" s="2176" t="str">
        <f>+A1722</f>
        <v/>
      </c>
      <c r="B1723" s="2412"/>
      <c r="C1723" s="2252"/>
      <c r="D1723" s="2253"/>
      <c r="E1723" s="2261" t="s">
        <v>6132</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ht="15"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ht="15" outlineLevel="1">
      <c r="A1725" s="2176" t="str">
        <f t="shared" si="328"/>
        <v/>
      </c>
      <c r="B1725" s="2246" t="s">
        <v>1508</v>
      </c>
      <c r="C1725" s="2252"/>
      <c r="D1725" s="2146">
        <v>0</v>
      </c>
      <c r="E1725" s="2188" t="s">
        <v>5162</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ht="15"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ht="15"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ht="15" outlineLevel="1">
      <c r="A1728" s="2176" t="str">
        <f t="shared" si="328"/>
        <v/>
      </c>
      <c r="B1728" s="2255" t="s">
        <v>6207</v>
      </c>
      <c r="C1728" s="2252"/>
      <c r="D1728" s="2146" t="s">
        <v>5724</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ht="15"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ht="15" outlineLevel="1">
      <c r="A1730" s="2176" t="str">
        <f t="shared" si="328"/>
        <v/>
      </c>
      <c r="B1730" s="2246" t="s">
        <v>525</v>
      </c>
      <c r="C1730" s="2413"/>
      <c r="D1730" s="2146">
        <v>0</v>
      </c>
      <c r="E1730" s="2188" t="s">
        <v>5251</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ht="15" outlineLevel="1">
      <c r="A1731" s="2176" t="str">
        <f t="shared" si="328"/>
        <v/>
      </c>
      <c r="B1731" s="2246" t="s">
        <v>1585</v>
      </c>
      <c r="C1731" s="2413"/>
      <c r="D1731" s="2146">
        <v>0</v>
      </c>
      <c r="E1731" s="2188" t="s">
        <v>5712</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ht="15" outlineLevel="1">
      <c r="A1732" s="2176" t="str">
        <f t="shared" si="328"/>
        <v/>
      </c>
      <c r="B1732" s="2246" t="s">
        <v>5163</v>
      </c>
      <c r="C1732" s="2413"/>
      <c r="D1732" s="2146">
        <v>0</v>
      </c>
      <c r="E1732" s="2188" t="s">
        <v>5164</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ht="15" outlineLevel="1">
      <c r="A1733" s="2176" t="str">
        <f t="shared" si="328"/>
        <v/>
      </c>
      <c r="B1733" s="2246" t="s">
        <v>5167</v>
      </c>
      <c r="C1733" s="2413"/>
      <c r="D1733" s="2146" t="s">
        <v>5168</v>
      </c>
      <c r="E1733" s="2188" t="s">
        <v>5169</v>
      </c>
      <c r="F1733" s="2146" t="s">
        <v>5170</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ht="15" outlineLevel="1">
      <c r="A1734" s="2176" t="str">
        <f t="shared" si="328"/>
        <v/>
      </c>
      <c r="B1734" s="2246" t="s">
        <v>5174</v>
      </c>
      <c r="C1734" s="2413"/>
      <c r="D1734" s="2146">
        <v>0</v>
      </c>
      <c r="E1734" s="2188" t="s">
        <v>5175</v>
      </c>
      <c r="F1734" s="2146" t="s">
        <v>5173</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ht="15" outlineLevel="1">
      <c r="A1735" s="2176" t="str">
        <f t="shared" si="328"/>
        <v/>
      </c>
      <c r="B1735" s="2246" t="s">
        <v>5178</v>
      </c>
      <c r="C1735" s="2413"/>
      <c r="D1735" s="2146">
        <v>0</v>
      </c>
      <c r="E1735" s="2188" t="s">
        <v>5179</v>
      </c>
      <c r="F1735" s="2146" t="s">
        <v>5173</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ht="15" outlineLevel="1">
      <c r="A1736" s="2176" t="str">
        <f t="shared" si="328"/>
        <v/>
      </c>
      <c r="B1736" s="2246" t="s">
        <v>6233</v>
      </c>
      <c r="C1736" s="2413"/>
      <c r="D1736" s="2146">
        <v>0</v>
      </c>
      <c r="E1736" s="2188" t="s">
        <v>5050</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ht="15" outlineLevel="1">
      <c r="A1737" s="2176" t="str">
        <f t="shared" si="328"/>
        <v/>
      </c>
      <c r="B1737" s="2246" t="s">
        <v>5180</v>
      </c>
      <c r="C1737" s="2413"/>
      <c r="D1737" s="2146">
        <v>0</v>
      </c>
      <c r="E1737" s="2188" t="s">
        <v>5181</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ht="15" outlineLevel="1">
      <c r="A1738" s="2176" t="str">
        <f t="shared" si="328"/>
        <v/>
      </c>
      <c r="B1738" s="2246" t="s">
        <v>5182</v>
      </c>
      <c r="C1738" s="2413"/>
      <c r="D1738" s="2146">
        <v>0</v>
      </c>
      <c r="E1738" s="2188" t="s">
        <v>5183</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ht="15" outlineLevel="1">
      <c r="A1739" s="2176" t="str">
        <f t="shared" si="328"/>
        <v/>
      </c>
      <c r="B1739" s="2246" t="s">
        <v>794</v>
      </c>
      <c r="C1739" s="2413"/>
      <c r="D1739" s="2146" t="s">
        <v>5335</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ht="15" outlineLevel="1">
      <c r="A1740" s="2176" t="str">
        <f t="shared" si="328"/>
        <v/>
      </c>
      <c r="B1740" s="2246" t="s">
        <v>798</v>
      </c>
      <c r="C1740" s="2413"/>
      <c r="D1740" s="2146" t="s">
        <v>5324</v>
      </c>
      <c r="E1740" s="2188" t="s">
        <v>5336</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ht="15" outlineLevel="1">
      <c r="A1741" s="2176" t="str">
        <f>IF(G1741&lt;&gt;0,1,"")</f>
        <v/>
      </c>
      <c r="B1741" s="2246" t="s">
        <v>902</v>
      </c>
      <c r="C1741" s="2252"/>
      <c r="D1741" s="2146" t="s">
        <v>5350</v>
      </c>
      <c r="E1741" s="2188" t="s">
        <v>5351</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ht="15" outlineLevel="1">
      <c r="A1742" s="2176" t="str">
        <f>IF(G1742&lt;&gt;0,1,"")</f>
        <v/>
      </c>
      <c r="B1742" s="2246" t="s">
        <v>1437</v>
      </c>
      <c r="C1742" s="2252"/>
      <c r="D1742" s="2146" t="s">
        <v>5345</v>
      </c>
      <c r="E1742" s="2188" t="s">
        <v>5346</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 customHeight="1">
      <c r="A1743" s="2473" t="str">
        <f>IF(G1743&lt;&gt;0,1,"")</f>
        <v/>
      </c>
      <c r="B1743" s="2474"/>
      <c r="C1743" s="2457">
        <f>IF(G1743&gt;0,C1722+1,C1722)</f>
        <v>0</v>
      </c>
      <c r="D1743" s="2475"/>
      <c r="E1743" s="2459" t="s">
        <v>6221</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5" outlineLevel="1">
      <c r="A1744" s="2176" t="str">
        <f>A1743</f>
        <v/>
      </c>
      <c r="B1744" s="2255"/>
      <c r="C1744" s="2252"/>
      <c r="D1744" s="2253"/>
      <c r="E1744" s="2261" t="s">
        <v>6132</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ht="15" outlineLevel="1">
      <c r="A1745" s="2176" t="str">
        <f>IF(G1745&lt;&gt;0,1,"")</f>
        <v/>
      </c>
      <c r="B1745" s="2255" t="s">
        <v>653</v>
      </c>
      <c r="C1745" s="2262"/>
      <c r="D1745" s="2146">
        <v>0</v>
      </c>
      <c r="E1745" s="2188" t="s">
        <v>5288</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ht="15"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ht="15"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ht="15" outlineLevel="1">
      <c r="A1748" s="2176" t="str">
        <f>IF(G1748&lt;&gt;0,1,"")</f>
        <v/>
      </c>
      <c r="B1748" s="2255" t="s">
        <v>654</v>
      </c>
      <c r="C1748" s="2262"/>
      <c r="D1748" s="2146" t="s">
        <v>5470</v>
      </c>
      <c r="E1748" s="2188" t="s">
        <v>5473</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 customHeight="1">
      <c r="A1749" s="2468" t="str">
        <f>IF(G1749&lt;&gt;0,1,"")</f>
        <v/>
      </c>
      <c r="B1749" s="2469"/>
      <c r="C1749" s="2457">
        <f>IF(G1749&gt;0,C1743+1,C1743)</f>
        <v>0</v>
      </c>
      <c r="D1749" s="2458"/>
      <c r="E1749" s="2459" t="s">
        <v>6241</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5" outlineLevel="1">
      <c r="A1750" s="2176" t="str">
        <f>A1749</f>
        <v/>
      </c>
      <c r="B1750" s="2255"/>
      <c r="C1750" s="2252"/>
      <c r="D1750" s="2253"/>
      <c r="E1750" s="2261" t="s">
        <v>6132</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ht="15" outlineLevel="1">
      <c r="A1751" s="2176" t="str">
        <f t="shared" ref="A1751:A1759" si="336">IF(G1751&lt;&gt;0,1,"")</f>
        <v/>
      </c>
      <c r="B1751" s="2478" t="s">
        <v>1424</v>
      </c>
      <c r="C1751" s="2262"/>
      <c r="D1751" s="2146">
        <v>0</v>
      </c>
      <c r="E1751" s="2188" t="s">
        <v>5245</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ht="15" outlineLevel="1">
      <c r="A1752" s="2176" t="str">
        <f t="shared" si="336"/>
        <v/>
      </c>
      <c r="B1752" s="2478" t="s">
        <v>2008</v>
      </c>
      <c r="C1752" s="2262"/>
      <c r="D1752" s="2146">
        <v>0</v>
      </c>
      <c r="E1752" s="2188" t="s">
        <v>5246</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ht="15" outlineLevel="1">
      <c r="A1753" s="2176" t="str">
        <f t="shared" si="336"/>
        <v/>
      </c>
      <c r="B1753" s="2479" t="s">
        <v>6242</v>
      </c>
      <c r="C1753" s="2262"/>
      <c r="D1753" s="2146">
        <v>0</v>
      </c>
      <c r="E1753" s="2188" t="s">
        <v>5483</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ht="15" outlineLevel="1">
      <c r="A1754" s="2176" t="str">
        <f t="shared" si="336"/>
        <v/>
      </c>
      <c r="B1754" s="2481" t="s">
        <v>5484</v>
      </c>
      <c r="C1754" s="2252"/>
      <c r="D1754" s="2146">
        <v>0</v>
      </c>
      <c r="E1754" s="2188" t="s">
        <v>5485</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ht="15" outlineLevel="1">
      <c r="A1755" s="2176" t="str">
        <f t="shared" si="336"/>
        <v/>
      </c>
      <c r="B1755" s="2482" t="s">
        <v>9</v>
      </c>
      <c r="C1755" s="2252"/>
      <c r="D1755" s="2146" t="s">
        <v>5477</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ht="15" outlineLevel="1">
      <c r="A1756" s="2176" t="str">
        <f t="shared" si="336"/>
        <v/>
      </c>
      <c r="B1756" s="2482" t="s">
        <v>585</v>
      </c>
      <c r="C1756" s="2252"/>
      <c r="D1756" s="2146" t="s">
        <v>5478</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ht="15" outlineLevel="1">
      <c r="A1757" s="2176" t="str">
        <f t="shared" si="336"/>
        <v/>
      </c>
      <c r="B1757" s="2255" t="s">
        <v>654</v>
      </c>
      <c r="C1757" s="2262"/>
      <c r="D1757" s="2146" t="s">
        <v>5470</v>
      </c>
      <c r="E1757" s="2188" t="s">
        <v>5473</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ht="15" outlineLevel="1">
      <c r="A1758" s="2176" t="str">
        <f t="shared" si="336"/>
        <v/>
      </c>
      <c r="B1758" s="2483" t="s">
        <v>1955</v>
      </c>
      <c r="C1758" s="2262"/>
      <c r="D1758" s="2146" t="s">
        <v>5470</v>
      </c>
      <c r="E1758" s="2188" t="s">
        <v>5471</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 customHeight="1">
      <c r="A1759" s="2468" t="str">
        <f t="shared" si="336"/>
        <v/>
      </c>
      <c r="B1759" s="2469"/>
      <c r="C1759" s="2457">
        <f>IF(G1759&gt;0,C1749+1,C1749)</f>
        <v>0</v>
      </c>
      <c r="D1759" s="2458"/>
      <c r="E1759" s="2459" t="s">
        <v>6243</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5" outlineLevel="1">
      <c r="A1760" s="2176" t="str">
        <f>A1759</f>
        <v/>
      </c>
      <c r="B1760" s="2255"/>
      <c r="C1760" s="2252"/>
      <c r="D1760" s="2253"/>
      <c r="E1760" s="2261" t="s">
        <v>6132</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ht="15" outlineLevel="1">
      <c r="A1761" s="2176" t="str">
        <f>IF(G1761&lt;&gt;0,1,"")</f>
        <v/>
      </c>
      <c r="B1761" s="2255" t="s">
        <v>5301</v>
      </c>
      <c r="C1761" s="2262"/>
      <c r="D1761" s="2146" t="s">
        <v>5302</v>
      </c>
      <c r="E1761" s="2188" t="s">
        <v>5303</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ht="15" outlineLevel="1">
      <c r="A1762" s="2176" t="str">
        <f>IF(G1762&lt;&gt;0,1,"")</f>
        <v/>
      </c>
      <c r="B1762" s="2255" t="s">
        <v>5363</v>
      </c>
      <c r="C1762" s="2262"/>
      <c r="D1762" s="2146" t="s">
        <v>5364</v>
      </c>
      <c r="E1762" s="2188" t="s">
        <v>5365</v>
      </c>
      <c r="F1762" s="2146" t="s">
        <v>5366</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ht="15" outlineLevel="1">
      <c r="A1763" s="2176" t="str">
        <f>IF(G1763&lt;&gt;0,1,"")</f>
        <v/>
      </c>
      <c r="B1763" s="2255" t="s">
        <v>5163</v>
      </c>
      <c r="C1763" s="2252"/>
      <c r="D1763" s="2146">
        <v>0</v>
      </c>
      <c r="E1763" s="2188" t="s">
        <v>5164</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ht="15" outlineLevel="1">
      <c r="A1764" s="2176" t="str">
        <f>IF(G1764&lt;&gt;0,1,"")</f>
        <v/>
      </c>
      <c r="B1764" s="2255" t="s">
        <v>5165</v>
      </c>
      <c r="C1764" s="2252"/>
      <c r="D1764" s="2146">
        <v>0</v>
      </c>
      <c r="E1764" s="2188" t="s">
        <v>5166</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ht="15" outlineLevel="1">
      <c r="A1765" s="2176" t="str">
        <f t="shared" ref="A1765:A1775" si="337">IF(G1765&lt;&gt;0,1,"")</f>
        <v/>
      </c>
      <c r="B1765" s="2255" t="s">
        <v>279</v>
      </c>
      <c r="C1765" s="2252"/>
      <c r="D1765" s="2146">
        <v>0</v>
      </c>
      <c r="E1765" s="2188" t="s">
        <v>6359</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ht="15" outlineLevel="1">
      <c r="A1766" s="2176" t="str">
        <f t="shared" si="337"/>
        <v/>
      </c>
      <c r="B1766" s="2255" t="s">
        <v>6244</v>
      </c>
      <c r="C1766" s="2252"/>
      <c r="D1766" s="2146">
        <v>0</v>
      </c>
      <c r="E1766" s="2188" t="s">
        <v>6360</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ht="15" outlineLevel="1">
      <c r="A1767" s="2176" t="str">
        <f t="shared" si="337"/>
        <v/>
      </c>
      <c r="B1767" s="2255" t="s">
        <v>745</v>
      </c>
      <c r="C1767" s="2252"/>
      <c r="D1767" s="2146">
        <v>0</v>
      </c>
      <c r="E1767" s="2188" t="s">
        <v>6361</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30" outlineLevel="1">
      <c r="A1768" s="2176" t="str">
        <f t="shared" si="337"/>
        <v/>
      </c>
      <c r="B1768" s="2255" t="s">
        <v>5057</v>
      </c>
      <c r="C1768" s="2252"/>
      <c r="D1768" s="2146">
        <v>0</v>
      </c>
      <c r="E1768" s="2272" t="s">
        <v>6362</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ht="15" outlineLevel="1">
      <c r="A1769" s="2176" t="str">
        <f t="shared" si="337"/>
        <v/>
      </c>
      <c r="B1769" s="2255" t="s">
        <v>6242</v>
      </c>
      <c r="C1769" s="2252"/>
      <c r="D1769" s="2146">
        <v>0</v>
      </c>
      <c r="E1769" s="2188" t="s">
        <v>6363</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ht="15"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ht="15" outlineLevel="1">
      <c r="A1771" s="2176" t="str">
        <f t="shared" si="337"/>
        <v/>
      </c>
      <c r="B1771" s="2255" t="s">
        <v>5486</v>
      </c>
      <c r="C1771" s="2252"/>
      <c r="D1771" s="2146" t="s">
        <v>5487</v>
      </c>
      <c r="E1771" s="2188" t="s">
        <v>5488</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ht="15" outlineLevel="1">
      <c r="A1772" s="2176" t="str">
        <f t="shared" si="337"/>
        <v/>
      </c>
      <c r="B1772" s="2255" t="s">
        <v>9</v>
      </c>
      <c r="C1772" s="2252"/>
      <c r="D1772" s="2146" t="s">
        <v>5477</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ht="15" outlineLevel="1">
      <c r="A1773" s="2176" t="str">
        <f t="shared" si="337"/>
        <v/>
      </c>
      <c r="B1773" s="2255" t="s">
        <v>654</v>
      </c>
      <c r="C1773" s="2262"/>
      <c r="D1773" s="2146" t="s">
        <v>5470</v>
      </c>
      <c r="E1773" s="2188" t="s">
        <v>5473</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ht="15" outlineLevel="1">
      <c r="A1774" s="2176" t="str">
        <f t="shared" si="337"/>
        <v/>
      </c>
      <c r="B1774" s="2255" t="s">
        <v>1955</v>
      </c>
      <c r="C1774" s="2262"/>
      <c r="D1774" s="2146" t="s">
        <v>5470</v>
      </c>
      <c r="E1774" s="2188" t="s">
        <v>5471</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ht="15" outlineLevel="1">
      <c r="A1775" s="2176" t="str">
        <f t="shared" si="337"/>
        <v/>
      </c>
      <c r="B1775" s="2255" t="s">
        <v>5479</v>
      </c>
      <c r="C1775" s="2262"/>
      <c r="D1775" s="2146" t="s">
        <v>5480</v>
      </c>
      <c r="E1775" s="2188" t="s">
        <v>5481</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 customHeight="1">
      <c r="A1776" s="2468" t="str">
        <f>IF(G1776&lt;&gt;0,1,"")</f>
        <v/>
      </c>
      <c r="B1776" s="2255"/>
      <c r="C1776" s="2457">
        <f>IF(G1776&gt;0,C1759+1,C1759)</f>
        <v>0</v>
      </c>
      <c r="D1776" s="2458"/>
      <c r="E1776" s="2459" t="s">
        <v>6208</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5" outlineLevel="1">
      <c r="A1777" s="2176" t="str">
        <f>A1776</f>
        <v/>
      </c>
      <c r="B1777" s="2255"/>
      <c r="C1777" s="2252"/>
      <c r="D1777" s="2253"/>
      <c r="E1777" s="2261" t="s">
        <v>6132</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ht="15" outlineLevel="1">
      <c r="A1778" s="2176" t="str">
        <f>IF(G1778&lt;&gt;0,1,"")</f>
        <v/>
      </c>
      <c r="B1778" s="2255" t="s">
        <v>5640</v>
      </c>
      <c r="C1778" s="2262"/>
      <c r="D1778" s="2146" t="s">
        <v>5632</v>
      </c>
      <c r="E1778" s="2188" t="s">
        <v>5641</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ht="15" outlineLevel="1">
      <c r="A1779" s="2176" t="str">
        <f>IF(G1779&lt;&gt;0,1,"")</f>
        <v/>
      </c>
      <c r="B1779" s="2255" t="s">
        <v>880</v>
      </c>
      <c r="C1779" s="2252"/>
      <c r="D1779" s="2146">
        <v>0</v>
      </c>
      <c r="E1779" s="2188" t="s">
        <v>5798</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ht="15" outlineLevel="1">
      <c r="A1780" s="2176" t="str">
        <f>IF(G1780&lt;&gt;0,1,"")</f>
        <v/>
      </c>
      <c r="B1780" s="2255" t="s">
        <v>289</v>
      </c>
      <c r="C1780" s="2262"/>
      <c r="D1780" s="2146">
        <v>0</v>
      </c>
      <c r="E1780" s="2188" t="s">
        <v>5711</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ht="15"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ht="15"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ht="15" outlineLevel="1">
      <c r="A1783" s="2176" t="str">
        <f t="shared" si="338"/>
        <v/>
      </c>
      <c r="B1783" s="2255" t="s">
        <v>5733</v>
      </c>
      <c r="C1783" s="2262"/>
      <c r="D1783" s="2146" t="s">
        <v>5723</v>
      </c>
      <c r="E1783" s="2188" t="s">
        <v>5734</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 customHeight="1">
      <c r="A1784" s="2473" t="str">
        <f>IF(G1784&lt;&gt;0,1,"")</f>
        <v/>
      </c>
      <c r="B1784" s="2255"/>
      <c r="C1784" s="2457">
        <f>IF(G1784&gt;0,C1776+1,C1776)</f>
        <v>0</v>
      </c>
      <c r="D1784" s="2475"/>
      <c r="E1784" s="2459" t="s">
        <v>6245</v>
      </c>
      <c r="F1784" s="2460" t="s">
        <v>2385</v>
      </c>
      <c r="G1784" s="2484"/>
      <c r="H1784" s="2463"/>
      <c r="I1784" s="2463"/>
      <c r="J1784" s="2476"/>
      <c r="K1784" s="2476"/>
      <c r="L1784" s="2466"/>
      <c r="M1784" s="2466"/>
      <c r="N1784" s="2466"/>
      <c r="O1784" s="2466"/>
      <c r="P1784" s="2477"/>
    </row>
    <row r="1785" spans="1:19" s="2493" customFormat="1" ht="15" outlineLevel="1">
      <c r="A1785" s="2485" t="str">
        <f>A1784</f>
        <v/>
      </c>
      <c r="B1785" s="2255"/>
      <c r="C1785" s="2486"/>
      <c r="D1785" s="2487"/>
      <c r="E1785" s="2488" t="s">
        <v>6132</v>
      </c>
      <c r="F1785" s="2487"/>
      <c r="G1785" s="2489"/>
      <c r="H1785" s="2490"/>
      <c r="I1785" s="2490"/>
      <c r="J1785" s="2490"/>
      <c r="K1785" s="2490"/>
      <c r="L1785" s="2490"/>
      <c r="M1785" s="2490"/>
      <c r="N1785" s="2490"/>
      <c r="O1785" s="2490"/>
      <c r="P1785" s="2491"/>
      <c r="Q1785" s="2492"/>
      <c r="R1785" s="2260"/>
      <c r="S1785" s="2492"/>
    </row>
    <row r="1786" spans="1:19" s="2099" customFormat="1" ht="15" outlineLevel="1">
      <c r="A1786" s="2176" t="str">
        <f t="shared" si="338"/>
        <v/>
      </c>
      <c r="B1786" s="2255" t="s">
        <v>6246</v>
      </c>
      <c r="C1786" s="2262"/>
      <c r="D1786" s="2146" t="s">
        <v>5654</v>
      </c>
      <c r="E1786" s="2188" t="s">
        <v>5658</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ht="15" outlineLevel="1">
      <c r="A1787" s="2176" t="str">
        <f t="shared" si="338"/>
        <v/>
      </c>
      <c r="B1787" s="2255" t="s">
        <v>880</v>
      </c>
      <c r="C1787" s="2262"/>
      <c r="D1787" s="2146">
        <v>0</v>
      </c>
      <c r="E1787" s="2188" t="s">
        <v>5798</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ht="15" outlineLevel="1">
      <c r="A1788" s="2176" t="str">
        <f>IF(G1788&lt;&gt;0,1,"")</f>
        <v/>
      </c>
      <c r="B1788" s="2255" t="s">
        <v>289</v>
      </c>
      <c r="C1788" s="2262"/>
      <c r="D1788" s="2146">
        <v>0</v>
      </c>
      <c r="E1788" s="2188" t="s">
        <v>5711</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ht="15"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ht="15"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ht="15"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ht="15"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ht="15" outlineLevel="1">
      <c r="A1793" s="2176" t="str">
        <f t="shared" si="338"/>
        <v/>
      </c>
      <c r="B1793" s="2255" t="s">
        <v>6247</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ht="15"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ht="15" outlineLevel="1">
      <c r="A1795" s="2176" t="str">
        <f>IF(G1795&lt;&gt;0,1,"")</f>
        <v/>
      </c>
      <c r="B1795" s="2255" t="s">
        <v>6248</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ht="15" outlineLevel="1">
      <c r="A1796" s="2176" t="str">
        <f>IF(G1796&lt;&gt;0,1,"")</f>
        <v/>
      </c>
      <c r="B1796" s="2255" t="s">
        <v>6249</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ht="15"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ht="15"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ht="15" outlineLevel="1">
      <c r="A1799" s="2176" t="str">
        <f t="shared" si="338"/>
        <v/>
      </c>
      <c r="B1799" s="2255" t="s">
        <v>6</v>
      </c>
      <c r="C1799" s="2262"/>
      <c r="D1799" s="2146">
        <v>0</v>
      </c>
      <c r="E1799" s="2188" t="s">
        <v>3567</v>
      </c>
      <c r="F1799" s="2146" t="s">
        <v>5805</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ht="15" outlineLevel="1">
      <c r="A1800" s="2176" t="str">
        <f t="shared" si="338"/>
        <v/>
      </c>
      <c r="B1800" s="2255" t="s">
        <v>672</v>
      </c>
      <c r="C1800" s="2262"/>
      <c r="D1800" s="2146">
        <v>0</v>
      </c>
      <c r="E1800" s="2188" t="s">
        <v>5800</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ht="15" outlineLevel="1">
      <c r="A1801" s="2176" t="str">
        <f t="shared" si="338"/>
        <v/>
      </c>
      <c r="B1801" s="2255" t="s">
        <v>1525</v>
      </c>
      <c r="C1801" s="2262"/>
      <c r="D1801" s="2146" t="s">
        <v>5570</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 customHeight="1">
      <c r="A1802" s="2468" t="str">
        <f>IF(G1802&lt;&gt;0,1,"")</f>
        <v/>
      </c>
      <c r="B1802" s="2255"/>
      <c r="C1802" s="2457">
        <f>IF(G1802&gt;0,C1784+1,C1784)</f>
        <v>0</v>
      </c>
      <c r="D1802" s="2458"/>
      <c r="E1802" s="2459" t="s">
        <v>6250</v>
      </c>
      <c r="F1802" s="2460" t="s">
        <v>2385</v>
      </c>
      <c r="G1802" s="2461">
        <f>G1632</f>
        <v>0</v>
      </c>
      <c r="H1802" s="2462"/>
      <c r="I1802" s="2462"/>
      <c r="J1802" s="2464"/>
      <c r="K1802" s="2464"/>
      <c r="L1802" s="2465"/>
      <c r="M1802" s="2465"/>
      <c r="N1802" s="2465"/>
      <c r="O1802" s="2465"/>
      <c r="P1802" s="2470"/>
    </row>
    <row r="1803" spans="1:19" s="2099" customFormat="1" ht="15" outlineLevel="1">
      <c r="A1803" s="2176" t="str">
        <f>A1802</f>
        <v/>
      </c>
      <c r="B1803" s="2255"/>
      <c r="C1803" s="2252"/>
      <c r="D1803" s="2253"/>
      <c r="E1803" s="2268" t="s">
        <v>6132</v>
      </c>
      <c r="F1803" s="2252"/>
      <c r="G1803" s="2445"/>
      <c r="H1803" s="2258"/>
      <c r="I1803" s="2258"/>
      <c r="J1803" s="2258"/>
      <c r="K1803" s="2258"/>
      <c r="L1803" s="2258"/>
      <c r="M1803" s="2258"/>
      <c r="N1803" s="2258"/>
      <c r="O1803" s="2258"/>
      <c r="P1803" s="2435"/>
      <c r="Q1803" s="2260"/>
      <c r="R1803" s="2260"/>
      <c r="S1803" s="2260"/>
    </row>
    <row r="1804" spans="1:19" s="2099" customFormat="1" ht="15" outlineLevel="1">
      <c r="A1804" s="2176" t="str">
        <f t="shared" ref="A1804:A1816" si="339">IF(G1804&lt;&gt;0,1,"")</f>
        <v/>
      </c>
      <c r="B1804" s="2255" t="s">
        <v>5080</v>
      </c>
      <c r="C1804" s="2262"/>
      <c r="D1804" s="2146">
        <v>0</v>
      </c>
      <c r="E1804" s="2188" t="s">
        <v>5081</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ht="15" outlineLevel="1">
      <c r="A1805" s="2176" t="str">
        <f t="shared" si="339"/>
        <v/>
      </c>
      <c r="B1805" s="2255" t="s">
        <v>4559</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ht="15" outlineLevel="1">
      <c r="A1806" s="2176" t="str">
        <f t="shared" si="339"/>
        <v/>
      </c>
      <c r="B1806" s="2255" t="s">
        <v>4560</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ht="15"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ht="15" outlineLevel="1">
      <c r="A1808" s="2176" t="str">
        <f t="shared" si="339"/>
        <v/>
      </c>
      <c r="B1808" s="2351" t="s">
        <v>5698</v>
      </c>
      <c r="C1808" s="2262"/>
      <c r="D1808" s="2146">
        <v>0</v>
      </c>
      <c r="E1808" s="2188" t="s">
        <v>5699</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ht="15" outlineLevel="1">
      <c r="A1809" s="2176" t="str">
        <f t="shared" si="339"/>
        <v/>
      </c>
      <c r="B1809" s="2351" t="s">
        <v>5704</v>
      </c>
      <c r="C1809" s="2262"/>
      <c r="D1809" s="2146">
        <v>0</v>
      </c>
      <c r="E1809" s="2188" t="s">
        <v>5705</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ht="15" outlineLevel="1">
      <c r="A1810" s="2176" t="str">
        <f t="shared" si="339"/>
        <v/>
      </c>
      <c r="B1810" s="2351" t="s">
        <v>5706</v>
      </c>
      <c r="C1810" s="2262"/>
      <c r="D1810" s="2146">
        <v>0</v>
      </c>
      <c r="E1810" s="2188" t="s">
        <v>5707</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ht="15" outlineLevel="1">
      <c r="A1811" s="2176" t="str">
        <f t="shared" si="339"/>
        <v/>
      </c>
      <c r="B1811" s="2351" t="s">
        <v>5706</v>
      </c>
      <c r="C1811" s="2262"/>
      <c r="D1811" s="2146">
        <v>0</v>
      </c>
      <c r="E1811" s="2188" t="s">
        <v>5707</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ht="15" outlineLevel="1">
      <c r="A1812" s="2176" t="str">
        <f t="shared" si="339"/>
        <v/>
      </c>
      <c r="B1812" s="2351" t="s">
        <v>1525</v>
      </c>
      <c r="C1812" s="2262"/>
      <c r="D1812" s="2146" t="s">
        <v>5570</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ht="15" outlineLevel="1">
      <c r="A1813" s="2176" t="str">
        <f t="shared" si="339"/>
        <v/>
      </c>
      <c r="B1813" s="2351" t="s">
        <v>347</v>
      </c>
      <c r="C1813" s="2262"/>
      <c r="D1813" s="2146" t="s">
        <v>5559</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ht="15"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ht="15" outlineLevel="1">
      <c r="A1815" s="2176" t="str">
        <f t="shared" si="339"/>
        <v/>
      </c>
      <c r="B1815" s="2351" t="s">
        <v>6251</v>
      </c>
      <c r="C1815" s="2262"/>
      <c r="D1815" s="2146">
        <v>0</v>
      </c>
      <c r="E1815" s="2188" t="s">
        <v>5455</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ht="15" outlineLevel="1">
      <c r="A1816" s="2176" t="str">
        <f t="shared" si="339"/>
        <v/>
      </c>
      <c r="B1816" s="2351" t="s">
        <v>5456</v>
      </c>
      <c r="C1816" s="2262"/>
      <c r="D1816" s="2146">
        <v>0</v>
      </c>
      <c r="E1816" s="2188" t="s">
        <v>6364</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ht="15" outlineLevel="1">
      <c r="A1817" s="2176" t="str">
        <f>IF(G1817&lt;&gt;0,1,"")</f>
        <v/>
      </c>
      <c r="B1817" s="2351" t="s">
        <v>1182</v>
      </c>
      <c r="C1817" s="2262"/>
      <c r="D1817" s="2146" t="s">
        <v>5551</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ht="15" outlineLevel="1">
      <c r="A1818" s="2176" t="str">
        <f>IF(G1818&lt;&gt;0,1,"")</f>
        <v/>
      </c>
      <c r="B1818" s="2351" t="s">
        <v>1589</v>
      </c>
      <c r="C1818" s="2262"/>
      <c r="D1818" s="2146" t="s">
        <v>5458</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 customHeight="1">
      <c r="A1819" s="2468" t="str">
        <f>IF(G1819&lt;&gt;0,1,"")</f>
        <v/>
      </c>
      <c r="B1819" s="2469"/>
      <c r="C1819" s="2457">
        <f>IF(G1819&gt;0,C1802+1,C1802)</f>
        <v>0</v>
      </c>
      <c r="D1819" s="2458"/>
      <c r="E1819" s="2459" t="s">
        <v>6252</v>
      </c>
      <c r="F1819" s="2460" t="s">
        <v>2385</v>
      </c>
      <c r="G1819" s="2461"/>
      <c r="H1819" s="2462"/>
      <c r="I1819" s="2462"/>
      <c r="J1819" s="2464"/>
      <c r="K1819" s="2464"/>
      <c r="L1819" s="2465"/>
      <c r="M1819" s="2465"/>
      <c r="N1819" s="2465"/>
      <c r="O1819" s="2465"/>
      <c r="P1819" s="2470"/>
    </row>
    <row r="1820" spans="1:19" s="2282" customFormat="1" ht="15" outlineLevel="1">
      <c r="A1820" s="2176" t="str">
        <f>A1819</f>
        <v/>
      </c>
      <c r="B1820" s="2494"/>
      <c r="C1820" s="2252"/>
      <c r="D1820" s="2253"/>
      <c r="E1820" s="2268" t="s">
        <v>6132</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ht="15"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ht="15" outlineLevel="1">
      <c r="A1822" s="2176">
        <f>IF(G1822=0,0,1)</f>
        <v>0</v>
      </c>
      <c r="B1822" s="2246" t="s">
        <v>6253</v>
      </c>
      <c r="C1822" s="2262"/>
      <c r="D1822" s="2146">
        <v>0</v>
      </c>
      <c r="E1822" s="2353" t="s">
        <v>5052</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ht="15" outlineLevel="1">
      <c r="A1823" s="2176">
        <f>IF(G1823=0,0,1)</f>
        <v>0</v>
      </c>
      <c r="B1823" s="2246" t="s">
        <v>6254</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ht="15" outlineLevel="1">
      <c r="A1824" s="2176">
        <f t="shared" ref="A1824:A1842" si="345">IF(G1824=0,0,1)</f>
        <v>0</v>
      </c>
      <c r="B1824" s="2255" t="s">
        <v>246</v>
      </c>
      <c r="C1824" s="2383"/>
      <c r="D1824" s="2146">
        <v>0</v>
      </c>
      <c r="E1824" s="2353" t="s">
        <v>5868</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ht="15" outlineLevel="1">
      <c r="A1825" s="2176">
        <f t="shared" si="345"/>
        <v>0</v>
      </c>
      <c r="B1825" s="2255" t="s">
        <v>5733</v>
      </c>
      <c r="C1825" s="2262"/>
      <c r="D1825" s="2146" t="s">
        <v>5723</v>
      </c>
      <c r="E1825" s="2353" t="s">
        <v>5734</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ht="15"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ht="15"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ht="15"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ht="15" outlineLevel="1">
      <c r="A1829" s="2176">
        <f t="shared" si="345"/>
        <v>0</v>
      </c>
      <c r="B1829" s="2496" t="s">
        <v>2010</v>
      </c>
      <c r="C1829" s="2262"/>
      <c r="D1829" s="2146" t="s">
        <v>5545</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ht="15"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ht="15"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ht="15"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ht="15"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ht="15" outlineLevel="1">
      <c r="A1834" s="2176">
        <f t="shared" si="345"/>
        <v>0</v>
      </c>
      <c r="B1834" s="2246" t="s">
        <v>672</v>
      </c>
      <c r="C1834" s="2262"/>
      <c r="D1834" s="2146">
        <v>0</v>
      </c>
      <c r="E1834" s="2353" t="s">
        <v>5800</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ht="15"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ht="15"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ht="15" outlineLevel="1">
      <c r="A1837" s="2176">
        <f t="shared" si="345"/>
        <v>0</v>
      </c>
      <c r="B1837" s="2246" t="s">
        <v>319</v>
      </c>
      <c r="C1837" s="2262"/>
      <c r="D1837" s="2146">
        <v>0</v>
      </c>
      <c r="E1837" s="2353" t="s">
        <v>5268</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ht="15" outlineLevel="1">
      <c r="A1838" s="2176">
        <f t="shared" si="345"/>
        <v>0</v>
      </c>
      <c r="B1838" s="2246" t="s">
        <v>1915</v>
      </c>
      <c r="C1838" s="2262"/>
      <c r="D1838" s="2146" t="s">
        <v>5654</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ht="15" outlineLevel="1">
      <c r="A1839" s="2176">
        <f t="shared" si="345"/>
        <v>0</v>
      </c>
      <c r="B1839" s="2246" t="s">
        <v>6</v>
      </c>
      <c r="C1839" s="2262"/>
      <c r="D1839" s="2146">
        <v>0</v>
      </c>
      <c r="E1839" s="2353" t="s">
        <v>3567</v>
      </c>
      <c r="F1839" s="2495" t="s">
        <v>5805</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ht="15"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ht="15"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ht="15" outlineLevel="1">
      <c r="A1842" s="2176">
        <f t="shared" si="345"/>
        <v>0</v>
      </c>
      <c r="B1842" s="2246" t="s">
        <v>6254</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 customHeight="1">
      <c r="A1843" s="2468" t="str">
        <f>IF(G1843=0,"",1)</f>
        <v/>
      </c>
      <c r="B1843" s="2469"/>
      <c r="C1843" s="2457">
        <f>IF(G1843&gt;0,C1819+1,C1819)</f>
        <v>0</v>
      </c>
      <c r="D1843" s="2458"/>
      <c r="E1843" s="2459" t="s">
        <v>6255</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5"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 customHeight="1">
      <c r="A1845" s="2499" t="str">
        <f t="shared" ref="A1845:A1856" si="346">IF(G1845=0,"",1)</f>
        <v/>
      </c>
      <c r="B1845" s="2509" t="s">
        <v>4994</v>
      </c>
      <c r="C1845" s="100"/>
      <c r="D1845" s="765"/>
      <c r="E1845" s="2510" t="s">
        <v>6365</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 customHeight="1">
      <c r="A1846" s="2499" t="str">
        <f t="shared" si="346"/>
        <v/>
      </c>
      <c r="B1846" s="2479" t="s">
        <v>867</v>
      </c>
      <c r="C1846" s="100"/>
      <c r="D1846" s="765"/>
      <c r="E1846" s="2510" t="s">
        <v>6366</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 customHeight="1">
      <c r="A1847" s="2499" t="str">
        <f>IF(G1847=0,"",1)</f>
        <v/>
      </c>
      <c r="B1847" s="2479" t="s">
        <v>520</v>
      </c>
      <c r="C1847" s="100"/>
      <c r="D1847" s="765"/>
      <c r="E1847" s="2510" t="s">
        <v>6367</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 customHeight="1">
      <c r="A1848" s="2499" t="str">
        <f t="shared" si="346"/>
        <v/>
      </c>
      <c r="B1848" s="2479" t="s">
        <v>6242</v>
      </c>
      <c r="C1848" s="100"/>
      <c r="D1848" s="765"/>
      <c r="E1848" s="2510" t="s">
        <v>6368</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 customHeight="1">
      <c r="A1852" s="2499" t="str">
        <f t="shared" si="346"/>
        <v/>
      </c>
      <c r="B1852" s="2479" t="s">
        <v>6256</v>
      </c>
      <c r="C1852" s="100"/>
      <c r="D1852" s="765" t="s">
        <v>5342</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 customHeight="1">
      <c r="A1853" s="2499" t="str">
        <f t="shared" si="346"/>
        <v/>
      </c>
      <c r="B1853" s="2479" t="s">
        <v>1678</v>
      </c>
      <c r="C1853" s="100"/>
      <c r="D1853" s="765" t="s">
        <v>5332</v>
      </c>
      <c r="E1853" s="2510" t="s">
        <v>5333</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 customHeight="1">
      <c r="A1854" s="2499" t="str">
        <f t="shared" si="346"/>
        <v/>
      </c>
      <c r="B1854" s="2479" t="s">
        <v>144</v>
      </c>
      <c r="C1854" s="100"/>
      <c r="D1854" s="765" t="s">
        <v>5326</v>
      </c>
      <c r="E1854" s="2510" t="s">
        <v>5327</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 customHeight="1">
      <c r="A1855" s="2499" t="str">
        <f t="shared" si="346"/>
        <v/>
      </c>
      <c r="B1855" s="2479" t="s">
        <v>1836</v>
      </c>
      <c r="C1855" s="100"/>
      <c r="D1855" s="765" t="s">
        <v>5470</v>
      </c>
      <c r="E1855" s="2510" t="s">
        <v>6369</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 customHeight="1">
      <c r="A1856" s="2473" t="str">
        <f t="shared" si="346"/>
        <v/>
      </c>
      <c r="B1856" s="2474"/>
      <c r="C1856" s="2457">
        <f>IF(G1856&gt;0,C1843+1,C1843)</f>
        <v>0</v>
      </c>
      <c r="D1856" s="2475"/>
      <c r="E1856" s="2459" t="s">
        <v>6257</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5"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 customHeight="1">
      <c r="A1858" s="2499" t="str">
        <f t="shared" ref="A1858:A1869" si="348">IF(G1858=0,"",1)</f>
        <v/>
      </c>
      <c r="B1858" s="2509" t="s">
        <v>5286</v>
      </c>
      <c r="C1858" s="100"/>
      <c r="D1858" s="765"/>
      <c r="E1858" s="2510" t="s">
        <v>5287</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 customHeight="1">
      <c r="A1865" s="2499" t="str">
        <f t="shared" si="348"/>
        <v/>
      </c>
      <c r="B1865" s="2479" t="s">
        <v>6256</v>
      </c>
      <c r="C1865" s="100"/>
      <c r="D1865" s="765" t="s">
        <v>5342</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 customHeight="1">
      <c r="A1866" s="2499" t="str">
        <f>IF(G1866=0,"",1)</f>
        <v/>
      </c>
      <c r="B1866" s="2479" t="s">
        <v>6258</v>
      </c>
      <c r="C1866" s="100"/>
      <c r="D1866" s="765" t="s">
        <v>5579</v>
      </c>
      <c r="E1866" s="2510" t="s">
        <v>5580</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 customHeight="1">
      <c r="A1867" s="2499" t="str">
        <f t="shared" si="348"/>
        <v/>
      </c>
      <c r="B1867" s="2479" t="s">
        <v>1678</v>
      </c>
      <c r="C1867" s="100"/>
      <c r="D1867" s="765" t="s">
        <v>5332</v>
      </c>
      <c r="E1867" s="2510" t="s">
        <v>6370</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 customHeight="1">
      <c r="A1868" s="2499" t="str">
        <f t="shared" si="348"/>
        <v/>
      </c>
      <c r="B1868" s="2479" t="s">
        <v>144</v>
      </c>
      <c r="C1868" s="100"/>
      <c r="D1868" s="765" t="s">
        <v>5326</v>
      </c>
      <c r="E1868" s="2510" t="s">
        <v>5327</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ht="15"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5" outlineLevel="1">
      <c r="A1871" s="2176" t="str">
        <f>A1870</f>
        <v/>
      </c>
      <c r="B1871" s="2255"/>
      <c r="C1871" s="2252"/>
      <c r="D1871" s="2253"/>
      <c r="E1871" s="2268" t="s">
        <v>6132</v>
      </c>
      <c r="F1871" s="2252"/>
      <c r="G1871" s="2445"/>
      <c r="H1871" s="2258"/>
      <c r="I1871" s="2258"/>
      <c r="J1871" s="2258"/>
      <c r="K1871" s="2258"/>
      <c r="L1871" s="2258"/>
      <c r="M1871" s="2258"/>
      <c r="N1871" s="2258"/>
      <c r="O1871" s="2258"/>
      <c r="P1871" s="2259"/>
      <c r="Q1871" s="2260"/>
      <c r="R1871" s="2260"/>
      <c r="S1871" s="2260"/>
    </row>
    <row r="1872" spans="1:19" s="2099" customFormat="1" ht="15"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ht="15" outlineLevel="1">
      <c r="A1873" s="2176" t="str">
        <f>IF(G1873&lt;&gt;0,1,"")</f>
        <v/>
      </c>
      <c r="B1873" s="2255" t="s">
        <v>86</v>
      </c>
      <c r="C1873" s="2262"/>
      <c r="D1873" s="2146">
        <v>0</v>
      </c>
      <c r="E1873" s="2188" t="s">
        <v>5796</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ht="15"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ht="15"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ht="15"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5" outlineLevel="1">
      <c r="A1877" s="2176" t="str">
        <f>A1876</f>
        <v/>
      </c>
      <c r="B1877" s="2246"/>
      <c r="C1877" s="2252"/>
      <c r="D1877" s="2253"/>
      <c r="E1877" s="2268" t="s">
        <v>6132</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ht="15" outlineLevel="1">
      <c r="A1878" s="2176" t="str">
        <f t="shared" ref="A1878:A1894" si="350">IF(G1878&lt;&gt;0,1,"")</f>
        <v/>
      </c>
      <c r="B1878" s="2255" t="s">
        <v>1911</v>
      </c>
      <c r="C1878" s="2262"/>
      <c r="D1878" s="2146">
        <v>0</v>
      </c>
      <c r="E1878" s="2188" t="s">
        <v>6371</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ht="15"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ht="15" outlineLevel="1">
      <c r="A1880" s="2176" t="str">
        <f>IF(G1880&lt;&gt;0,1,"")</f>
        <v/>
      </c>
      <c r="B1880" s="2255" t="s">
        <v>5755</v>
      </c>
      <c r="C1880" s="2262"/>
      <c r="D1880" s="2146" t="s">
        <v>5731</v>
      </c>
      <c r="E1880" s="2188" t="s">
        <v>5750</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ht="15" outlineLevel="1">
      <c r="A1881" s="2176" t="str">
        <f t="shared" si="350"/>
        <v/>
      </c>
      <c r="B1881" s="2255" t="s">
        <v>447</v>
      </c>
      <c r="C1881" s="2262"/>
      <c r="D1881" s="2146" t="s">
        <v>5730</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ht="15"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ht="15"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ht="15"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ht="15" outlineLevel="1">
      <c r="A1885" s="2176" t="str">
        <f>IF(G1885&lt;&gt;0,1,"")</f>
        <v/>
      </c>
      <c r="B1885" s="2255" t="s">
        <v>86</v>
      </c>
      <c r="C1885" s="2262"/>
      <c r="D1885" s="2146">
        <v>0</v>
      </c>
      <c r="E1885" s="2188" t="s">
        <v>5796</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ht="15" outlineLevel="1">
      <c r="A1886" s="2176" t="str">
        <f>IF(G1886&lt;&gt;0,1,"")</f>
        <v/>
      </c>
      <c r="B1886" s="2255" t="s">
        <v>86</v>
      </c>
      <c r="C1886" s="2262"/>
      <c r="D1886" s="2146">
        <v>0</v>
      </c>
      <c r="E1886" s="2188" t="s">
        <v>5796</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ht="15" outlineLevel="1">
      <c r="A1887" s="2176" t="str">
        <f t="shared" si="350"/>
        <v/>
      </c>
      <c r="B1887" s="2246" t="s">
        <v>1990</v>
      </c>
      <c r="C1887" s="2262"/>
      <c r="D1887" s="2146">
        <v>0</v>
      </c>
      <c r="E1887" s="2188" t="s">
        <v>5256</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ht="15"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ht="15" outlineLevel="1">
      <c r="A1889" s="2176" t="str">
        <f>IF(G1889&lt;&gt;0,1,"")</f>
        <v/>
      </c>
      <c r="B1889" s="2255" t="s">
        <v>5792</v>
      </c>
      <c r="C1889" s="2262"/>
      <c r="D1889" s="2146">
        <v>0</v>
      </c>
      <c r="E1889" s="2188" t="s">
        <v>5793</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ht="15"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ht="15" outlineLevel="1">
      <c r="A1891" s="2176" t="str">
        <f t="shared" si="350"/>
        <v/>
      </c>
      <c r="B1891" s="2246" t="s">
        <v>6</v>
      </c>
      <c r="C1891" s="2262"/>
      <c r="D1891" s="2146"/>
      <c r="E1891" s="2188" t="s">
        <v>3567</v>
      </c>
      <c r="F1891" s="2146" t="s">
        <v>5805</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ht="15" outlineLevel="1">
      <c r="A1892" s="2176" t="str">
        <f t="shared" si="350"/>
        <v/>
      </c>
      <c r="B1892" s="2246" t="s">
        <v>1410</v>
      </c>
      <c r="C1892" s="2262"/>
      <c r="D1892" s="2146" t="s">
        <v>5340</v>
      </c>
      <c r="E1892" s="2188" t="s">
        <v>5341</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ht="15" outlineLevel="1">
      <c r="A1893" s="2176" t="str">
        <f>IF(G1893&lt;&gt;0,1,"")</f>
        <v/>
      </c>
      <c r="B1893" s="2246" t="s">
        <v>2006</v>
      </c>
      <c r="C1893" s="2262"/>
      <c r="D1893" s="2146" t="s">
        <v>5571</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ht="15" outlineLevel="1">
      <c r="A1894" s="2176" t="str">
        <f t="shared" si="350"/>
        <v/>
      </c>
      <c r="B1894" s="2246" t="s">
        <v>5574</v>
      </c>
      <c r="C1894" s="2262"/>
      <c r="D1894" s="2146" t="s">
        <v>5575</v>
      </c>
      <c r="E1894" s="2188" t="s">
        <v>5576</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ht="15" outlineLevel="1">
      <c r="A1895" s="2176">
        <f>A1630</f>
        <v>0</v>
      </c>
      <c r="B1895" s="2351"/>
      <c r="C1895" s="2417"/>
      <c r="D1895" s="2418"/>
      <c r="E1895" s="2632"/>
      <c r="F1895" s="2631"/>
      <c r="G1895" s="2631"/>
      <c r="H1895" s="2631"/>
      <c r="I1895" s="2631"/>
      <c r="J1895" s="2641" t="s">
        <v>6130</v>
      </c>
      <c r="K1895" s="2641"/>
      <c r="L1895" s="2419">
        <f>SUM(L1646:L1894)</f>
        <v>0</v>
      </c>
      <c r="M1895" s="2419">
        <f>SUM(M1646:M1894)</f>
        <v>0</v>
      </c>
      <c r="N1895" s="2419">
        <f>SUM(N1646:N1894)</f>
        <v>0</v>
      </c>
      <c r="O1895" s="2419">
        <f>SUM(O1646:O1894)</f>
        <v>0</v>
      </c>
      <c r="P1895" s="2440"/>
      <c r="Q1895" s="2260"/>
      <c r="R1895" s="2260"/>
      <c r="S1895" s="2260"/>
    </row>
    <row r="1896" spans="1:19" s="2099" customFormat="1" ht="15"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ht="15" outlineLevel="1">
      <c r="A1897" s="2176">
        <f>A1911</f>
        <v>0</v>
      </c>
      <c r="B1897" s="2381"/>
      <c r="C1897" s="2618" t="s">
        <v>6304</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ht="15" outlineLevel="1">
      <c r="A1898" s="2176">
        <f>A1897</f>
        <v>0</v>
      </c>
      <c r="B1898" s="2255" t="s">
        <v>6111</v>
      </c>
      <c r="C1898" s="2642" t="s">
        <v>1708</v>
      </c>
      <c r="D1898" s="2643" t="s">
        <v>2597</v>
      </c>
      <c r="E1898" s="2645" t="s">
        <v>2598</v>
      </c>
      <c r="F1898" s="2642" t="s">
        <v>2593</v>
      </c>
      <c r="G1898" s="2103" t="s">
        <v>6112</v>
      </c>
      <c r="H1898" s="2106" t="s">
        <v>6113</v>
      </c>
      <c r="I1898" s="2613"/>
      <c r="J1898" s="2613"/>
      <c r="K1898" s="2614"/>
      <c r="L1898" s="2106" t="s">
        <v>6114</v>
      </c>
      <c r="M1898" s="2613"/>
      <c r="N1898" s="2613"/>
      <c r="O1898" s="2614"/>
      <c r="P1898" s="2527" t="s">
        <v>2599</v>
      </c>
      <c r="Q1898" s="2260"/>
      <c r="R1898" s="2260"/>
      <c r="S1898" s="2260"/>
    </row>
    <row r="1899" spans="1:19" s="2099" customFormat="1" ht="15" outlineLevel="1">
      <c r="A1899" s="2176">
        <f>A1898</f>
        <v>0</v>
      </c>
      <c r="B1899" s="2255"/>
      <c r="C1899" s="2642"/>
      <c r="D1899" s="2644"/>
      <c r="E1899" s="2646"/>
      <c r="F1899" s="2642"/>
      <c r="G1899" s="2105" t="s">
        <v>2286</v>
      </c>
      <c r="H1899" s="2106" t="s">
        <v>6115</v>
      </c>
      <c r="I1899" s="2106" t="s">
        <v>6116</v>
      </c>
      <c r="J1899" s="2106" t="s">
        <v>6117</v>
      </c>
      <c r="K1899" s="2106" t="s">
        <v>6118</v>
      </c>
      <c r="L1899" s="2106" t="s">
        <v>6115</v>
      </c>
      <c r="M1899" s="2106" t="s">
        <v>6116</v>
      </c>
      <c r="N1899" s="2106" t="s">
        <v>6117</v>
      </c>
      <c r="O1899" s="2106" t="s">
        <v>6118</v>
      </c>
      <c r="P1899" s="2527"/>
      <c r="Q1899" s="2260"/>
      <c r="R1899" s="2260"/>
      <c r="S1899" s="2260"/>
    </row>
    <row r="1900" spans="1:19" s="2099" customFormat="1" ht="15"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ht="15" outlineLevel="1">
      <c r="A1901" s="2176" t="str">
        <f>IF(G1901&lt;&gt;0,1,"")</f>
        <v/>
      </c>
      <c r="B1901" s="2246" t="str">
        <f>IF($F$8=15,"tr400","tr4001")</f>
        <v>tr4001</v>
      </c>
      <c r="C1901" s="2262">
        <f>IF(G1901&gt;0,1,0)</f>
        <v>0</v>
      </c>
      <c r="D1901" s="2146" t="s">
        <v>5591</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ht="15" outlineLevel="1">
      <c r="A1902" s="2176" t="str">
        <f>IF(G1902&lt;&gt;0,1,"")</f>
        <v/>
      </c>
      <c r="B1902" s="2112" t="str">
        <f>"FCO100-"&amp;$F$8</f>
        <v>FCO100-22</v>
      </c>
      <c r="C1902" s="2262">
        <f>IF(G1902&gt;0,C1901+1,C1901)</f>
        <v>0</v>
      </c>
      <c r="D1902" s="2146" t="s">
        <v>5597</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ht="15"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ht="15" outlineLevel="1">
      <c r="A1904" s="2176" t="str">
        <f t="shared" si="359"/>
        <v/>
      </c>
      <c r="B1904" s="2255" t="str">
        <f>"LA"&amp;$F$6</f>
        <v>LA18</v>
      </c>
      <c r="C1904" s="2262">
        <f t="shared" ref="C1904:C1910" si="360">IF(G1904&gt;0,C1903+1,C1903)</f>
        <v>0</v>
      </c>
      <c r="D1904" s="2146" t="s">
        <v>5601</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ht="15" outlineLevel="1">
      <c r="A1905" s="2176" t="str">
        <f t="shared" si="359"/>
        <v/>
      </c>
      <c r="B1905" s="2351" t="s">
        <v>1462</v>
      </c>
      <c r="C1905" s="2262">
        <f t="shared" si="360"/>
        <v>0</v>
      </c>
      <c r="D1905" s="2146" t="s">
        <v>5687</v>
      </c>
      <c r="E1905" s="2188" t="s">
        <v>5688</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ht="15" outlineLevel="1">
      <c r="A1906" s="2176" t="str">
        <f t="shared" si="359"/>
        <v/>
      </c>
      <c r="B1906" s="2351" t="s">
        <v>953</v>
      </c>
      <c r="C1906" s="2262">
        <f t="shared" si="360"/>
        <v>0</v>
      </c>
      <c r="D1906" s="2146" t="s">
        <v>5684</v>
      </c>
      <c r="E1906" s="2188" t="s">
        <v>5685</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ht="15" outlineLevel="1">
      <c r="A1907" s="2176" t="str">
        <f t="shared" si="359"/>
        <v/>
      </c>
      <c r="B1907" s="2351" t="s">
        <v>1461</v>
      </c>
      <c r="C1907" s="2262">
        <f t="shared" si="360"/>
        <v>0</v>
      </c>
      <c r="D1907" s="2146" t="s">
        <v>5620</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ht="15"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ht="15"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ht="15"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ht="15" outlineLevel="1">
      <c r="A1911" s="2176">
        <f>IF(SUM(L1911:O1911)&gt;0,1,)</f>
        <v>0</v>
      </c>
      <c r="B1911" s="2255"/>
      <c r="C1911" s="2387"/>
      <c r="D1911" s="2388"/>
      <c r="E1911" s="2389"/>
      <c r="F1911" s="2387"/>
      <c r="G1911" s="2439"/>
      <c r="H1911" s="2387"/>
      <c r="I1911" s="2387"/>
      <c r="J1911" s="2111" t="s">
        <v>6120</v>
      </c>
      <c r="K1911" s="2387"/>
      <c r="L1911" s="2389">
        <f>SUM(L1901:L1910)</f>
        <v>0</v>
      </c>
      <c r="M1911" s="2389">
        <f>SUM(M1901:M1910)</f>
        <v>0</v>
      </c>
      <c r="N1911" s="2389">
        <f>SUM(N1901:N1910)</f>
        <v>0</v>
      </c>
      <c r="O1911" s="2389">
        <f>SUM(O1901:O1910)</f>
        <v>0</v>
      </c>
      <c r="P1911" s="2440"/>
      <c r="Q1911" s="2260"/>
      <c r="R1911" s="2260"/>
      <c r="S1911" s="2260"/>
    </row>
    <row r="1912" spans="1:19" s="2099" customFormat="1" ht="15"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ht="15" outlineLevel="1">
      <c r="A1913" s="2176" t="str">
        <f t="shared" ref="A1913:A1931" si="361">IF(G1913&lt;&gt;0,1,"")</f>
        <v/>
      </c>
      <c r="B1913" s="2395"/>
      <c r="C1913" s="2396">
        <f>IF(G1913&gt;0,1,0)</f>
        <v>0</v>
      </c>
      <c r="D1913" s="2146"/>
      <c r="E1913" s="2397" t="s">
        <v>6121</v>
      </c>
      <c r="F1913" s="2398" t="s">
        <v>2277</v>
      </c>
      <c r="G1913" s="2455"/>
      <c r="H1913" s="2398"/>
      <c r="I1913" s="2398"/>
      <c r="J1913" s="2398"/>
      <c r="K1913" s="2398"/>
      <c r="L1913" s="2399"/>
      <c r="M1913" s="2399"/>
      <c r="N1913" s="2399"/>
      <c r="O1913" s="2400"/>
      <c r="P1913" s="2383"/>
      <c r="Q1913" s="2260"/>
      <c r="R1913" s="2260"/>
      <c r="S1913" s="2260"/>
    </row>
    <row r="1914" spans="1:19" s="2099" customFormat="1" ht="15"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ht="15"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ht="15"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ht="15" outlineLevel="1">
      <c r="A1917" s="2176" t="str">
        <f t="shared" si="361"/>
        <v/>
      </c>
      <c r="B1917" s="2395"/>
      <c r="C1917" s="2396">
        <f>IF(G1917&gt;0,1,0)</f>
        <v>0</v>
      </c>
      <c r="D1917" s="2146"/>
      <c r="E1917" s="2397" t="s">
        <v>6216</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ht="15"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ht="15"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ht="15"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ht="15"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ht="15" outlineLevel="1">
      <c r="A1922" s="2176" t="str">
        <f t="shared" si="361"/>
        <v/>
      </c>
      <c r="B1922" s="2351" t="s">
        <v>636</v>
      </c>
      <c r="C1922" s="2401"/>
      <c r="D1922" s="2146" t="s">
        <v>5046</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ht="15" outlineLevel="1">
      <c r="A1923" s="2176" t="str">
        <f t="shared" si="361"/>
        <v/>
      </c>
      <c r="B1923" s="2351" t="s">
        <v>566</v>
      </c>
      <c r="C1923" s="2401"/>
      <c r="D1923" s="2146"/>
      <c r="E1923" s="2402" t="s">
        <v>5071</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ht="15" outlineLevel="1">
      <c r="A1924" s="2176" t="str">
        <f t="shared" si="361"/>
        <v/>
      </c>
      <c r="B1924" s="2351" t="s">
        <v>639</v>
      </c>
      <c r="C1924" s="2401"/>
      <c r="D1924" s="2146" t="s">
        <v>1747</v>
      </c>
      <c r="E1924" s="2402" t="s">
        <v>5323</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ht="15" outlineLevel="1">
      <c r="A1925" s="2176" t="str">
        <f t="shared" si="361"/>
        <v/>
      </c>
      <c r="B1925" s="2351" t="s">
        <v>21</v>
      </c>
      <c r="C1925" s="2401"/>
      <c r="D1925" s="2146" t="s">
        <v>5324</v>
      </c>
      <c r="E1925" s="2402" t="s">
        <v>5325</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ht="15"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ht="15" outlineLevel="1">
      <c r="A1927" s="2176" t="str">
        <f t="shared" si="361"/>
        <v/>
      </c>
      <c r="B1927" s="2351" t="s">
        <v>636</v>
      </c>
      <c r="C1927" s="2401"/>
      <c r="D1927" s="2146" t="s">
        <v>5046</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ht="15" outlineLevel="1">
      <c r="A1928" s="2176" t="str">
        <f t="shared" si="361"/>
        <v/>
      </c>
      <c r="B1928" s="2351" t="s">
        <v>566</v>
      </c>
      <c r="C1928" s="2401"/>
      <c r="D1928" s="2146"/>
      <c r="E1928" s="2402" t="s">
        <v>5071</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ht="15" outlineLevel="1">
      <c r="A1929" s="2176" t="str">
        <f t="shared" si="361"/>
        <v/>
      </c>
      <c r="B1929" s="2351" t="s">
        <v>639</v>
      </c>
      <c r="C1929" s="2401"/>
      <c r="D1929" s="2146" t="s">
        <v>1747</v>
      </c>
      <c r="E1929" s="2402" t="s">
        <v>5323</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ht="15" outlineLevel="1">
      <c r="A1930" s="2176" t="str">
        <f t="shared" si="361"/>
        <v/>
      </c>
      <c r="B1930" s="2351" t="s">
        <v>21</v>
      </c>
      <c r="C1930" s="2401"/>
      <c r="D1930" s="2146" t="s">
        <v>5324</v>
      </c>
      <c r="E1930" s="2402" t="s">
        <v>5325</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ht="15"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5" outlineLevel="1">
      <c r="A1932" s="2176" t="str">
        <f>A1931</f>
        <v/>
      </c>
      <c r="B1932" s="2255"/>
      <c r="C1932" s="2252"/>
      <c r="D1932" s="2408"/>
      <c r="E1932" s="2261" t="s">
        <v>6132</v>
      </c>
      <c r="F1932" s="2262"/>
      <c r="G1932" s="2444"/>
      <c r="H1932" s="2409"/>
      <c r="I1932" s="2409"/>
      <c r="J1932" s="2409"/>
      <c r="K1932" s="2409"/>
      <c r="L1932" s="2409"/>
      <c r="M1932" s="2409"/>
      <c r="N1932" s="2409"/>
      <c r="O1932" s="2409"/>
      <c r="P1932" s="2443"/>
      <c r="Q1932" s="2260"/>
      <c r="R1932" s="2260"/>
      <c r="S1932" s="2260"/>
    </row>
    <row r="1933" spans="1:19" s="2099" customFormat="1" ht="15" outlineLevel="1">
      <c r="A1933" s="2176" t="str">
        <f>IF(G1933&lt;&gt;0,1,"")</f>
        <v/>
      </c>
      <c r="B1933" s="2246" t="s">
        <v>5840</v>
      </c>
      <c r="C1933" s="2252"/>
      <c r="D1933" s="2146">
        <v>0</v>
      </c>
      <c r="E1933" s="2188" t="s">
        <v>5841</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ht="15" outlineLevel="1">
      <c r="A1934" s="2176" t="str">
        <f t="shared" ref="A1934:A1947" si="362">IF(G1934&lt;&gt;0,1,"")</f>
        <v/>
      </c>
      <c r="B1934" s="2246" t="s">
        <v>5842</v>
      </c>
      <c r="C1934" s="2252"/>
      <c r="D1934" s="2146">
        <v>0</v>
      </c>
      <c r="E1934" s="2188" t="s">
        <v>5843</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ht="15" outlineLevel="1">
      <c r="A1935" s="2176" t="str">
        <f t="shared" si="362"/>
        <v/>
      </c>
      <c r="B1935" s="2246" t="s">
        <v>5846</v>
      </c>
      <c r="C1935" s="2252"/>
      <c r="D1935" s="2146">
        <v>0</v>
      </c>
      <c r="E1935" s="2188" t="s">
        <v>5847</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ht="15" outlineLevel="1">
      <c r="A1936" s="2176" t="str">
        <f t="shared" si="362"/>
        <v/>
      </c>
      <c r="B1936" s="2246" t="s">
        <v>5848</v>
      </c>
      <c r="C1936" s="2252"/>
      <c r="D1936" s="2146">
        <v>0</v>
      </c>
      <c r="E1936" s="2188" t="s">
        <v>5849</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ht="15" outlineLevel="1">
      <c r="A1937" s="2176" t="str">
        <f t="shared" si="362"/>
        <v/>
      </c>
      <c r="B1937" s="2246" t="s">
        <v>5850</v>
      </c>
      <c r="C1937" s="2252"/>
      <c r="D1937" s="2146">
        <v>0</v>
      </c>
      <c r="E1937" s="2188" t="s">
        <v>5851</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ht="15" outlineLevel="1">
      <c r="A1938" s="2176" t="str">
        <f t="shared" si="362"/>
        <v/>
      </c>
      <c r="B1938" s="2246" t="s">
        <v>5854</v>
      </c>
      <c r="C1938" s="2252"/>
      <c r="D1938" s="2146">
        <v>0</v>
      </c>
      <c r="E1938" s="2188" t="s">
        <v>5855</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ht="15" outlineLevel="1">
      <c r="A1939" s="2176" t="str">
        <f t="shared" si="362"/>
        <v/>
      </c>
      <c r="B1939" s="2246" t="s">
        <v>5856</v>
      </c>
      <c r="C1939" s="2252"/>
      <c r="D1939" s="2146">
        <v>0</v>
      </c>
      <c r="E1939" s="2188" t="s">
        <v>5857</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ht="15" outlineLevel="1">
      <c r="A1940" s="2176" t="str">
        <f t="shared" si="362"/>
        <v/>
      </c>
      <c r="B1940" s="2246" t="s">
        <v>5860</v>
      </c>
      <c r="C1940" s="2252"/>
      <c r="D1940" s="2146">
        <v>0</v>
      </c>
      <c r="E1940" s="2188" t="s">
        <v>5861</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ht="15" outlineLevel="1">
      <c r="A1941" s="2176" t="str">
        <f t="shared" si="362"/>
        <v/>
      </c>
      <c r="B1941" s="2246" t="s">
        <v>5862</v>
      </c>
      <c r="C1941" s="2252"/>
      <c r="D1941" s="2146">
        <v>0</v>
      </c>
      <c r="E1941" s="2188" t="s">
        <v>5863</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ht="15" outlineLevel="1">
      <c r="A1942" s="2176" t="str">
        <f t="shared" si="362"/>
        <v/>
      </c>
      <c r="B1942" s="2246" t="s">
        <v>5866</v>
      </c>
      <c r="C1942" s="2252"/>
      <c r="D1942" s="2146">
        <v>0</v>
      </c>
      <c r="E1942" s="2188" t="s">
        <v>5867</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ht="15" outlineLevel="1">
      <c r="A1943" s="2176" t="str">
        <f t="shared" si="362"/>
        <v/>
      </c>
      <c r="B1943" s="2246" t="s">
        <v>4837</v>
      </c>
      <c r="C1943" s="2252"/>
      <c r="D1943" s="2146">
        <v>0</v>
      </c>
      <c r="E1943" s="2188" t="s">
        <v>5064</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ht="15" outlineLevel="1">
      <c r="A1944" s="2176" t="str">
        <f t="shared" si="362"/>
        <v/>
      </c>
      <c r="B1944" s="2246" t="s">
        <v>5059</v>
      </c>
      <c r="C1944" s="2252"/>
      <c r="D1944" s="2146">
        <v>0</v>
      </c>
      <c r="E1944" s="2188" t="s">
        <v>5060</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ht="15"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ht="15"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ht="15"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ht="15"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ht="15"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ht="15" outlineLevel="1">
      <c r="A1950" s="2176" t="str">
        <f>IF(G1950&lt;&gt;0,1,"")</f>
        <v/>
      </c>
      <c r="B1950" s="2115" t="s">
        <v>5424</v>
      </c>
      <c r="C1950" s="2252"/>
      <c r="D1950" s="2146" t="s">
        <v>5425</v>
      </c>
      <c r="E1950" s="2188" t="s">
        <v>5426</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ht="15" outlineLevel="1">
      <c r="A1951" s="2176" t="str">
        <f>IF(G1951&lt;&gt;0,1,"")</f>
        <v/>
      </c>
      <c r="B1951" s="2255"/>
      <c r="C1951" s="2252">
        <f>IF(G1951&gt;0,C1931+1,C1927)</f>
        <v>0</v>
      </c>
      <c r="D1951" s="2253"/>
      <c r="E1951" s="2411" t="s">
        <v>6236</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5" outlineLevel="1">
      <c r="A1952" s="2176" t="str">
        <f>A1951</f>
        <v/>
      </c>
      <c r="B1952" s="2255"/>
      <c r="C1952" s="2252"/>
      <c r="D1952" s="2253"/>
      <c r="E1952" s="2261" t="s">
        <v>6132</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ht="15" outlineLevel="1">
      <c r="A1953" s="2176" t="str">
        <f t="shared" ref="A1953:A1959" si="371">IF(G1953&lt;&gt;0,1,"")</f>
        <v/>
      </c>
      <c r="B1953" s="2127" t="s">
        <v>5150</v>
      </c>
      <c r="C1953" s="2252"/>
      <c r="D1953" s="2146">
        <v>0</v>
      </c>
      <c r="E1953" s="2188" t="s">
        <v>5151</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ht="15" outlineLevel="1">
      <c r="A1954" s="2176" t="str">
        <f t="shared" si="371"/>
        <v/>
      </c>
      <c r="B1954" s="2127" t="s">
        <v>5157</v>
      </c>
      <c r="C1954" s="2252"/>
      <c r="D1954" s="2146">
        <v>0</v>
      </c>
      <c r="E1954" s="2188" t="s">
        <v>5158</v>
      </c>
      <c r="F1954" s="2146" t="s">
        <v>5159</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ht="15" outlineLevel="1">
      <c r="A1955" s="2176" t="str">
        <f t="shared" si="371"/>
        <v/>
      </c>
      <c r="B1955" s="2124" t="s">
        <v>488</v>
      </c>
      <c r="C1955" s="2252"/>
      <c r="D1955" s="2146">
        <v>0</v>
      </c>
      <c r="E1955" s="2188" t="s">
        <v>5077</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ht="15" outlineLevel="1">
      <c r="A1956" s="2176" t="str">
        <f t="shared" si="371"/>
        <v/>
      </c>
      <c r="B1956" s="2255" t="s">
        <v>6259</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ht="15" outlineLevel="1">
      <c r="A1957" s="2176" t="str">
        <f t="shared" si="371"/>
        <v/>
      </c>
      <c r="B1957" s="2255" t="s">
        <v>6260</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ht="15" outlineLevel="1">
      <c r="A1958" s="2176" t="str">
        <f t="shared" si="371"/>
        <v/>
      </c>
      <c r="B1958" s="2115" t="s">
        <v>6240</v>
      </c>
      <c r="C1958" s="2252"/>
      <c r="D1958" s="2146" t="s">
        <v>5147</v>
      </c>
      <c r="E1958" s="2188" t="s">
        <v>5376</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ht="15" outlineLevel="1">
      <c r="A1959" s="2176" t="str">
        <f t="shared" si="371"/>
        <v/>
      </c>
      <c r="B1959" s="2255"/>
      <c r="C1959" s="2252">
        <f>IF(G1959&gt;0,C1931+2,C1931)</f>
        <v>0</v>
      </c>
      <c r="D1959" s="2253"/>
      <c r="E1959" s="2411" t="s">
        <v>6261</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5" outlineLevel="1">
      <c r="A1960" s="2176" t="str">
        <f>A1959</f>
        <v/>
      </c>
      <c r="B1960" s="2255"/>
      <c r="C1960" s="2252"/>
      <c r="D1960" s="2253"/>
      <c r="E1960" s="2261" t="s">
        <v>6132</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ht="15"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ht="15"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ht="15"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ht="15"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ht="15" outlineLevel="1">
      <c r="A1965" s="2176" t="str">
        <f t="shared" si="374"/>
        <v/>
      </c>
      <c r="B1965" s="2115" t="s">
        <v>5424</v>
      </c>
      <c r="C1965" s="2252"/>
      <c r="D1965" s="2146" t="s">
        <v>5425</v>
      </c>
      <c r="E1965" s="2188" t="s">
        <v>5426</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ht="15"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5" outlineLevel="1">
      <c r="A1967" s="2176" t="str">
        <f>+A1966</f>
        <v/>
      </c>
      <c r="B1967" s="2412"/>
      <c r="C1967" s="2252"/>
      <c r="D1967" s="2253"/>
      <c r="E1967" s="2261" t="s">
        <v>6132</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ht="15"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ht="15" outlineLevel="1">
      <c r="A1969" s="2176" t="str">
        <f t="shared" si="375"/>
        <v/>
      </c>
      <c r="B1969" s="2246" t="s">
        <v>1508</v>
      </c>
      <c r="C1969" s="2252"/>
      <c r="D1969" s="2146">
        <v>0</v>
      </c>
      <c r="E1969" s="2188" t="s">
        <v>5162</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ht="15"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ht="15"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ht="15" outlineLevel="1">
      <c r="A1972" s="2176" t="str">
        <f t="shared" si="375"/>
        <v/>
      </c>
      <c r="B1972" s="2255" t="s">
        <v>6207</v>
      </c>
      <c r="C1972" s="2252"/>
      <c r="D1972" s="2146" t="s">
        <v>5724</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ht="15"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ht="15" outlineLevel="1">
      <c r="A1974" s="2176" t="str">
        <f t="shared" si="375"/>
        <v/>
      </c>
      <c r="B1974" s="2246" t="s">
        <v>525</v>
      </c>
      <c r="C1974" s="2413"/>
      <c r="D1974" s="2146">
        <v>0</v>
      </c>
      <c r="E1974" s="2188" t="s">
        <v>5251</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ht="15" outlineLevel="1">
      <c r="A1975" s="2176" t="str">
        <f t="shared" si="375"/>
        <v/>
      </c>
      <c r="B1975" s="2246" t="s">
        <v>1585</v>
      </c>
      <c r="C1975" s="2413"/>
      <c r="D1975" s="2146">
        <v>0</v>
      </c>
      <c r="E1975" s="2188" t="s">
        <v>5712</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ht="15" outlineLevel="1">
      <c r="A1976" s="2176" t="str">
        <f t="shared" si="375"/>
        <v/>
      </c>
      <c r="B1976" s="2246" t="s">
        <v>5163</v>
      </c>
      <c r="C1976" s="2413"/>
      <c r="D1976" s="2146">
        <v>0</v>
      </c>
      <c r="E1976" s="2188" t="s">
        <v>5164</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ht="15" outlineLevel="1">
      <c r="A1977" s="2176" t="str">
        <f t="shared" si="375"/>
        <v/>
      </c>
      <c r="B1977" s="2246" t="s">
        <v>5167</v>
      </c>
      <c r="C1977" s="2413"/>
      <c r="D1977" s="2146" t="s">
        <v>5168</v>
      </c>
      <c r="E1977" s="2188" t="s">
        <v>5169</v>
      </c>
      <c r="F1977" s="2146" t="s">
        <v>5170</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ht="15"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ht="15" outlineLevel="1">
      <c r="A1979" s="2176" t="str">
        <f>IF(G1979&lt;&gt;0,1,"")</f>
        <v/>
      </c>
      <c r="B1979" s="2246" t="s">
        <v>5174</v>
      </c>
      <c r="C1979" s="2413"/>
      <c r="D1979" s="2146">
        <v>0</v>
      </c>
      <c r="E1979" s="2188" t="s">
        <v>5175</v>
      </c>
      <c r="F1979" s="2146" t="s">
        <v>5173</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ht="15"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ht="15" outlineLevel="1">
      <c r="A1981" s="2176" t="str">
        <f t="shared" ref="A1981:A1986" si="376">IF(G1981&lt;&gt;0,1,"")</f>
        <v/>
      </c>
      <c r="B1981" s="2246" t="s">
        <v>5178</v>
      </c>
      <c r="C1981" s="2413"/>
      <c r="D1981" s="2146">
        <v>0</v>
      </c>
      <c r="E1981" s="2188" t="s">
        <v>5179</v>
      </c>
      <c r="F1981" s="2146" t="s">
        <v>5173</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ht="15" outlineLevel="1">
      <c r="A1982" s="2176" t="str">
        <f t="shared" si="376"/>
        <v/>
      </c>
      <c r="B1982" s="2246" t="s">
        <v>6233</v>
      </c>
      <c r="C1982" s="2413"/>
      <c r="D1982" s="2146">
        <v>0</v>
      </c>
      <c r="E1982" s="2188" t="s">
        <v>5050</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ht="15" outlineLevel="1">
      <c r="A1983" s="2176" t="str">
        <f t="shared" si="376"/>
        <v/>
      </c>
      <c r="B1983" s="2246" t="s">
        <v>5180</v>
      </c>
      <c r="C1983" s="2413"/>
      <c r="D1983" s="2146">
        <v>0</v>
      </c>
      <c r="E1983" s="2188" t="s">
        <v>5181</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ht="15" outlineLevel="1">
      <c r="A1984" s="2176" t="str">
        <f t="shared" si="376"/>
        <v/>
      </c>
      <c r="B1984" s="2246" t="s">
        <v>5182</v>
      </c>
      <c r="C1984" s="2413"/>
      <c r="D1984" s="2146">
        <v>0</v>
      </c>
      <c r="E1984" s="2188" t="s">
        <v>5183</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ht="15" outlineLevel="1">
      <c r="A1985" s="2176" t="str">
        <f t="shared" si="376"/>
        <v/>
      </c>
      <c r="B1985" s="2246" t="s">
        <v>794</v>
      </c>
      <c r="C1985" s="2413"/>
      <c r="D1985" s="2146" t="s">
        <v>5335</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ht="15" outlineLevel="1">
      <c r="A1986" s="2176" t="str">
        <f t="shared" si="376"/>
        <v/>
      </c>
      <c r="B1986" s="2246" t="s">
        <v>798</v>
      </c>
      <c r="C1986" s="2413"/>
      <c r="D1986" s="2146" t="s">
        <v>5324</v>
      </c>
      <c r="E1986" s="2188" t="s">
        <v>5336</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ht="15" outlineLevel="1">
      <c r="A1987" s="2176" t="str">
        <f>IF(G1987&lt;&gt;0,1,"")</f>
        <v/>
      </c>
      <c r="B1987" s="2246" t="s">
        <v>902</v>
      </c>
      <c r="C1987" s="2252"/>
      <c r="D1987" s="2146" t="s">
        <v>5350</v>
      </c>
      <c r="E1987" s="2188" t="s">
        <v>5351</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ht="15" outlineLevel="1">
      <c r="A1988" s="2176" t="str">
        <f>IF(G1988&lt;&gt;0,1,"")</f>
        <v/>
      </c>
      <c r="B1988" s="2246" t="s">
        <v>1437</v>
      </c>
      <c r="C1988" s="2252"/>
      <c r="D1988" s="2146" t="s">
        <v>5345</v>
      </c>
      <c r="E1988" s="2188" t="s">
        <v>5346</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ht="15" outlineLevel="1">
      <c r="A1989" s="2176" t="str">
        <f>IF(G1989&lt;&gt;0,1,"")</f>
        <v/>
      </c>
      <c r="B1989" s="2246"/>
      <c r="C1989" s="2252">
        <f>IF(G1989&gt;0,C1966+1,C1966)</f>
        <v>0</v>
      </c>
      <c r="D1989" s="2253"/>
      <c r="E1989" s="2370" t="s">
        <v>6208</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5" outlineLevel="1">
      <c r="A1990" s="2176" t="str">
        <f>A1989</f>
        <v/>
      </c>
      <c r="B1990" s="2246"/>
      <c r="C1990" s="2252"/>
      <c r="D1990" s="2253"/>
      <c r="E1990" s="2261" t="s">
        <v>6132</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ht="15" outlineLevel="1">
      <c r="A1991" s="2176" t="str">
        <f>IF(G1991&lt;&gt;0,1,"")</f>
        <v/>
      </c>
      <c r="B1991" s="2246" t="s">
        <v>5642</v>
      </c>
      <c r="C1991" s="2262"/>
      <c r="D1991" s="2146" t="s">
        <v>5632</v>
      </c>
      <c r="E1991" s="2188" t="s">
        <v>5643</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ht="15" outlineLevel="1">
      <c r="A1992" s="2176" t="str">
        <f>IF(G1992&lt;&gt;0,1,"")</f>
        <v/>
      </c>
      <c r="B1992" s="2246" t="s">
        <v>880</v>
      </c>
      <c r="C1992" s="2252"/>
      <c r="D1992" s="2146">
        <v>0</v>
      </c>
      <c r="E1992" s="2188" t="s">
        <v>5798</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ht="15" outlineLevel="1">
      <c r="A1993" s="2176" t="str">
        <f>IF(G1993&lt;&gt;0,1,"")</f>
        <v/>
      </c>
      <c r="B1993" s="2246" t="s">
        <v>289</v>
      </c>
      <c r="C1993" s="2262"/>
      <c r="D1993" s="2146">
        <v>0</v>
      </c>
      <c r="E1993" s="2188" t="s">
        <v>5711</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ht="15"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ht="15" outlineLevel="1">
      <c r="A1995" s="2176" t="str">
        <f>IF(G1995&lt;&gt;0,1,"")</f>
        <v/>
      </c>
      <c r="B1995" s="2246"/>
      <c r="C1995" s="2252">
        <f>IF(G1995&gt;0,C1989+1,C1989)</f>
        <v>0</v>
      </c>
      <c r="D1995" s="2253"/>
      <c r="E1995" s="2370" t="s">
        <v>6245</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5" outlineLevel="1">
      <c r="A1996" s="2485" t="str">
        <f>A1995</f>
        <v/>
      </c>
      <c r="B1996" s="2246"/>
      <c r="C1996" s="2486"/>
      <c r="D1996" s="2487"/>
      <c r="E1996" s="2488" t="s">
        <v>6132</v>
      </c>
      <c r="F1996" s="2487"/>
      <c r="G1996" s="2489"/>
      <c r="H1996" s="2490"/>
      <c r="I1996" s="2490"/>
      <c r="J1996" s="2490"/>
      <c r="K1996" s="2490"/>
      <c r="L1996" s="2490"/>
      <c r="M1996" s="2490"/>
      <c r="N1996" s="2490"/>
      <c r="O1996" s="2490"/>
      <c r="P1996" s="2491"/>
      <c r="Q1996" s="2492"/>
      <c r="R1996" s="2260"/>
      <c r="S1996" s="2492"/>
    </row>
    <row r="1997" spans="1:255" s="2099" customFormat="1" ht="15" outlineLevel="1">
      <c r="A1997" s="2176" t="str">
        <f>IF(G1997&lt;&gt;0,1,"")</f>
        <v/>
      </c>
      <c r="B1997" s="2246" t="s">
        <v>6246</v>
      </c>
      <c r="C1997" s="2262"/>
      <c r="D1997" s="2146" t="s">
        <v>5654</v>
      </c>
      <c r="E1997" s="2188" t="s">
        <v>5658</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ht="15" outlineLevel="1">
      <c r="A1998" s="2176" t="str">
        <f t="shared" ref="A1998:A2012" si="381">IF(G1998&lt;&gt;0,1,"")</f>
        <v/>
      </c>
      <c r="B1998" s="2246" t="s">
        <v>880</v>
      </c>
      <c r="C1998" s="2262"/>
      <c r="D1998" s="2146">
        <v>0</v>
      </c>
      <c r="E1998" s="2188" t="s">
        <v>5798</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ht="15" outlineLevel="1">
      <c r="A1999" s="2176" t="str">
        <f t="shared" si="381"/>
        <v/>
      </c>
      <c r="B1999" s="2246" t="s">
        <v>289</v>
      </c>
      <c r="C1999" s="2262"/>
      <c r="D1999" s="2146">
        <v>0</v>
      </c>
      <c r="E1999" s="2188" t="s">
        <v>5711</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ht="15"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ht="15"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ht="15"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ht="15"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ht="15" outlineLevel="1">
      <c r="A2004" s="2176" t="str">
        <f t="shared" si="381"/>
        <v/>
      </c>
      <c r="B2004" s="2255" t="s">
        <v>6247</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ht="15"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ht="15" outlineLevel="1">
      <c r="A2006" s="2176" t="str">
        <f t="shared" si="381"/>
        <v/>
      </c>
      <c r="B2006" s="2255" t="s">
        <v>6248</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ht="15" outlineLevel="1">
      <c r="A2007" s="2176" t="str">
        <f t="shared" si="381"/>
        <v/>
      </c>
      <c r="B2007" s="2255" t="s">
        <v>6249</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ht="15"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ht="15"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ht="15" outlineLevel="1">
      <c r="A2010" s="2176" t="str">
        <f t="shared" si="381"/>
        <v/>
      </c>
      <c r="B2010" s="2255" t="s">
        <v>6</v>
      </c>
      <c r="C2010" s="2262"/>
      <c r="D2010" s="2146">
        <v>0</v>
      </c>
      <c r="E2010" s="2188" t="s">
        <v>3567</v>
      </c>
      <c r="F2010" s="2146" t="s">
        <v>5805</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ht="15" outlineLevel="1">
      <c r="A2011" s="2176" t="str">
        <f t="shared" si="381"/>
        <v/>
      </c>
      <c r="B2011" s="2255" t="s">
        <v>672</v>
      </c>
      <c r="C2011" s="2262"/>
      <c r="D2011" s="2146">
        <v>0</v>
      </c>
      <c r="E2011" s="2188" t="s">
        <v>5800</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ht="15" outlineLevel="1">
      <c r="A2012" s="2176" t="str">
        <f t="shared" si="381"/>
        <v/>
      </c>
      <c r="B2012" s="2255" t="s">
        <v>1525</v>
      </c>
      <c r="C2012" s="2262"/>
      <c r="D2012" s="2146" t="s">
        <v>5570</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ht="15" outlineLevel="1">
      <c r="A2013" s="2176" t="str">
        <f>IF(G2013&lt;&gt;0,1,"")</f>
        <v/>
      </c>
      <c r="B2013" s="2255"/>
      <c r="C2013" s="2252">
        <f>IF(G2013&gt;0,C1995+1,C1995)</f>
        <v>0</v>
      </c>
      <c r="D2013" s="2253"/>
      <c r="E2013" s="2254" t="s">
        <v>6262</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5" outlineLevel="1">
      <c r="A2014" s="2176" t="str">
        <f>A2013</f>
        <v/>
      </c>
      <c r="B2014" s="2255"/>
      <c r="C2014" s="2252"/>
      <c r="D2014" s="2253"/>
      <c r="E2014" s="2268" t="s">
        <v>6132</v>
      </c>
      <c r="F2014" s="2252"/>
      <c r="G2014" s="2445"/>
      <c r="H2014" s="2258"/>
      <c r="I2014" s="2258"/>
      <c r="J2014" s="2258"/>
      <c r="K2014" s="2258"/>
      <c r="L2014" s="2258"/>
      <c r="M2014" s="2258"/>
      <c r="N2014" s="2258"/>
      <c r="O2014" s="2258"/>
      <c r="P2014" s="2435"/>
      <c r="Q2014" s="2260"/>
      <c r="R2014" s="2260"/>
      <c r="S2014" s="2260"/>
    </row>
    <row r="2015" spans="1:19" s="2099" customFormat="1" ht="15" outlineLevel="1">
      <c r="A2015" s="2176" t="str">
        <f t="shared" ref="A2015:A2026" si="386">IF(G2015&lt;&gt;0,1,"")</f>
        <v/>
      </c>
      <c r="B2015" s="2246" t="s">
        <v>697</v>
      </c>
      <c r="C2015" s="2262"/>
      <c r="D2015" s="2146">
        <v>0</v>
      </c>
      <c r="E2015" s="2188" t="s">
        <v>5086</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ht="15"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ht="15" outlineLevel="1">
      <c r="A2017" s="2176" t="str">
        <f t="shared" si="386"/>
        <v/>
      </c>
      <c r="B2017" s="2351" t="s">
        <v>1477</v>
      </c>
      <c r="C2017" s="2262"/>
      <c r="D2017" s="2146">
        <v>0</v>
      </c>
      <c r="E2017" s="2188" t="s">
        <v>6345</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ht="15" outlineLevel="1">
      <c r="A2018" s="2176" t="str">
        <f t="shared" si="386"/>
        <v/>
      </c>
      <c r="B2018" s="2351" t="s">
        <v>5698</v>
      </c>
      <c r="C2018" s="2262"/>
      <c r="D2018" s="2146">
        <v>0</v>
      </c>
      <c r="E2018" s="2188" t="s">
        <v>5699</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ht="15" outlineLevel="1">
      <c r="A2019" s="2176" t="str">
        <f t="shared" si="386"/>
        <v/>
      </c>
      <c r="B2019" s="2351" t="s">
        <v>5704</v>
      </c>
      <c r="C2019" s="2262"/>
      <c r="D2019" s="2146">
        <v>0</v>
      </c>
      <c r="E2019" s="2188" t="s">
        <v>5705</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ht="15" outlineLevel="1">
      <c r="A2020" s="2176" t="str">
        <f t="shared" si="386"/>
        <v/>
      </c>
      <c r="B2020" s="2351" t="s">
        <v>5706</v>
      </c>
      <c r="C2020" s="2262"/>
      <c r="D2020" s="2146">
        <v>0</v>
      </c>
      <c r="E2020" s="2188" t="s">
        <v>5707</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ht="15" outlineLevel="1">
      <c r="A2021" s="2176" t="str">
        <f t="shared" si="386"/>
        <v/>
      </c>
      <c r="B2021" s="2351" t="s">
        <v>6263</v>
      </c>
      <c r="C2021" s="2262"/>
      <c r="D2021" s="2146"/>
      <c r="E2021" s="2188" t="s">
        <v>5697</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ht="15"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ht="15"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ht="15" outlineLevel="1">
      <c r="A2024" s="2176" t="str">
        <f t="shared" si="386"/>
        <v/>
      </c>
      <c r="B2024" s="2246" t="s">
        <v>1565</v>
      </c>
      <c r="C2024" s="2262"/>
      <c r="D2024" s="2146" t="s">
        <v>5559</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ht="15" outlineLevel="1">
      <c r="A2025" s="2176" t="str">
        <f t="shared" si="386"/>
        <v/>
      </c>
      <c r="B2025" s="2246" t="s">
        <v>1525</v>
      </c>
      <c r="C2025" s="2262"/>
      <c r="D2025" s="2146" t="s">
        <v>5570</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ht="15"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5" outlineLevel="1">
      <c r="A2027" s="2176" t="str">
        <f>A2026</f>
        <v/>
      </c>
      <c r="B2027" s="2255"/>
      <c r="C2027" s="2252"/>
      <c r="D2027" s="2253"/>
      <c r="E2027" s="2268" t="s">
        <v>6132</v>
      </c>
      <c r="F2027" s="2252"/>
      <c r="G2027" s="2445"/>
      <c r="H2027" s="2258"/>
      <c r="I2027" s="2258"/>
      <c r="J2027" s="2258"/>
      <c r="K2027" s="2258"/>
      <c r="L2027" s="2258"/>
      <c r="M2027" s="2258"/>
      <c r="N2027" s="2258"/>
      <c r="O2027" s="2258"/>
      <c r="P2027" s="2259"/>
      <c r="Q2027" s="2260"/>
      <c r="R2027" s="2260"/>
      <c r="S2027" s="2260"/>
    </row>
    <row r="2028" spans="1:19" s="2099" customFormat="1" ht="15"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ht="15" outlineLevel="1">
      <c r="A2029" s="2176" t="str">
        <f>IF(G2029&lt;&gt;0,1,"")</f>
        <v/>
      </c>
      <c r="B2029" s="2255" t="s">
        <v>86</v>
      </c>
      <c r="C2029" s="2262"/>
      <c r="D2029" s="2146">
        <v>0</v>
      </c>
      <c r="E2029" s="2188" t="s">
        <v>5796</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ht="15"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ht="15"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ht="15" outlineLevel="1">
      <c r="A2032" s="2176" t="str">
        <f>IF(G2032&lt;&gt;0,1,"")</f>
        <v/>
      </c>
      <c r="B2032" s="2246"/>
      <c r="C2032" s="2252">
        <f>IF(G2032&gt;0,C2026+1,C2026)</f>
        <v>0</v>
      </c>
      <c r="D2032" s="2253"/>
      <c r="E2032" s="2254" t="s">
        <v>6264</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5" outlineLevel="1">
      <c r="A2033" s="2176" t="str">
        <f>A2032</f>
        <v/>
      </c>
      <c r="B2033" s="2246"/>
      <c r="C2033" s="2252"/>
      <c r="D2033" s="2253"/>
      <c r="E2033" s="2268" t="s">
        <v>6132</v>
      </c>
      <c r="F2033" s="2252"/>
      <c r="G2033" s="2444"/>
      <c r="H2033" s="2258"/>
      <c r="I2033" s="2258"/>
      <c r="J2033" s="2258"/>
      <c r="K2033" s="2258"/>
      <c r="L2033" s="2258"/>
      <c r="M2033" s="2258"/>
      <c r="N2033" s="2258"/>
      <c r="O2033" s="2258"/>
      <c r="P2033" s="2435"/>
      <c r="Q2033" s="2260"/>
      <c r="R2033" s="2260"/>
      <c r="S2033" s="2260"/>
    </row>
    <row r="2034" spans="1:19" s="2099" customFormat="1" ht="15"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ht="15"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ht="15" outlineLevel="1">
      <c r="A2036" s="2176" t="str">
        <f>IF(G2036&lt;&gt;0,1,"")</f>
        <v/>
      </c>
      <c r="B2036" s="2255" t="s">
        <v>1305</v>
      </c>
      <c r="C2036" s="2262"/>
      <c r="D2036" s="2146" t="s">
        <v>5727</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ht="15" outlineLevel="1">
      <c r="A2037" s="2176" t="str">
        <f>IF(G2037&lt;&gt;0,1,"")</f>
        <v/>
      </c>
      <c r="B2037" s="2255" t="s">
        <v>2156</v>
      </c>
      <c r="C2037" s="2262"/>
      <c r="D2037" s="2146" t="s">
        <v>5730</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ht="15"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ht="15"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ht="15"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ht="15" outlineLevel="1">
      <c r="A2041" s="2176" t="str">
        <f t="shared" si="391"/>
        <v/>
      </c>
      <c r="B2041" s="2255" t="s">
        <v>86</v>
      </c>
      <c r="C2041" s="2262"/>
      <c r="D2041" s="2146">
        <v>0</v>
      </c>
      <c r="E2041" s="2188" t="s">
        <v>5796</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ht="15" outlineLevel="1">
      <c r="A2042" s="2176" t="str">
        <f t="shared" si="391"/>
        <v/>
      </c>
      <c r="B2042" s="2255" t="s">
        <v>1990</v>
      </c>
      <c r="C2042" s="2262"/>
      <c r="D2042" s="2146">
        <v>0</v>
      </c>
      <c r="E2042" s="2188" t="s">
        <v>5256</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ht="15"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ht="15"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ht="15" outlineLevel="1">
      <c r="A2045" s="2176" t="str">
        <f t="shared" si="391"/>
        <v/>
      </c>
      <c r="B2045" s="2255" t="s">
        <v>5792</v>
      </c>
      <c r="C2045" s="2262"/>
      <c r="D2045" s="2146">
        <v>0</v>
      </c>
      <c r="E2045" s="2188" t="s">
        <v>5793</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ht="15"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ht="15" outlineLevel="1">
      <c r="A2047" s="2176" t="str">
        <f t="shared" si="391"/>
        <v/>
      </c>
      <c r="B2047" s="2255" t="s">
        <v>6</v>
      </c>
      <c r="C2047" s="2262"/>
      <c r="D2047" s="2146">
        <v>0</v>
      </c>
      <c r="E2047" s="2188" t="s">
        <v>3567</v>
      </c>
      <c r="F2047" s="2146" t="s">
        <v>5805</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ht="15" outlineLevel="1">
      <c r="A2048" s="2176" t="str">
        <f t="shared" si="391"/>
        <v/>
      </c>
      <c r="B2048" s="2255" t="s">
        <v>672</v>
      </c>
      <c r="C2048" s="2262"/>
      <c r="D2048" s="2146">
        <v>0</v>
      </c>
      <c r="E2048" s="2188" t="s">
        <v>5800</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ht="15" outlineLevel="1">
      <c r="A2049" s="2176" t="str">
        <f>IF(G2049&lt;&gt;0,1,"")</f>
        <v/>
      </c>
      <c r="B2049" s="2255" t="s">
        <v>2006</v>
      </c>
      <c r="C2049" s="2262"/>
      <c r="D2049" s="2146" t="s">
        <v>5571</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ht="15" outlineLevel="1">
      <c r="A2050" s="2176" t="str">
        <f t="shared" si="391"/>
        <v/>
      </c>
      <c r="B2050" s="2255" t="s">
        <v>247</v>
      </c>
      <c r="C2050" s="2262"/>
      <c r="D2050" s="2146" t="s">
        <v>5572</v>
      </c>
      <c r="E2050" s="2188" t="s">
        <v>5573</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ht="15" outlineLevel="1">
      <c r="A2051" s="2176">
        <f>A1899</f>
        <v>0</v>
      </c>
      <c r="B2051" s="2351"/>
      <c r="C2051" s="2526" t="s">
        <v>6130</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ht="15"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ht="15"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ht="15" outlineLevel="1">
      <c r="A2054" s="2176">
        <f>A2053</f>
        <v>0</v>
      </c>
      <c r="B2054" s="2255" t="s">
        <v>6111</v>
      </c>
      <c r="C2054" s="2642" t="s">
        <v>1708</v>
      </c>
      <c r="D2054" s="2643" t="s">
        <v>2597</v>
      </c>
      <c r="E2054" s="2645" t="s">
        <v>2598</v>
      </c>
      <c r="F2054" s="2642" t="s">
        <v>2593</v>
      </c>
      <c r="G2054" s="2103" t="s">
        <v>6112</v>
      </c>
      <c r="H2054" s="2106" t="s">
        <v>6113</v>
      </c>
      <c r="I2054" s="2613"/>
      <c r="J2054" s="2613"/>
      <c r="K2054" s="2614"/>
      <c r="L2054" s="2106" t="s">
        <v>6114</v>
      </c>
      <c r="M2054" s="2613"/>
      <c r="N2054" s="2613"/>
      <c r="O2054" s="2614"/>
      <c r="P2054" s="2527" t="s">
        <v>2599</v>
      </c>
      <c r="Q2054" s="2260"/>
      <c r="R2054" s="2260"/>
      <c r="S2054" s="2260"/>
    </row>
    <row r="2055" spans="1:19" s="2099" customFormat="1" ht="15" outlineLevel="1">
      <c r="A2055" s="2176">
        <f>A2054</f>
        <v>0</v>
      </c>
      <c r="B2055" s="2255"/>
      <c r="C2055" s="2642"/>
      <c r="D2055" s="2644"/>
      <c r="E2055" s="2646"/>
      <c r="F2055" s="2642"/>
      <c r="G2055" s="2105" t="s">
        <v>2286</v>
      </c>
      <c r="H2055" s="2106" t="s">
        <v>6115</v>
      </c>
      <c r="I2055" s="2106" t="s">
        <v>6116</v>
      </c>
      <c r="J2055" s="2106" t="s">
        <v>6117</v>
      </c>
      <c r="K2055" s="2106" t="s">
        <v>6118</v>
      </c>
      <c r="L2055" s="2106" t="s">
        <v>6115</v>
      </c>
      <c r="M2055" s="2106" t="s">
        <v>6116</v>
      </c>
      <c r="N2055" s="2106" t="s">
        <v>6117</v>
      </c>
      <c r="O2055" s="2106" t="s">
        <v>6118</v>
      </c>
      <c r="P2055" s="2527"/>
      <c r="Q2055" s="2260"/>
      <c r="R2055" s="2260"/>
      <c r="S2055" s="2260"/>
    </row>
    <row r="2056" spans="1:19" s="2099" customFormat="1" ht="15"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ht="15" outlineLevel="1">
      <c r="A2057" s="2176" t="str">
        <f>IF(G2057&lt;&gt;0,1,"")</f>
        <v/>
      </c>
      <c r="B2057" s="2246" t="str">
        <f>IF($F$8=15,"tr400","tr4001")</f>
        <v>tr4001</v>
      </c>
      <c r="C2057" s="2262">
        <f>IF(G2057&gt;0,1,0)</f>
        <v>0</v>
      </c>
      <c r="D2057" s="2146" t="s">
        <v>5591</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ht="15" outlineLevel="1">
      <c r="A2058" s="2176" t="str">
        <f>IF(G2058&lt;&gt;0,1,"")</f>
        <v/>
      </c>
      <c r="B2058" s="2112" t="str">
        <f>"FCO100-"&amp;$F$8</f>
        <v>FCO100-22</v>
      </c>
      <c r="C2058" s="2262">
        <f>IF(G2058&gt;0,C2057+1,C2057)</f>
        <v>0</v>
      </c>
      <c r="D2058" s="2146" t="s">
        <v>5597</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ht="15" outlineLevel="1">
      <c r="A2059" s="2524" t="str">
        <f>IF(G2059&lt;&gt;0,1,"")</f>
        <v/>
      </c>
      <c r="B2059" s="2530" t="str">
        <f>"FCO100-"&amp;$F$8</f>
        <v>FCO100-22</v>
      </c>
      <c r="C2059" s="2531">
        <f>IF(G2059&gt;0,C2058+1,C2058)</f>
        <v>0</v>
      </c>
      <c r="D2059" s="2532" t="s">
        <v>5597</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6234</v>
      </c>
      <c r="Q2059" s="2432"/>
      <c r="R2059" s="2432"/>
      <c r="S2059" s="2432"/>
    </row>
    <row r="2060" spans="1:19" s="2099" customFormat="1" ht="15"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ht="15" outlineLevel="1">
      <c r="A2061" s="2176" t="str">
        <f t="shared" si="400"/>
        <v/>
      </c>
      <c r="B2061" s="2255" t="str">
        <f>"LA"&amp;$F$6</f>
        <v>LA18</v>
      </c>
      <c r="C2061" s="2262">
        <f t="shared" ref="C2061:C2068" si="401">IF(G2061&gt;0,C2060+1,C2060)</f>
        <v>0</v>
      </c>
      <c r="D2061" s="2146" t="s">
        <v>5601</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ht="15" outlineLevel="1">
      <c r="A2062" s="2524" t="str">
        <f>IF(G2062&lt;&gt;0,1,"")</f>
        <v/>
      </c>
      <c r="B2062" s="2536" t="str">
        <f>"LA"&amp;$F$6</f>
        <v>LA18</v>
      </c>
      <c r="C2062" s="2531">
        <f>IF(G2062&gt;0,C2061+1,C2061)</f>
        <v>0</v>
      </c>
      <c r="D2062" s="2532" t="s">
        <v>5601</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6234</v>
      </c>
      <c r="Q2062" s="2432"/>
      <c r="R2062" s="2432"/>
      <c r="S2062" s="2432"/>
    </row>
    <row r="2063" spans="1:19" s="2099" customFormat="1" ht="15" outlineLevel="1">
      <c r="A2063" s="2176" t="str">
        <f t="shared" si="400"/>
        <v/>
      </c>
      <c r="B2063" s="2351" t="s">
        <v>1462</v>
      </c>
      <c r="C2063" s="2262">
        <f>IF(G2063&gt;0,C2061+1,C2061)</f>
        <v>0</v>
      </c>
      <c r="D2063" s="2146" t="s">
        <v>5687</v>
      </c>
      <c r="E2063" s="2188" t="s">
        <v>5688</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ht="15" outlineLevel="1">
      <c r="A2064" s="2176" t="str">
        <f t="shared" si="400"/>
        <v/>
      </c>
      <c r="B2064" s="2351" t="s">
        <v>953</v>
      </c>
      <c r="C2064" s="2262">
        <f t="shared" si="401"/>
        <v>0</v>
      </c>
      <c r="D2064" s="2146" t="s">
        <v>5684</v>
      </c>
      <c r="E2064" s="2188" t="s">
        <v>5685</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ht="15" outlineLevel="1">
      <c r="A2065" s="2176" t="str">
        <f t="shared" si="400"/>
        <v/>
      </c>
      <c r="B2065" s="2351" t="s">
        <v>1461</v>
      </c>
      <c r="C2065" s="2262">
        <f t="shared" si="401"/>
        <v>0</v>
      </c>
      <c r="D2065" s="2146" t="s">
        <v>5620</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ht="15"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ht="15"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ht="15"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ht="15" outlineLevel="1">
      <c r="A2069" s="2176">
        <f>IF(SUM(L2069:O2069)&gt;0,1,)</f>
        <v>0</v>
      </c>
      <c r="B2069" s="2255"/>
      <c r="C2069" s="2387"/>
      <c r="D2069" s="2388"/>
      <c r="E2069" s="2389"/>
      <c r="F2069" s="2387"/>
      <c r="G2069" s="2439"/>
      <c r="H2069" s="2387"/>
      <c r="I2069" s="2387"/>
      <c r="J2069" s="2111" t="s">
        <v>6120</v>
      </c>
      <c r="K2069" s="2387"/>
      <c r="L2069" s="2389">
        <f>SUM(L2057:L2068)</f>
        <v>0</v>
      </c>
      <c r="M2069" s="2389">
        <f>SUM(M2057:M2068)</f>
        <v>0</v>
      </c>
      <c r="N2069" s="2389">
        <f>SUM(N2057:N2068)</f>
        <v>0</v>
      </c>
      <c r="O2069" s="2389">
        <f>SUM(O2057:O2068)</f>
        <v>0</v>
      </c>
      <c r="P2069" s="2440"/>
      <c r="Q2069" s="2260"/>
      <c r="R2069" s="2260"/>
      <c r="S2069" s="2260"/>
    </row>
    <row r="2070" spans="1:19" s="2099" customFormat="1" ht="15"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ht="15" outlineLevel="1">
      <c r="A2071" s="2176" t="str">
        <f t="shared" ref="A2071:A2089" si="402">IF(G2071&lt;&gt;0,1,"")</f>
        <v/>
      </c>
      <c r="B2071" s="2395"/>
      <c r="C2071" s="2396">
        <f>IF(G2071&gt;0,1,0)</f>
        <v>0</v>
      </c>
      <c r="D2071" s="2146"/>
      <c r="E2071" s="2397" t="s">
        <v>6121</v>
      </c>
      <c r="F2071" s="2398" t="s">
        <v>2277</v>
      </c>
      <c r="G2071" s="2455"/>
      <c r="H2071" s="2398"/>
      <c r="I2071" s="2398"/>
      <c r="J2071" s="2398"/>
      <c r="K2071" s="2398"/>
      <c r="L2071" s="2399"/>
      <c r="M2071" s="2399"/>
      <c r="N2071" s="2399"/>
      <c r="O2071" s="2400"/>
      <c r="P2071" s="2383"/>
      <c r="Q2071" s="2260"/>
      <c r="R2071" s="2260"/>
      <c r="S2071" s="2260"/>
    </row>
    <row r="2072" spans="1:19" s="2099" customFormat="1" ht="15"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ht="15"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ht="15"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ht="15" outlineLevel="1">
      <c r="A2075" s="2176" t="str">
        <f t="shared" si="402"/>
        <v/>
      </c>
      <c r="B2075" s="2395"/>
      <c r="C2075" s="2396">
        <f>IF(G2075&gt;0,1,0)</f>
        <v>0</v>
      </c>
      <c r="D2075" s="2146"/>
      <c r="E2075" s="2397" t="s">
        <v>6216</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ht="15"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ht="15"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ht="15"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ht="15"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ht="15" outlineLevel="1">
      <c r="A2080" s="2176" t="str">
        <f t="shared" si="402"/>
        <v/>
      </c>
      <c r="B2080" s="2351" t="s">
        <v>636</v>
      </c>
      <c r="C2080" s="2401"/>
      <c r="D2080" s="2146" t="s">
        <v>5046</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ht="15" outlineLevel="1">
      <c r="A2081" s="2176" t="str">
        <f t="shared" si="402"/>
        <v/>
      </c>
      <c r="B2081" s="2351" t="s">
        <v>566</v>
      </c>
      <c r="C2081" s="2401"/>
      <c r="D2081" s="2146"/>
      <c r="E2081" s="2402" t="s">
        <v>5071</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ht="15" outlineLevel="1">
      <c r="A2082" s="2176" t="str">
        <f t="shared" si="402"/>
        <v/>
      </c>
      <c r="B2082" s="2351" t="s">
        <v>639</v>
      </c>
      <c r="C2082" s="2401"/>
      <c r="D2082" s="2146" t="s">
        <v>1747</v>
      </c>
      <c r="E2082" s="2402" t="s">
        <v>5323</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ht="15" outlineLevel="1">
      <c r="A2083" s="2176" t="str">
        <f t="shared" si="402"/>
        <v/>
      </c>
      <c r="B2083" s="2351" t="s">
        <v>21</v>
      </c>
      <c r="C2083" s="2401"/>
      <c r="D2083" s="2146" t="s">
        <v>5324</v>
      </c>
      <c r="E2083" s="2402" t="s">
        <v>5325</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ht="15"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ht="15" outlineLevel="1">
      <c r="A2085" s="2176" t="str">
        <f t="shared" si="402"/>
        <v/>
      </c>
      <c r="B2085" s="2351" t="s">
        <v>636</v>
      </c>
      <c r="C2085" s="2401"/>
      <c r="D2085" s="2146" t="s">
        <v>5046</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ht="15" outlineLevel="1">
      <c r="A2086" s="2176" t="str">
        <f t="shared" si="402"/>
        <v/>
      </c>
      <c r="B2086" s="2351" t="s">
        <v>566</v>
      </c>
      <c r="C2086" s="2401"/>
      <c r="D2086" s="2146"/>
      <c r="E2086" s="2402" t="s">
        <v>5071</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ht="15" outlineLevel="1">
      <c r="A2087" s="2176" t="str">
        <f t="shared" si="402"/>
        <v/>
      </c>
      <c r="B2087" s="2351" t="s">
        <v>639</v>
      </c>
      <c r="C2087" s="2401"/>
      <c r="D2087" s="2146" t="s">
        <v>1747</v>
      </c>
      <c r="E2087" s="2402" t="s">
        <v>5323</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ht="15" outlineLevel="1">
      <c r="A2088" s="2176" t="str">
        <f t="shared" si="402"/>
        <v/>
      </c>
      <c r="B2088" s="2351" t="s">
        <v>21</v>
      </c>
      <c r="C2088" s="2401"/>
      <c r="D2088" s="2146" t="s">
        <v>5324</v>
      </c>
      <c r="E2088" s="2402" t="s">
        <v>5325</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ht="15"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5" outlineLevel="1">
      <c r="A2090" s="2176" t="str">
        <f>A2089</f>
        <v/>
      </c>
      <c r="B2090" s="2255"/>
      <c r="C2090" s="2252"/>
      <c r="D2090" s="2408"/>
      <c r="E2090" s="2261" t="s">
        <v>6132</v>
      </c>
      <c r="F2090" s="2262"/>
      <c r="G2090" s="2444"/>
      <c r="H2090" s="2409"/>
      <c r="I2090" s="2409"/>
      <c r="J2090" s="2409"/>
      <c r="K2090" s="2409"/>
      <c r="L2090" s="2409"/>
      <c r="M2090" s="2409"/>
      <c r="N2090" s="2409"/>
      <c r="O2090" s="2409"/>
      <c r="P2090" s="2443"/>
      <c r="Q2090" s="2260"/>
      <c r="R2090" s="2260"/>
      <c r="S2090" s="2260"/>
    </row>
    <row r="2091" spans="1:19" s="2099" customFormat="1" ht="15" outlineLevel="1">
      <c r="A2091" s="2176" t="str">
        <f t="shared" ref="A2091:A2107" si="403">IF(G2091&lt;&gt;0,1,"")</f>
        <v/>
      </c>
      <c r="B2091" s="2246" t="s">
        <v>5840</v>
      </c>
      <c r="C2091" s="2252"/>
      <c r="D2091" s="2146">
        <v>0</v>
      </c>
      <c r="E2091" s="2188" t="s">
        <v>5841</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ht="15" outlineLevel="1">
      <c r="A2092" s="2176" t="str">
        <f t="shared" si="403"/>
        <v/>
      </c>
      <c r="B2092" s="2246" t="s">
        <v>5842</v>
      </c>
      <c r="C2092" s="2252"/>
      <c r="D2092" s="2146">
        <v>0</v>
      </c>
      <c r="E2092" s="2188" t="s">
        <v>5843</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ht="15" outlineLevel="1">
      <c r="A2093" s="2176" t="str">
        <f t="shared" si="403"/>
        <v/>
      </c>
      <c r="B2093" s="2246" t="s">
        <v>5846</v>
      </c>
      <c r="C2093" s="2252"/>
      <c r="D2093" s="2146">
        <v>0</v>
      </c>
      <c r="E2093" s="2188" t="s">
        <v>5847</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ht="15" outlineLevel="1">
      <c r="A2094" s="2176" t="str">
        <f t="shared" si="403"/>
        <v/>
      </c>
      <c r="B2094" s="2246" t="s">
        <v>5848</v>
      </c>
      <c r="C2094" s="2252"/>
      <c r="D2094" s="2146">
        <v>0</v>
      </c>
      <c r="E2094" s="2188" t="s">
        <v>5849</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ht="15" outlineLevel="1">
      <c r="A2095" s="2176" t="str">
        <f t="shared" si="403"/>
        <v/>
      </c>
      <c r="B2095" s="2246" t="s">
        <v>5850</v>
      </c>
      <c r="C2095" s="2252"/>
      <c r="D2095" s="2146">
        <v>0</v>
      </c>
      <c r="E2095" s="2188" t="s">
        <v>5851</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ht="15" outlineLevel="1">
      <c r="A2096" s="2176" t="str">
        <f t="shared" si="403"/>
        <v/>
      </c>
      <c r="B2096" s="2246" t="s">
        <v>5854</v>
      </c>
      <c r="C2096" s="2252"/>
      <c r="D2096" s="2146">
        <v>0</v>
      </c>
      <c r="E2096" s="2188" t="s">
        <v>5855</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ht="15" outlineLevel="1">
      <c r="A2097" s="2176" t="str">
        <f t="shared" si="403"/>
        <v/>
      </c>
      <c r="B2097" s="2246" t="s">
        <v>5856</v>
      </c>
      <c r="C2097" s="2252"/>
      <c r="D2097" s="2146">
        <v>0</v>
      </c>
      <c r="E2097" s="2188" t="s">
        <v>5857</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ht="15" outlineLevel="1">
      <c r="A2098" s="2176" t="str">
        <f t="shared" si="403"/>
        <v/>
      </c>
      <c r="B2098" s="2246" t="s">
        <v>5860</v>
      </c>
      <c r="C2098" s="2252"/>
      <c r="D2098" s="2146">
        <v>0</v>
      </c>
      <c r="E2098" s="2188" t="s">
        <v>5861</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ht="15" outlineLevel="1">
      <c r="A2099" s="2176" t="str">
        <f t="shared" si="403"/>
        <v/>
      </c>
      <c r="B2099" s="2246" t="s">
        <v>5862</v>
      </c>
      <c r="C2099" s="2252"/>
      <c r="D2099" s="2146">
        <v>0</v>
      </c>
      <c r="E2099" s="2188" t="s">
        <v>5863</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ht="15" outlineLevel="1">
      <c r="A2100" s="2176" t="str">
        <f t="shared" si="403"/>
        <v/>
      </c>
      <c r="B2100" s="2246" t="s">
        <v>5866</v>
      </c>
      <c r="C2100" s="2252"/>
      <c r="D2100" s="2146">
        <v>0</v>
      </c>
      <c r="E2100" s="2188" t="s">
        <v>5867</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ht="15" outlineLevel="1">
      <c r="A2101" s="2176" t="str">
        <f t="shared" si="403"/>
        <v/>
      </c>
      <c r="B2101" s="2246" t="s">
        <v>4837</v>
      </c>
      <c r="C2101" s="2252"/>
      <c r="D2101" s="2146">
        <v>0</v>
      </c>
      <c r="E2101" s="2188" t="s">
        <v>5064</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ht="15" outlineLevel="1">
      <c r="A2102" s="2176" t="str">
        <f t="shared" si="403"/>
        <v/>
      </c>
      <c r="B2102" s="2246" t="s">
        <v>5059</v>
      </c>
      <c r="C2102" s="2252"/>
      <c r="D2102" s="2146">
        <v>0</v>
      </c>
      <c r="E2102" s="2188" t="s">
        <v>5060</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ht="15"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ht="15"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ht="15"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ht="15"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ht="15"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ht="15" outlineLevel="1">
      <c r="A2108" s="2176" t="str">
        <f>IF(G2108&lt;&gt;0,1,"")</f>
        <v/>
      </c>
      <c r="B2108" s="2115" t="s">
        <v>5424</v>
      </c>
      <c r="C2108" s="2252"/>
      <c r="D2108" s="2146" t="s">
        <v>5425</v>
      </c>
      <c r="E2108" s="2188" t="s">
        <v>5426</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ht="15" outlineLevel="1">
      <c r="A2109" s="2176" t="str">
        <f>IF(G2109&lt;&gt;0,1,"")</f>
        <v/>
      </c>
      <c r="B2109" s="2255"/>
      <c r="C2109" s="2252">
        <f>IF(G2109&gt;0,C2089+1,C2085)</f>
        <v>0</v>
      </c>
      <c r="D2109" s="2253"/>
      <c r="E2109" s="2411" t="s">
        <v>6236</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5" outlineLevel="1">
      <c r="A2110" s="2176" t="str">
        <f>A2109</f>
        <v/>
      </c>
      <c r="B2110" s="2255"/>
      <c r="C2110" s="2252"/>
      <c r="D2110" s="2253"/>
      <c r="E2110" s="2261" t="s">
        <v>6132</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ht="15" outlineLevel="1">
      <c r="A2111" s="2176" t="str">
        <f t="shared" ref="A2111:A2117" si="410">IF(G2111&lt;&gt;0,1,"")</f>
        <v/>
      </c>
      <c r="B2111" s="2127" t="s">
        <v>5150</v>
      </c>
      <c r="C2111" s="2252"/>
      <c r="D2111" s="2146">
        <v>0</v>
      </c>
      <c r="E2111" s="2188" t="s">
        <v>5151</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ht="15" outlineLevel="1">
      <c r="A2112" s="2176" t="str">
        <f t="shared" si="410"/>
        <v/>
      </c>
      <c r="B2112" s="2127" t="s">
        <v>5157</v>
      </c>
      <c r="C2112" s="2252"/>
      <c r="D2112" s="2146">
        <v>0</v>
      </c>
      <c r="E2112" s="2188" t="s">
        <v>5158</v>
      </c>
      <c r="F2112" s="2146" t="s">
        <v>5159</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ht="15" outlineLevel="1">
      <c r="A2113" s="2176" t="str">
        <f t="shared" si="410"/>
        <v/>
      </c>
      <c r="B2113" s="2124" t="s">
        <v>488</v>
      </c>
      <c r="C2113" s="2252"/>
      <c r="D2113" s="2146">
        <v>0</v>
      </c>
      <c r="E2113" s="2188" t="s">
        <v>5077</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ht="15" outlineLevel="1">
      <c r="A2114" s="2176" t="str">
        <f t="shared" si="410"/>
        <v/>
      </c>
      <c r="B2114" s="2255" t="s">
        <v>6259</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ht="15" outlineLevel="1">
      <c r="A2115" s="2176" t="str">
        <f t="shared" si="410"/>
        <v/>
      </c>
      <c r="B2115" s="2255" t="s">
        <v>6260</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ht="15" outlineLevel="1">
      <c r="A2116" s="2176" t="str">
        <f t="shared" si="410"/>
        <v/>
      </c>
      <c r="B2116" s="2115" t="s">
        <v>6240</v>
      </c>
      <c r="C2116" s="2252"/>
      <c r="D2116" s="2146" t="s">
        <v>5147</v>
      </c>
      <c r="E2116" s="2188" t="s">
        <v>5376</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ht="15" outlineLevel="1">
      <c r="A2117" s="2176" t="str">
        <f t="shared" si="410"/>
        <v/>
      </c>
      <c r="B2117" s="2255"/>
      <c r="C2117" s="2252">
        <f>IF(G2117&gt;0,C2089+2,C2089)</f>
        <v>0</v>
      </c>
      <c r="D2117" s="2253"/>
      <c r="E2117" s="2411" t="s">
        <v>6261</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5" outlineLevel="1">
      <c r="A2118" s="2176" t="str">
        <f>A2117</f>
        <v/>
      </c>
      <c r="B2118" s="2255"/>
      <c r="C2118" s="2252"/>
      <c r="D2118" s="2253"/>
      <c r="E2118" s="2261" t="s">
        <v>6132</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ht="15"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ht="15"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ht="15"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ht="15"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ht="15" outlineLevel="1">
      <c r="A2123" s="2176" t="str">
        <f t="shared" si="413"/>
        <v/>
      </c>
      <c r="B2123" s="2115" t="s">
        <v>5424</v>
      </c>
      <c r="C2123" s="2252"/>
      <c r="D2123" s="2146" t="s">
        <v>5425</v>
      </c>
      <c r="E2123" s="2188" t="s">
        <v>5426</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ht="15"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5" outlineLevel="1">
      <c r="A2125" s="2176" t="str">
        <f>+A2124</f>
        <v/>
      </c>
      <c r="B2125" s="2412"/>
      <c r="C2125" s="2252"/>
      <c r="D2125" s="2253"/>
      <c r="E2125" s="2261" t="s">
        <v>6132</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ht="15"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ht="15" outlineLevel="1">
      <c r="A2127" s="2176" t="str">
        <f t="shared" si="414"/>
        <v/>
      </c>
      <c r="B2127" s="2246" t="s">
        <v>1508</v>
      </c>
      <c r="C2127" s="2252"/>
      <c r="D2127" s="2146">
        <v>0</v>
      </c>
      <c r="E2127" s="2188" t="s">
        <v>5162</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ht="15"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ht="15"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ht="15" outlineLevel="1">
      <c r="A2130" s="2176" t="str">
        <f t="shared" si="414"/>
        <v/>
      </c>
      <c r="B2130" s="2255" t="s">
        <v>6207</v>
      </c>
      <c r="C2130" s="2252"/>
      <c r="D2130" s="2146" t="s">
        <v>5724</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ht="15"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ht="15" outlineLevel="1">
      <c r="A2132" s="2176" t="str">
        <f t="shared" si="414"/>
        <v/>
      </c>
      <c r="B2132" s="2246" t="s">
        <v>525</v>
      </c>
      <c r="C2132" s="2413"/>
      <c r="D2132" s="2146">
        <v>0</v>
      </c>
      <c r="E2132" s="2188" t="s">
        <v>5251</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ht="15" outlineLevel="1">
      <c r="A2133" s="2176" t="str">
        <f t="shared" si="414"/>
        <v/>
      </c>
      <c r="B2133" s="2246" t="s">
        <v>1585</v>
      </c>
      <c r="C2133" s="2413"/>
      <c r="D2133" s="2146">
        <v>0</v>
      </c>
      <c r="E2133" s="2188" t="s">
        <v>5712</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ht="15" outlineLevel="1">
      <c r="A2134" s="2176" t="str">
        <f t="shared" si="414"/>
        <v/>
      </c>
      <c r="B2134" s="2246" t="s">
        <v>5163</v>
      </c>
      <c r="C2134" s="2413"/>
      <c r="D2134" s="2146">
        <v>0</v>
      </c>
      <c r="E2134" s="2188" t="s">
        <v>5164</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ht="15" outlineLevel="1">
      <c r="A2135" s="2176" t="str">
        <f t="shared" si="414"/>
        <v/>
      </c>
      <c r="B2135" s="2246" t="s">
        <v>5167</v>
      </c>
      <c r="C2135" s="2413"/>
      <c r="D2135" s="2146" t="s">
        <v>5168</v>
      </c>
      <c r="E2135" s="2188" t="s">
        <v>5169</v>
      </c>
      <c r="F2135" s="2146" t="s">
        <v>5170</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ht="15"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ht="15" outlineLevel="1">
      <c r="A2137" s="2176" t="str">
        <f>IF(G2137&lt;&gt;0,1,"")</f>
        <v/>
      </c>
      <c r="B2137" s="2246" t="s">
        <v>5174</v>
      </c>
      <c r="C2137" s="2413"/>
      <c r="D2137" s="2146">
        <v>0</v>
      </c>
      <c r="E2137" s="2188" t="s">
        <v>5175</v>
      </c>
      <c r="F2137" s="2146" t="s">
        <v>5173</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ht="15"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ht="15" outlineLevel="1">
      <c r="A2139" s="2176" t="str">
        <f t="shared" ref="A2139:A2144" si="415">IF(G2139&lt;&gt;0,1,"")</f>
        <v/>
      </c>
      <c r="B2139" s="2246" t="s">
        <v>5178</v>
      </c>
      <c r="C2139" s="2413"/>
      <c r="D2139" s="2146">
        <v>0</v>
      </c>
      <c r="E2139" s="2188" t="s">
        <v>5179</v>
      </c>
      <c r="F2139" s="2146" t="s">
        <v>5173</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ht="15" outlineLevel="1">
      <c r="A2140" s="2176" t="str">
        <f t="shared" si="415"/>
        <v/>
      </c>
      <c r="B2140" s="2246" t="s">
        <v>6233</v>
      </c>
      <c r="C2140" s="2413"/>
      <c r="D2140" s="2146">
        <v>0</v>
      </c>
      <c r="E2140" s="2188" t="s">
        <v>5050</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ht="15" outlineLevel="1">
      <c r="A2141" s="2176" t="str">
        <f t="shared" si="415"/>
        <v/>
      </c>
      <c r="B2141" s="2246" t="s">
        <v>5180</v>
      </c>
      <c r="C2141" s="2413"/>
      <c r="D2141" s="2146">
        <v>0</v>
      </c>
      <c r="E2141" s="2188" t="s">
        <v>5181</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ht="15" outlineLevel="1">
      <c r="A2142" s="2176" t="str">
        <f t="shared" si="415"/>
        <v/>
      </c>
      <c r="B2142" s="2246" t="s">
        <v>5182</v>
      </c>
      <c r="C2142" s="2413"/>
      <c r="D2142" s="2146">
        <v>0</v>
      </c>
      <c r="E2142" s="2188" t="s">
        <v>5183</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ht="15" outlineLevel="1">
      <c r="A2143" s="2176" t="str">
        <f t="shared" si="415"/>
        <v/>
      </c>
      <c r="B2143" s="2246" t="s">
        <v>794</v>
      </c>
      <c r="C2143" s="2413"/>
      <c r="D2143" s="2146" t="s">
        <v>5335</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ht="15" outlineLevel="1">
      <c r="A2144" s="2176" t="str">
        <f t="shared" si="415"/>
        <v/>
      </c>
      <c r="B2144" s="2246" t="s">
        <v>798</v>
      </c>
      <c r="C2144" s="2413"/>
      <c r="D2144" s="2146" t="s">
        <v>5324</v>
      </c>
      <c r="E2144" s="2188" t="s">
        <v>5336</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ht="15" outlineLevel="1">
      <c r="A2145" s="2176" t="str">
        <f>IF(G2145&lt;&gt;0,1,"")</f>
        <v/>
      </c>
      <c r="B2145" s="2246" t="s">
        <v>902</v>
      </c>
      <c r="C2145" s="2252"/>
      <c r="D2145" s="2146" t="s">
        <v>5350</v>
      </c>
      <c r="E2145" s="2188" t="s">
        <v>5351</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ht="15" outlineLevel="1">
      <c r="A2146" s="2176" t="str">
        <f>IF(G2146&lt;&gt;0,1,"")</f>
        <v/>
      </c>
      <c r="B2146" s="2246" t="s">
        <v>1437</v>
      </c>
      <c r="C2146" s="2252"/>
      <c r="D2146" s="2146" t="s">
        <v>5345</v>
      </c>
      <c r="E2146" s="2188" t="s">
        <v>5346</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ht="15" outlineLevel="1">
      <c r="A2147" s="2176" t="str">
        <f>IF(G2147&lt;&gt;0,1,"")</f>
        <v/>
      </c>
      <c r="B2147" s="2246"/>
      <c r="C2147" s="2252">
        <f>IF(G2147&gt;0,C2124+1,C2124)</f>
        <v>0</v>
      </c>
      <c r="D2147" s="2253"/>
      <c r="E2147" s="2370" t="s">
        <v>6208</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5" outlineLevel="1">
      <c r="A2148" s="2176" t="str">
        <f>A2147</f>
        <v/>
      </c>
      <c r="B2148" s="2246"/>
      <c r="C2148" s="2252"/>
      <c r="D2148" s="2253"/>
      <c r="E2148" s="2261" t="s">
        <v>6132</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ht="15" outlineLevel="1">
      <c r="A2149" s="2176" t="str">
        <f>IF(G2149&lt;&gt;0,1,"")</f>
        <v/>
      </c>
      <c r="B2149" s="2246" t="s">
        <v>5642</v>
      </c>
      <c r="C2149" s="2262"/>
      <c r="D2149" s="2146" t="s">
        <v>5632</v>
      </c>
      <c r="E2149" s="2188" t="s">
        <v>5643</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ht="15" outlineLevel="1">
      <c r="A2150" s="2176" t="str">
        <f>IF(G2150&lt;&gt;0,1,"")</f>
        <v/>
      </c>
      <c r="B2150" s="2246" t="s">
        <v>880</v>
      </c>
      <c r="C2150" s="2252"/>
      <c r="D2150" s="2146">
        <v>0</v>
      </c>
      <c r="E2150" s="2188" t="s">
        <v>5798</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ht="15" outlineLevel="1">
      <c r="A2151" s="2176" t="str">
        <f>IF(G2151&lt;&gt;0,1,"")</f>
        <v/>
      </c>
      <c r="B2151" s="2246" t="s">
        <v>289</v>
      </c>
      <c r="C2151" s="2262"/>
      <c r="D2151" s="2146">
        <v>0</v>
      </c>
      <c r="E2151" s="2188" t="s">
        <v>5711</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ht="15"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ht="15" outlineLevel="1">
      <c r="A2153" s="2176" t="str">
        <f>IF(G2153&lt;&gt;0,1,"")</f>
        <v/>
      </c>
      <c r="B2153" s="2246"/>
      <c r="C2153" s="2252">
        <f>IF(G2153&gt;0,C2147+1,C2147)</f>
        <v>0</v>
      </c>
      <c r="D2153" s="2253"/>
      <c r="E2153" s="2370" t="s">
        <v>6245</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5" outlineLevel="1">
      <c r="A2154" s="2485" t="str">
        <f>A2153</f>
        <v/>
      </c>
      <c r="B2154" s="2246"/>
      <c r="C2154" s="2486"/>
      <c r="D2154" s="2487"/>
      <c r="E2154" s="2488" t="s">
        <v>6132</v>
      </c>
      <c r="F2154" s="2487"/>
      <c r="G2154" s="2489"/>
      <c r="H2154" s="2490"/>
      <c r="I2154" s="2490"/>
      <c r="J2154" s="2490"/>
      <c r="K2154" s="2490"/>
      <c r="L2154" s="2490"/>
      <c r="M2154" s="2490"/>
      <c r="N2154" s="2490"/>
      <c r="O2154" s="2490"/>
      <c r="P2154" s="2491"/>
      <c r="Q2154" s="2492"/>
      <c r="R2154" s="2260"/>
      <c r="S2154" s="2492"/>
    </row>
    <row r="2155" spans="1:255" s="2099" customFormat="1" ht="15" outlineLevel="1">
      <c r="A2155" s="2176" t="str">
        <f t="shared" ref="A2155:A2170" si="420">IF(G2155&lt;&gt;0,1,"")</f>
        <v/>
      </c>
      <c r="B2155" s="2246" t="s">
        <v>6246</v>
      </c>
      <c r="C2155" s="2262"/>
      <c r="D2155" s="2146" t="s">
        <v>5654</v>
      </c>
      <c r="E2155" s="2188" t="s">
        <v>5658</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ht="15" outlineLevel="1">
      <c r="A2156" s="2176" t="str">
        <f t="shared" si="420"/>
        <v/>
      </c>
      <c r="B2156" s="2246" t="s">
        <v>880</v>
      </c>
      <c r="C2156" s="2262"/>
      <c r="D2156" s="2146">
        <v>0</v>
      </c>
      <c r="E2156" s="2188" t="s">
        <v>5798</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ht="15" outlineLevel="1">
      <c r="A2157" s="2176" t="str">
        <f t="shared" si="420"/>
        <v/>
      </c>
      <c r="B2157" s="2246" t="s">
        <v>289</v>
      </c>
      <c r="C2157" s="2262"/>
      <c r="D2157" s="2146">
        <v>0</v>
      </c>
      <c r="E2157" s="2188" t="s">
        <v>5711</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ht="15"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ht="15"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ht="15"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ht="15"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ht="15" outlineLevel="1">
      <c r="A2162" s="2176" t="str">
        <f t="shared" si="420"/>
        <v/>
      </c>
      <c r="B2162" s="2255" t="s">
        <v>6247</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ht="15"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ht="15" outlineLevel="1">
      <c r="A2164" s="2176" t="str">
        <f t="shared" si="420"/>
        <v/>
      </c>
      <c r="B2164" s="2255" t="s">
        <v>6248</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ht="15" outlineLevel="1">
      <c r="A2165" s="2176" t="str">
        <f t="shared" si="420"/>
        <v/>
      </c>
      <c r="B2165" s="2255" t="s">
        <v>6249</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ht="15"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ht="15"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ht="15" outlineLevel="1">
      <c r="A2168" s="2176" t="str">
        <f t="shared" si="420"/>
        <v/>
      </c>
      <c r="B2168" s="2255" t="s">
        <v>6</v>
      </c>
      <c r="C2168" s="2262"/>
      <c r="D2168" s="2146">
        <v>0</v>
      </c>
      <c r="E2168" s="2188" t="s">
        <v>3567</v>
      </c>
      <c r="F2168" s="2146" t="s">
        <v>5805</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ht="15" outlineLevel="1">
      <c r="A2169" s="2176" t="str">
        <f t="shared" si="420"/>
        <v/>
      </c>
      <c r="B2169" s="2255" t="s">
        <v>672</v>
      </c>
      <c r="C2169" s="2262"/>
      <c r="D2169" s="2146">
        <v>0</v>
      </c>
      <c r="E2169" s="2188" t="s">
        <v>5800</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ht="15" outlineLevel="1">
      <c r="A2170" s="2176" t="str">
        <f t="shared" si="420"/>
        <v/>
      </c>
      <c r="B2170" s="2255" t="s">
        <v>1525</v>
      </c>
      <c r="C2170" s="2262"/>
      <c r="D2170" s="2146" t="s">
        <v>5570</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ht="15" outlineLevel="1">
      <c r="A2171" s="2176" t="str">
        <f>IF(G2171&lt;&gt;0,1,"")</f>
        <v/>
      </c>
      <c r="B2171" s="2255"/>
      <c r="C2171" s="2252">
        <f>IF(G2171&gt;0,C2153+1,C2153)</f>
        <v>0</v>
      </c>
      <c r="D2171" s="2253"/>
      <c r="E2171" s="2254" t="s">
        <v>6262</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5" outlineLevel="1">
      <c r="A2172" s="2176" t="str">
        <f>A2171</f>
        <v/>
      </c>
      <c r="B2172" s="2255"/>
      <c r="C2172" s="2252"/>
      <c r="D2172" s="2253"/>
      <c r="E2172" s="2268" t="s">
        <v>6132</v>
      </c>
      <c r="F2172" s="2252"/>
      <c r="G2172" s="2445"/>
      <c r="H2172" s="2258"/>
      <c r="I2172" s="2258"/>
      <c r="J2172" s="2258"/>
      <c r="K2172" s="2258"/>
      <c r="L2172" s="2258"/>
      <c r="M2172" s="2258"/>
      <c r="N2172" s="2258"/>
      <c r="O2172" s="2258"/>
      <c r="P2172" s="2435"/>
      <c r="Q2172" s="2260"/>
      <c r="R2172" s="2260"/>
      <c r="S2172" s="2260"/>
    </row>
    <row r="2173" spans="1:19" s="2099" customFormat="1" ht="15" outlineLevel="1">
      <c r="A2173" s="2176" t="str">
        <f t="shared" ref="A2173:A2184" si="425">IF(G2173&lt;&gt;0,1,"")</f>
        <v/>
      </c>
      <c r="B2173" s="2246" t="s">
        <v>697</v>
      </c>
      <c r="C2173" s="2262"/>
      <c r="D2173" s="2146">
        <v>0</v>
      </c>
      <c r="E2173" s="2188" t="s">
        <v>5086</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ht="15"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ht="15" outlineLevel="1">
      <c r="A2175" s="2176" t="str">
        <f t="shared" si="425"/>
        <v/>
      </c>
      <c r="B2175" s="2351" t="s">
        <v>1477</v>
      </c>
      <c r="C2175" s="2262"/>
      <c r="D2175" s="2146">
        <v>0</v>
      </c>
      <c r="E2175" s="2188" t="s">
        <v>6345</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ht="15" outlineLevel="1">
      <c r="A2176" s="2176" t="str">
        <f t="shared" si="425"/>
        <v/>
      </c>
      <c r="B2176" s="2351" t="s">
        <v>5698</v>
      </c>
      <c r="C2176" s="2262"/>
      <c r="D2176" s="2146">
        <v>0</v>
      </c>
      <c r="E2176" s="2188" t="s">
        <v>5699</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ht="15" outlineLevel="1">
      <c r="A2177" s="2176" t="str">
        <f t="shared" si="425"/>
        <v/>
      </c>
      <c r="B2177" s="2351" t="s">
        <v>5704</v>
      </c>
      <c r="C2177" s="2262"/>
      <c r="D2177" s="2146">
        <v>0</v>
      </c>
      <c r="E2177" s="2188" t="s">
        <v>5705</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ht="15" outlineLevel="1">
      <c r="A2178" s="2176" t="str">
        <f t="shared" si="425"/>
        <v/>
      </c>
      <c r="B2178" s="2351" t="s">
        <v>5706</v>
      </c>
      <c r="C2178" s="2262"/>
      <c r="D2178" s="2146">
        <v>0</v>
      </c>
      <c r="E2178" s="2188" t="s">
        <v>5707</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ht="15" outlineLevel="1">
      <c r="A2179" s="2176" t="str">
        <f t="shared" si="425"/>
        <v/>
      </c>
      <c r="B2179" s="2351" t="s">
        <v>6263</v>
      </c>
      <c r="C2179" s="2262"/>
      <c r="D2179" s="2146"/>
      <c r="E2179" s="2188" t="s">
        <v>5697</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ht="15"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ht="15"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ht="15" outlineLevel="1">
      <c r="A2182" s="2176" t="str">
        <f t="shared" si="425"/>
        <v/>
      </c>
      <c r="B2182" s="2246" t="s">
        <v>1565</v>
      </c>
      <c r="C2182" s="2262"/>
      <c r="D2182" s="2146" t="s">
        <v>5559</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ht="15" outlineLevel="1">
      <c r="A2183" s="2176" t="str">
        <f t="shared" si="425"/>
        <v/>
      </c>
      <c r="B2183" s="2246" t="s">
        <v>1525</v>
      </c>
      <c r="C2183" s="2262"/>
      <c r="D2183" s="2146" t="s">
        <v>5570</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ht="15"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5" outlineLevel="1">
      <c r="A2185" s="2176" t="str">
        <f>A2184</f>
        <v/>
      </c>
      <c r="B2185" s="2255"/>
      <c r="C2185" s="2252"/>
      <c r="D2185" s="2253"/>
      <c r="E2185" s="2268" t="s">
        <v>6132</v>
      </c>
      <c r="F2185" s="2252"/>
      <c r="G2185" s="2445"/>
      <c r="H2185" s="2258"/>
      <c r="I2185" s="2258"/>
      <c r="J2185" s="2258"/>
      <c r="K2185" s="2258"/>
      <c r="L2185" s="2258"/>
      <c r="M2185" s="2258"/>
      <c r="N2185" s="2258"/>
      <c r="O2185" s="2258"/>
      <c r="P2185" s="2259"/>
      <c r="Q2185" s="2260"/>
      <c r="R2185" s="2260"/>
      <c r="S2185" s="2260"/>
    </row>
    <row r="2186" spans="1:19" s="2099" customFormat="1" ht="15"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ht="15" outlineLevel="1">
      <c r="A2187" s="2176" t="str">
        <f>IF(G2187&lt;&gt;0,1,"")</f>
        <v/>
      </c>
      <c r="B2187" s="2255" t="s">
        <v>86</v>
      </c>
      <c r="C2187" s="2262"/>
      <c r="D2187" s="2146">
        <v>0</v>
      </c>
      <c r="E2187" s="2188" t="s">
        <v>5796</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ht="15"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ht="15"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ht="15" outlineLevel="1">
      <c r="A2190" s="2176" t="str">
        <f>IF(G2190&lt;&gt;0,1,"")</f>
        <v/>
      </c>
      <c r="B2190" s="2246"/>
      <c r="C2190" s="2252">
        <f>IF(G2190&gt;0,C2184+1,C2184)</f>
        <v>0</v>
      </c>
      <c r="D2190" s="2253"/>
      <c r="E2190" s="2254" t="s">
        <v>6264</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5" outlineLevel="1">
      <c r="A2191" s="2176" t="str">
        <f>A2190</f>
        <v/>
      </c>
      <c r="B2191" s="2246"/>
      <c r="C2191" s="2252"/>
      <c r="D2191" s="2253"/>
      <c r="E2191" s="2268" t="s">
        <v>6132</v>
      </c>
      <c r="F2191" s="2252"/>
      <c r="G2191" s="2444"/>
      <c r="H2191" s="2258"/>
      <c r="I2191" s="2258"/>
      <c r="J2191" s="2258"/>
      <c r="K2191" s="2258"/>
      <c r="L2191" s="2258"/>
      <c r="M2191" s="2258"/>
      <c r="N2191" s="2258"/>
      <c r="O2191" s="2258"/>
      <c r="P2191" s="2435"/>
      <c r="Q2191" s="2260"/>
      <c r="R2191" s="2260"/>
      <c r="S2191" s="2260"/>
    </row>
    <row r="2192" spans="1:19" s="2099" customFormat="1" ht="15"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ht="15"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ht="15" outlineLevel="1">
      <c r="A2194" s="2176" t="str">
        <f>IF(G2194&lt;&gt;0,1,"")</f>
        <v/>
      </c>
      <c r="B2194" s="2255" t="s">
        <v>1305</v>
      </c>
      <c r="C2194" s="2262"/>
      <c r="D2194" s="2146" t="s">
        <v>5727</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ht="15" outlineLevel="1">
      <c r="A2195" s="2176" t="str">
        <f>IF(G2195&lt;&gt;0,1,"")</f>
        <v/>
      </c>
      <c r="B2195" s="2255" t="s">
        <v>2156</v>
      </c>
      <c r="C2195" s="2262"/>
      <c r="D2195" s="2146" t="s">
        <v>5730</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ht="15"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ht="15"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ht="15"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ht="15" outlineLevel="1">
      <c r="A2199" s="2176" t="str">
        <f t="shared" si="430"/>
        <v/>
      </c>
      <c r="B2199" s="2255" t="s">
        <v>86</v>
      </c>
      <c r="C2199" s="2262"/>
      <c r="D2199" s="2146">
        <v>0</v>
      </c>
      <c r="E2199" s="2188" t="s">
        <v>5796</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ht="15" outlineLevel="1">
      <c r="A2200" s="2176" t="str">
        <f t="shared" si="430"/>
        <v/>
      </c>
      <c r="B2200" s="2255" t="s">
        <v>1990</v>
      </c>
      <c r="C2200" s="2262"/>
      <c r="D2200" s="2146">
        <v>0</v>
      </c>
      <c r="E2200" s="2188" t="s">
        <v>5256</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ht="15"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ht="15"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ht="15" outlineLevel="1">
      <c r="A2203" s="2176" t="str">
        <f t="shared" si="430"/>
        <v/>
      </c>
      <c r="B2203" s="2255" t="s">
        <v>5792</v>
      </c>
      <c r="C2203" s="2262"/>
      <c r="D2203" s="2146">
        <v>0</v>
      </c>
      <c r="E2203" s="2188" t="s">
        <v>5793</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ht="15"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ht="15" outlineLevel="1">
      <c r="A2205" s="2176" t="str">
        <f t="shared" si="430"/>
        <v/>
      </c>
      <c r="B2205" s="2255" t="s">
        <v>6</v>
      </c>
      <c r="C2205" s="2262"/>
      <c r="D2205" s="2146">
        <v>0</v>
      </c>
      <c r="E2205" s="2188" t="s">
        <v>3567</v>
      </c>
      <c r="F2205" s="2146" t="s">
        <v>5805</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ht="15" outlineLevel="1">
      <c r="A2206" s="2176" t="str">
        <f t="shared" si="430"/>
        <v/>
      </c>
      <c r="B2206" s="2255" t="s">
        <v>672</v>
      </c>
      <c r="C2206" s="2262"/>
      <c r="D2206" s="2146">
        <v>0</v>
      </c>
      <c r="E2206" s="2188" t="s">
        <v>5800</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ht="15" outlineLevel="1">
      <c r="A2207" s="2176" t="str">
        <f t="shared" si="430"/>
        <v/>
      </c>
      <c r="B2207" s="2255" t="s">
        <v>2006</v>
      </c>
      <c r="C2207" s="2262"/>
      <c r="D2207" s="2146" t="s">
        <v>5571</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ht="15" outlineLevel="1">
      <c r="A2208" s="2176" t="str">
        <f t="shared" si="430"/>
        <v/>
      </c>
      <c r="B2208" s="2255" t="s">
        <v>247</v>
      </c>
      <c r="C2208" s="2262"/>
      <c r="D2208" s="2146" t="s">
        <v>5572</v>
      </c>
      <c r="E2208" s="2188" t="s">
        <v>5573</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ht="15" outlineLevel="1">
      <c r="A2209" s="2176">
        <f>A2055</f>
        <v>0</v>
      </c>
      <c r="B2209" s="2351"/>
      <c r="C2209" s="2526" t="s">
        <v>6130</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ht="15"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ht="15"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ht="15"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ht="15"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ht="15"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ht="15"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ht="15"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ht="15"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ht="15"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ht="15"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ht="15"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ht="15"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ht="15"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ht="15"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ht="15"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ht="15"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ht="15"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ht="15"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ht="15"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ht="15"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ht="15"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ht="15"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ht="15"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ht="15"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ht="15"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ht="15"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ht="15"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ht="15"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ht="15" outlineLevel="1">
      <c r="A2240" s="2176">
        <f>A2257</f>
        <v>0</v>
      </c>
      <c r="B2240" s="2255" t="s">
        <v>6111</v>
      </c>
      <c r="C2240" s="2642" t="s">
        <v>1708</v>
      </c>
      <c r="D2240" s="2643" t="s">
        <v>2597</v>
      </c>
      <c r="E2240" s="2645" t="s">
        <v>2598</v>
      </c>
      <c r="F2240" s="2642" t="s">
        <v>2593</v>
      </c>
      <c r="G2240" s="2103" t="s">
        <v>6112</v>
      </c>
      <c r="H2240" s="2106" t="s">
        <v>6113</v>
      </c>
      <c r="I2240" s="2613"/>
      <c r="J2240" s="2613"/>
      <c r="K2240" s="2614"/>
      <c r="L2240" s="2106" t="s">
        <v>6114</v>
      </c>
      <c r="M2240" s="2613"/>
      <c r="N2240" s="2613"/>
      <c r="O2240" s="2614"/>
      <c r="P2240" s="2648" t="s">
        <v>2599</v>
      </c>
      <c r="Q2240" s="2260"/>
      <c r="R2240" s="2260"/>
      <c r="S2240" s="2260"/>
    </row>
    <row r="2241" spans="1:19" s="2099" customFormat="1" ht="15" outlineLevel="1">
      <c r="A2241" s="2176">
        <f>A2257</f>
        <v>0</v>
      </c>
      <c r="B2241" s="2255"/>
      <c r="C2241" s="2642"/>
      <c r="D2241" s="2644"/>
      <c r="E2241" s="2646"/>
      <c r="F2241" s="2642"/>
      <c r="G2241" s="2105" t="s">
        <v>2286</v>
      </c>
      <c r="H2241" s="2106" t="s">
        <v>6115</v>
      </c>
      <c r="I2241" s="2106" t="s">
        <v>6116</v>
      </c>
      <c r="J2241" s="2106" t="s">
        <v>6117</v>
      </c>
      <c r="K2241" s="2106" t="s">
        <v>6118</v>
      </c>
      <c r="L2241" s="2106" t="s">
        <v>6115</v>
      </c>
      <c r="M2241" s="2106" t="s">
        <v>6116</v>
      </c>
      <c r="N2241" s="2106" t="s">
        <v>6117</v>
      </c>
      <c r="O2241" s="2106" t="s">
        <v>6118</v>
      </c>
      <c r="P2241" s="2649"/>
      <c r="Q2241" s="2260"/>
      <c r="R2241" s="2260"/>
      <c r="S2241" s="2260"/>
    </row>
    <row r="2242" spans="1:19" s="2099" customFormat="1" ht="15"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ht="15" outlineLevel="1">
      <c r="A2243" s="2176" t="str">
        <f t="shared" ref="A2243:A2256" si="435">IF(G2243&lt;&gt;0,1,"")</f>
        <v/>
      </c>
      <c r="B2243" s="2246" t="str">
        <f>IF($F$8=15,"tr560","tr5601")</f>
        <v>tr5601</v>
      </c>
      <c r="C2243" s="2262">
        <f>IF(G2243&gt;0,1,0)</f>
        <v>0</v>
      </c>
      <c r="D2243" s="2146" t="s">
        <v>5591</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ht="15" outlineLevel="1">
      <c r="A2244" s="2176" t="str">
        <f t="shared" si="435"/>
        <v/>
      </c>
      <c r="B2244" s="2112" t="str">
        <f>"FCO100-"&amp;$F$8</f>
        <v>FCO100-22</v>
      </c>
      <c r="C2244" s="2262">
        <f t="shared" ref="C2244:C2252" si="440">IF(G2244&gt;0,C2243+1,C2243)</f>
        <v>0</v>
      </c>
      <c r="D2244" s="2146" t="s">
        <v>5597</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ht="15"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ht="15" outlineLevel="1">
      <c r="A2246" s="2176" t="str">
        <f t="shared" si="435"/>
        <v/>
      </c>
      <c r="B2246" s="2255" t="str">
        <f>"LA"&amp;$F$6</f>
        <v>LA18</v>
      </c>
      <c r="C2246" s="2262">
        <f t="shared" si="440"/>
        <v>0</v>
      </c>
      <c r="D2246" s="2146" t="s">
        <v>5601</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ht="15"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ht="15" outlineLevel="1">
      <c r="A2248" s="2176" t="str">
        <f>IF(G2248&lt;&gt;0,1,"")</f>
        <v/>
      </c>
      <c r="B2248" s="2351" t="s">
        <v>1462</v>
      </c>
      <c r="C2248" s="2262">
        <f>IF(G2248&gt;0,C2247+1,C2247)</f>
        <v>0</v>
      </c>
      <c r="D2248" s="2146" t="s">
        <v>5687</v>
      </c>
      <c r="E2248" s="2188" t="s">
        <v>5688</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ht="15"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ht="15"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ht="15" outlineLevel="1">
      <c r="A2251" s="2176" t="str">
        <f>IF(G2251&lt;&gt;0,1,"")</f>
        <v/>
      </c>
      <c r="B2251" s="2351" t="s">
        <v>936</v>
      </c>
      <c r="C2251" s="2262">
        <f t="shared" si="440"/>
        <v>0</v>
      </c>
      <c r="D2251" s="2146">
        <v>0</v>
      </c>
      <c r="E2251" s="2188" t="s">
        <v>5678</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ht="15" outlineLevel="1">
      <c r="A2252" s="2176" t="str">
        <f>IF(G2252&lt;&gt;0,1,"")</f>
        <v/>
      </c>
      <c r="B2252" s="2351" t="s">
        <v>1221</v>
      </c>
      <c r="C2252" s="2262">
        <f t="shared" si="440"/>
        <v>0</v>
      </c>
      <c r="D2252" s="2146">
        <v>0</v>
      </c>
      <c r="E2252" s="2188" t="s">
        <v>5675</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ht="15"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ht="15"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ht="15"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ht="15"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ht="15" outlineLevel="1">
      <c r="A2257" s="2176">
        <f>IF(SUM(L2257:O2257)&lt;&gt;0,1,)</f>
        <v>0</v>
      </c>
      <c r="B2257" s="2255"/>
      <c r="C2257" s="2387"/>
      <c r="D2257" s="2388"/>
      <c r="E2257" s="2389"/>
      <c r="F2257" s="2387"/>
      <c r="G2257" s="2439"/>
      <c r="H2257" s="2387"/>
      <c r="I2257" s="2387"/>
      <c r="J2257" s="2111" t="s">
        <v>6120</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ht="15"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ht="15" outlineLevel="1">
      <c r="A2259" s="2176" t="str">
        <f t="shared" ref="A2259:A2277" si="441">IF(G2259&lt;&gt;0,1,"")</f>
        <v/>
      </c>
      <c r="B2259" s="2395"/>
      <c r="C2259" s="2396">
        <f>IF(G2259&gt;0,1,0)</f>
        <v>0</v>
      </c>
      <c r="D2259" s="2146"/>
      <c r="E2259" s="2397" t="s">
        <v>6121</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ht="15"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ht="15"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ht="15"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ht="15" outlineLevel="1">
      <c r="A2263" s="2176" t="str">
        <f t="shared" si="441"/>
        <v/>
      </c>
      <c r="B2263" s="2395"/>
      <c r="C2263" s="2396">
        <f>IF(G2263&gt;0,1,0)</f>
        <v>0</v>
      </c>
      <c r="D2263" s="2146"/>
      <c r="E2263" s="2397" t="s">
        <v>6216</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ht="15"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ht="15"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ht="15"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ht="15"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ht="15" outlineLevel="1">
      <c r="A2268" s="2176" t="str">
        <f t="shared" si="441"/>
        <v/>
      </c>
      <c r="B2268" s="2351" t="s">
        <v>636</v>
      </c>
      <c r="C2268" s="2401"/>
      <c r="D2268" s="2146" t="s">
        <v>5046</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ht="15" outlineLevel="1">
      <c r="A2269" s="2176" t="str">
        <f t="shared" si="441"/>
        <v/>
      </c>
      <c r="B2269" s="2351" t="s">
        <v>566</v>
      </c>
      <c r="C2269" s="2401"/>
      <c r="D2269" s="2146"/>
      <c r="E2269" s="2402" t="s">
        <v>5071</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ht="15" outlineLevel="1">
      <c r="A2270" s="2176" t="str">
        <f t="shared" si="441"/>
        <v/>
      </c>
      <c r="B2270" s="2351" t="s">
        <v>639</v>
      </c>
      <c r="C2270" s="2401"/>
      <c r="D2270" s="2146" t="s">
        <v>1747</v>
      </c>
      <c r="E2270" s="2402" t="s">
        <v>5323</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ht="15" outlineLevel="1">
      <c r="A2271" s="2176" t="str">
        <f t="shared" si="441"/>
        <v/>
      </c>
      <c r="B2271" s="2351" t="s">
        <v>21</v>
      </c>
      <c r="C2271" s="2401"/>
      <c r="D2271" s="2146" t="s">
        <v>5324</v>
      </c>
      <c r="E2271" s="2402" t="s">
        <v>5325</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ht="15"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ht="15" outlineLevel="1">
      <c r="A2273" s="2176" t="str">
        <f t="shared" si="441"/>
        <v/>
      </c>
      <c r="B2273" s="2351" t="s">
        <v>636</v>
      </c>
      <c r="C2273" s="2401"/>
      <c r="D2273" s="2146" t="s">
        <v>5046</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ht="15" outlineLevel="1">
      <c r="A2274" s="2176" t="str">
        <f t="shared" si="441"/>
        <v/>
      </c>
      <c r="B2274" s="2351" t="s">
        <v>566</v>
      </c>
      <c r="C2274" s="2401"/>
      <c r="D2274" s="2146"/>
      <c r="E2274" s="2402" t="s">
        <v>5071</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ht="15" outlineLevel="1">
      <c r="A2275" s="2176" t="str">
        <f t="shared" si="441"/>
        <v/>
      </c>
      <c r="B2275" s="2351" t="s">
        <v>639</v>
      </c>
      <c r="C2275" s="2401"/>
      <c r="D2275" s="2146" t="s">
        <v>1747</v>
      </c>
      <c r="E2275" s="2402" t="s">
        <v>5323</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ht="15" outlineLevel="1">
      <c r="A2276" s="2176" t="str">
        <f t="shared" si="441"/>
        <v/>
      </c>
      <c r="B2276" s="2351" t="s">
        <v>21</v>
      </c>
      <c r="C2276" s="2401"/>
      <c r="D2276" s="2146" t="s">
        <v>5324</v>
      </c>
      <c r="E2276" s="2402" t="s">
        <v>5325</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ht="15"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5" outlineLevel="1">
      <c r="A2278" s="2176" t="str">
        <f>A2277</f>
        <v/>
      </c>
      <c r="B2278" s="2255"/>
      <c r="C2278" s="2252"/>
      <c r="D2278" s="2408"/>
      <c r="E2278" s="2261" t="s">
        <v>6132</v>
      </c>
      <c r="F2278" s="2262"/>
      <c r="G2278" s="2372"/>
      <c r="H2278" s="2409"/>
      <c r="I2278" s="2409"/>
      <c r="J2278" s="2409"/>
      <c r="K2278" s="2409"/>
      <c r="L2278" s="2409"/>
      <c r="M2278" s="2409"/>
      <c r="N2278" s="2409"/>
      <c r="O2278" s="2409"/>
      <c r="P2278" s="2443"/>
      <c r="Q2278" s="2260"/>
      <c r="R2278" s="2260"/>
      <c r="S2278" s="2260"/>
    </row>
    <row r="2279" spans="1:19" s="2099" customFormat="1" ht="15" outlineLevel="1">
      <c r="A2279" s="2176" t="str">
        <f t="shared" ref="A2279:A2284" si="442">IF(G2279&lt;&gt;0,1,"")</f>
        <v/>
      </c>
      <c r="B2279" s="2246" t="s">
        <v>1408</v>
      </c>
      <c r="C2279" s="2252"/>
      <c r="D2279" s="2146">
        <v>0</v>
      </c>
      <c r="E2279" s="2188" t="s">
        <v>6352</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ht="15" outlineLevel="1">
      <c r="A2280" s="2176" t="str">
        <f t="shared" si="442"/>
        <v/>
      </c>
      <c r="B2280" s="2246" t="s">
        <v>1137</v>
      </c>
      <c r="C2280" s="2252"/>
      <c r="D2280" s="2146">
        <v>0</v>
      </c>
      <c r="E2280" s="2188" t="s">
        <v>6338</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ht="15" outlineLevel="1">
      <c r="A2281" s="2176" t="str">
        <f t="shared" si="442"/>
        <v/>
      </c>
      <c r="B2281" s="2246" t="s">
        <v>1138</v>
      </c>
      <c r="C2281" s="2252"/>
      <c r="D2281" s="2146">
        <v>0</v>
      </c>
      <c r="E2281" s="2188" t="s">
        <v>6339</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ht="15"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ht="15"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ht="15"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ht="15" outlineLevel="1">
      <c r="A2285" s="2176" t="str">
        <f>IF(G2285&lt;&gt;0,1,"")</f>
        <v/>
      </c>
      <c r="B2285" s="2115" t="s">
        <v>5424</v>
      </c>
      <c r="C2285" s="2252"/>
      <c r="D2285" s="2146" t="s">
        <v>5425</v>
      </c>
      <c r="E2285" s="2188" t="s">
        <v>5426</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ht="15" outlineLevel="1">
      <c r="A2286" s="2176" t="str">
        <f>IF(G2286&lt;&gt;0,1,"")</f>
        <v/>
      </c>
      <c r="B2286" s="2246" t="s">
        <v>6217</v>
      </c>
      <c r="C2286" s="2252"/>
      <c r="D2286" s="2146" t="s">
        <v>5377</v>
      </c>
      <c r="E2286" s="2188" t="s">
        <v>5378</v>
      </c>
      <c r="F2286" s="2146" t="s">
        <v>2439</v>
      </c>
      <c r="G2286" s="2263"/>
      <c r="H2286" s="2353">
        <v>0</v>
      </c>
      <c r="I2286" s="2410"/>
      <c r="J2286" s="2353" t="s">
        <v>6343</v>
      </c>
      <c r="K2286" s="2353">
        <v>0</v>
      </c>
      <c r="L2286" s="2354">
        <f>H2286*G2286</f>
        <v>0</v>
      </c>
      <c r="M2286" s="2354">
        <f t="shared" si="444"/>
        <v>0</v>
      </c>
      <c r="N2286" s="2353">
        <v>0</v>
      </c>
      <c r="O2286" s="2354">
        <f t="shared" si="445"/>
        <v>0</v>
      </c>
      <c r="P2286" s="2259"/>
      <c r="Q2286" s="2260"/>
      <c r="R2286" s="2260"/>
      <c r="S2286" s="2260"/>
    </row>
    <row r="2287" spans="1:19" s="2099" customFormat="1" ht="15" outlineLevel="1">
      <c r="A2287" s="2176" t="str">
        <f>IF(G2287&lt;&gt;0,1,"")</f>
        <v/>
      </c>
      <c r="B2287" s="2255"/>
      <c r="C2287" s="2252">
        <f>IF(G2287&gt;0,C2277+1,C2273)</f>
        <v>0</v>
      </c>
      <c r="D2287" s="2253"/>
      <c r="E2287" s="2411" t="s">
        <v>6218</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5" outlineLevel="1">
      <c r="A2288" s="2176" t="str">
        <f>A2287</f>
        <v/>
      </c>
      <c r="B2288" s="2255"/>
      <c r="C2288" s="2252"/>
      <c r="D2288" s="2253"/>
      <c r="E2288" s="2261" t="s">
        <v>6132</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ht="15" outlineLevel="1">
      <c r="A2289" s="2176" t="str">
        <f>IF(G2289&lt;&gt;0,1,"")</f>
        <v/>
      </c>
      <c r="B2289" s="2127" t="s">
        <v>5154</v>
      </c>
      <c r="C2289" s="2252"/>
      <c r="D2289" s="2146">
        <v>0</v>
      </c>
      <c r="E2289" s="2188" t="s">
        <v>5155</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ht="15" outlineLevel="1">
      <c r="A2290" s="2176" t="str">
        <f>IF(G2290&lt;&gt;0,1,"")</f>
        <v/>
      </c>
      <c r="B2290" s="2124" t="s">
        <v>488</v>
      </c>
      <c r="C2290" s="2252"/>
      <c r="D2290" s="2146">
        <v>0</v>
      </c>
      <c r="E2290" s="2188" t="s">
        <v>5077</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ht="15"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ht="15" outlineLevel="1">
      <c r="A2292" s="2176" t="str">
        <f>IF(G2292&lt;&gt;0,1,"")</f>
        <v/>
      </c>
      <c r="B2292" s="2246" t="s">
        <v>6265</v>
      </c>
      <c r="C2292" s="2252"/>
      <c r="D2292" s="2146" t="s">
        <v>5147</v>
      </c>
      <c r="E2292" s="2188" t="s">
        <v>5376</v>
      </c>
      <c r="F2292" s="2146" t="s">
        <v>2439</v>
      </c>
      <c r="G2292" s="2352">
        <f>+G2287</f>
        <v>0</v>
      </c>
      <c r="H2292" s="2258">
        <v>0</v>
      </c>
      <c r="I2292" s="2353"/>
      <c r="J2292" s="2353" t="s">
        <v>6353</v>
      </c>
      <c r="K2292" s="2353"/>
      <c r="L2292" s="2354">
        <f t="shared" si="443"/>
        <v>0</v>
      </c>
      <c r="M2292" s="2354"/>
      <c r="N2292" s="2353">
        <v>0</v>
      </c>
      <c r="O2292" s="2354"/>
      <c r="P2292" s="2443"/>
      <c r="Q2292" s="2260"/>
      <c r="R2292" s="2260"/>
      <c r="S2292" s="2260"/>
    </row>
    <row r="2293" spans="1:19" s="2099" customFormat="1" ht="15" outlineLevel="1">
      <c r="A2293" s="2176" t="str">
        <f>IF(G2293&lt;&gt;0,1,"")</f>
        <v/>
      </c>
      <c r="B2293" s="2255"/>
      <c r="C2293" s="2252">
        <f>IF(G2293&gt;0,C2277+2,C2277)</f>
        <v>0</v>
      </c>
      <c r="D2293" s="2253"/>
      <c r="E2293" s="2411" t="s">
        <v>4451</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5" outlineLevel="1">
      <c r="A2294" s="2176" t="str">
        <f>A2293</f>
        <v/>
      </c>
      <c r="B2294" s="2255"/>
      <c r="C2294" s="2252"/>
      <c r="D2294" s="2253"/>
      <c r="E2294" s="2261" t="s">
        <v>6132</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ht="15"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ht="15"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ht="15" outlineLevel="1">
      <c r="A2297" s="2176" t="str">
        <f>IF(G2297&lt;&gt;0,1,"")</f>
        <v/>
      </c>
      <c r="B2297" s="2115" t="s">
        <v>5424</v>
      </c>
      <c r="C2297" s="2252"/>
      <c r="D2297" s="2146" t="s">
        <v>5425</v>
      </c>
      <c r="E2297" s="2188" t="s">
        <v>5426</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ht="15" outlineLevel="1">
      <c r="A2298" s="2176" t="str">
        <f>IF(G2298&lt;&gt;0,1,"")</f>
        <v/>
      </c>
      <c r="B2298" s="2255"/>
      <c r="C2298" s="2252">
        <f>IF(G2298&gt;0,C2293+1,C2293)</f>
        <v>0</v>
      </c>
      <c r="D2298" s="2253"/>
      <c r="E2298" s="2411" t="s">
        <v>6220</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5" outlineLevel="1">
      <c r="A2299" s="2176" t="str">
        <f>A2298</f>
        <v/>
      </c>
      <c r="B2299" s="2255"/>
      <c r="C2299" s="2252"/>
      <c r="D2299" s="2253"/>
      <c r="E2299" s="2261" t="s">
        <v>6132</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ht="15"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ht="15"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ht="15"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ht="15" outlineLevel="1">
      <c r="A2303" s="2176" t="str">
        <f>IF(G2303&lt;&gt;0,1,"")</f>
        <v/>
      </c>
      <c r="B2303" s="2115" t="s">
        <v>5424</v>
      </c>
      <c r="C2303" s="2252"/>
      <c r="D2303" s="2146" t="s">
        <v>5425</v>
      </c>
      <c r="E2303" s="2188" t="s">
        <v>5426</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ht="15"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5" outlineLevel="1">
      <c r="A2305" s="2176" t="str">
        <f>+A2304</f>
        <v/>
      </c>
      <c r="B2305" s="2412"/>
      <c r="C2305" s="2252"/>
      <c r="D2305" s="2253"/>
      <c r="E2305" s="2261" t="s">
        <v>6132</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ht="15"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ht="15" outlineLevel="1">
      <c r="A2307" s="2176" t="str">
        <f t="shared" si="446"/>
        <v/>
      </c>
      <c r="B2307" s="2255" t="s">
        <v>1508</v>
      </c>
      <c r="C2307" s="2252"/>
      <c r="D2307" s="2146">
        <v>0</v>
      </c>
      <c r="E2307" s="2188" t="s">
        <v>5162</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ht="15"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ht="15"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ht="15" outlineLevel="1">
      <c r="A2310" s="2176" t="str">
        <f>IF(G2310&lt;&gt;0,1,"")</f>
        <v/>
      </c>
      <c r="B2310" s="2255" t="s">
        <v>6207</v>
      </c>
      <c r="C2310" s="2252"/>
      <c r="D2310" s="2146" t="s">
        <v>5724</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ht="15"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ht="15" outlineLevel="1">
      <c r="A2312" s="2176" t="str">
        <f t="shared" si="446"/>
        <v/>
      </c>
      <c r="B2312" s="2255" t="s">
        <v>525</v>
      </c>
      <c r="C2312" s="2252"/>
      <c r="D2312" s="2146">
        <v>0</v>
      </c>
      <c r="E2312" s="2188" t="s">
        <v>5251</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ht="15" outlineLevel="1">
      <c r="A2313" s="2176" t="str">
        <f t="shared" si="446"/>
        <v/>
      </c>
      <c r="B2313" s="2255" t="s">
        <v>1585</v>
      </c>
      <c r="C2313" s="2252"/>
      <c r="D2313" s="2146">
        <v>0</v>
      </c>
      <c r="E2313" s="2188" t="s">
        <v>5712</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ht="15" outlineLevel="1">
      <c r="A2314" s="2176" t="str">
        <f t="shared" si="446"/>
        <v/>
      </c>
      <c r="B2314" s="2255" t="s">
        <v>5163</v>
      </c>
      <c r="C2314" s="2252"/>
      <c r="D2314" s="2146">
        <v>0</v>
      </c>
      <c r="E2314" s="2188" t="s">
        <v>5164</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ht="15" outlineLevel="1">
      <c r="A2315" s="2176" t="str">
        <f t="shared" si="446"/>
        <v/>
      </c>
      <c r="B2315" s="2255" t="s">
        <v>5167</v>
      </c>
      <c r="C2315" s="2252"/>
      <c r="D2315" s="2146" t="s">
        <v>5168</v>
      </c>
      <c r="E2315" s="2188" t="s">
        <v>5169</v>
      </c>
      <c r="F2315" s="2146" t="s">
        <v>5170</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ht="15"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ht="15" outlineLevel="1">
      <c r="A2317" s="2176" t="str">
        <f t="shared" si="446"/>
        <v/>
      </c>
      <c r="B2317" s="2246" t="s">
        <v>5174</v>
      </c>
      <c r="C2317" s="2252"/>
      <c r="D2317" s="2146">
        <v>0</v>
      </c>
      <c r="E2317" s="2188" t="s">
        <v>5175</v>
      </c>
      <c r="F2317" s="2146" t="s">
        <v>5173</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ht="15"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ht="15" outlineLevel="1">
      <c r="A2319" s="2176" t="str">
        <f t="shared" si="446"/>
        <v/>
      </c>
      <c r="B2319" s="2255" t="s">
        <v>5178</v>
      </c>
      <c r="C2319" s="2413"/>
      <c r="D2319" s="2146">
        <v>0</v>
      </c>
      <c r="E2319" s="2188" t="s">
        <v>5179</v>
      </c>
      <c r="F2319" s="2146" t="s">
        <v>5173</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ht="15" outlineLevel="1">
      <c r="A2320" s="2176" t="str">
        <f>IF(G2320&lt;&gt;0,1,"")</f>
        <v/>
      </c>
      <c r="B2320" s="2255" t="s">
        <v>6233</v>
      </c>
      <c r="C2320" s="2413"/>
      <c r="D2320" s="2146">
        <v>0</v>
      </c>
      <c r="E2320" s="2188" t="s">
        <v>5050</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ht="15" outlineLevel="1">
      <c r="A2321" s="2176" t="str">
        <f t="shared" si="446"/>
        <v/>
      </c>
      <c r="B2321" s="2246" t="s">
        <v>5180</v>
      </c>
      <c r="C2321" s="2252"/>
      <c r="D2321" s="2146">
        <v>0</v>
      </c>
      <c r="E2321" s="2188" t="s">
        <v>5181</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ht="15" outlineLevel="1">
      <c r="A2322" s="2176" t="str">
        <f t="shared" si="446"/>
        <v/>
      </c>
      <c r="B2322" s="2246" t="s">
        <v>5182</v>
      </c>
      <c r="C2322" s="2252"/>
      <c r="D2322" s="2146">
        <v>0</v>
      </c>
      <c r="E2322" s="2188" t="s">
        <v>5183</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ht="15" outlineLevel="1">
      <c r="A2323" s="2176">
        <f>IF(G2323=0,0,1)</f>
        <v>0</v>
      </c>
      <c r="B2323" s="2246" t="s">
        <v>794</v>
      </c>
      <c r="C2323" s="2262"/>
      <c r="D2323" s="2146" t="s">
        <v>5335</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ht="15" outlineLevel="1">
      <c r="A2324" s="2176">
        <f>IF(G2324=0,0,1)</f>
        <v>0</v>
      </c>
      <c r="B2324" s="2246" t="s">
        <v>798</v>
      </c>
      <c r="C2324" s="2262"/>
      <c r="D2324" s="2146" t="s">
        <v>5324</v>
      </c>
      <c r="E2324" s="2188" t="s">
        <v>5336</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ht="15" outlineLevel="1">
      <c r="A2325" s="2176">
        <f>IF(G2325=0,0,1)</f>
        <v>0</v>
      </c>
      <c r="B2325" s="2246" t="s">
        <v>902</v>
      </c>
      <c r="C2325" s="2262"/>
      <c r="D2325" s="2146" t="s">
        <v>5350</v>
      </c>
      <c r="E2325" s="2188" t="s">
        <v>5351</v>
      </c>
      <c r="F2325" s="2146" t="s">
        <v>2385</v>
      </c>
      <c r="G2325" s="2542">
        <f>G2307</f>
        <v>0</v>
      </c>
      <c r="H2325" s="2258">
        <v>0</v>
      </c>
      <c r="I2325" s="2258"/>
      <c r="J2325" s="2258" t="s">
        <v>6311</v>
      </c>
      <c r="K2325" s="2258">
        <v>0</v>
      </c>
      <c r="L2325" s="2258">
        <f>H2325*$G2325</f>
        <v>0</v>
      </c>
      <c r="M2325" s="2258">
        <f>I2325*$G2325</f>
        <v>0</v>
      </c>
      <c r="N2325" s="2258">
        <v>0</v>
      </c>
      <c r="O2325" s="2258">
        <f>K2325*$G2325</f>
        <v>0</v>
      </c>
      <c r="P2325" s="2435"/>
      <c r="Q2325" s="2260"/>
      <c r="R2325" s="2260"/>
      <c r="S2325" s="2260"/>
    </row>
    <row r="2326" spans="1:20" s="2099" customFormat="1" ht="15" outlineLevel="1">
      <c r="A2326" s="2176" t="str">
        <f>IF(G2326&lt;&gt;0,1,"")</f>
        <v/>
      </c>
      <c r="B2326" s="2246" t="s">
        <v>1437</v>
      </c>
      <c r="C2326" s="2252"/>
      <c r="D2326" s="2146" t="s">
        <v>5345</v>
      </c>
      <c r="E2326" s="2188" t="s">
        <v>5346</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ht="28.5" outlineLevel="1">
      <c r="A2327" s="2176" t="str">
        <f>IF(G2327&lt;&gt;0,1,"")</f>
        <v/>
      </c>
      <c r="B2327" s="2255"/>
      <c r="C2327" s="2252">
        <f>IF(G2327&gt;0,C2304+1,C2304)</f>
        <v>0</v>
      </c>
      <c r="D2327" s="2253"/>
      <c r="E2327" s="2256" t="s">
        <v>6266</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5" outlineLevel="1">
      <c r="A2328" s="2176" t="str">
        <f>A2327</f>
        <v/>
      </c>
      <c r="B2328" s="2255"/>
      <c r="C2328" s="2252"/>
      <c r="D2328" s="2253"/>
      <c r="E2328" s="2261" t="s">
        <v>6132</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ht="15" outlineLevel="1">
      <c r="A2329" s="2176" t="str">
        <f>IF(G2329&lt;&gt;0,1,"")</f>
        <v/>
      </c>
      <c r="B2329" s="2255" t="s">
        <v>653</v>
      </c>
      <c r="C2329" s="2262"/>
      <c r="D2329" s="2146">
        <v>0</v>
      </c>
      <c r="E2329" s="2188" t="s">
        <v>5288</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ht="15"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ht="15"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ht="15" outlineLevel="1">
      <c r="A2332" s="2176" t="str">
        <f>IF(G2332&lt;&gt;0,1,"")</f>
        <v/>
      </c>
      <c r="B2332" s="2255" t="s">
        <v>654</v>
      </c>
      <c r="C2332" s="2262"/>
      <c r="D2332" s="2146" t="s">
        <v>5470</v>
      </c>
      <c r="E2332" s="2188" t="s">
        <v>5473</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ht="15" outlineLevel="1">
      <c r="A2333" s="2176" t="str">
        <f>IF(G2333&lt;&gt;0,1,"")</f>
        <v/>
      </c>
      <c r="B2333" s="2255"/>
      <c r="C2333" s="2252">
        <f>IF(G2333&gt;0,C2327+1,C2327)</f>
        <v>0</v>
      </c>
      <c r="D2333" s="2253"/>
      <c r="E2333" s="2370" t="s">
        <v>6208</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5" outlineLevel="1">
      <c r="A2334" s="2176" t="str">
        <f>A2333</f>
        <v/>
      </c>
      <c r="B2334" s="2255"/>
      <c r="C2334" s="2252"/>
      <c r="D2334" s="2253"/>
      <c r="E2334" s="2261" t="s">
        <v>6132</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ht="15" outlineLevel="1">
      <c r="A2335" s="2176" t="str">
        <f>IF(G2335&lt;&gt;0,1,"")</f>
        <v/>
      </c>
      <c r="B2335" s="2115" t="s">
        <v>5642</v>
      </c>
      <c r="C2335" s="2262"/>
      <c r="D2335" s="2146" t="s">
        <v>5632</v>
      </c>
      <c r="E2335" s="2188" t="s">
        <v>5643</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ht="15" outlineLevel="1">
      <c r="A2336" s="2176" t="str">
        <f>IF(G2336&lt;&gt;0,1,"")</f>
        <v/>
      </c>
      <c r="B2336" s="2255" t="s">
        <v>880</v>
      </c>
      <c r="C2336" s="2252"/>
      <c r="D2336" s="2146">
        <v>0</v>
      </c>
      <c r="E2336" s="2188" t="s">
        <v>5798</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ht="15" outlineLevel="1">
      <c r="A2337" s="2176" t="str">
        <f>IF(G2337&lt;&gt;0,1,"")</f>
        <v/>
      </c>
      <c r="B2337" s="2255" t="s">
        <v>289</v>
      </c>
      <c r="C2337" s="2262"/>
      <c r="D2337" s="2146">
        <v>0</v>
      </c>
      <c r="E2337" s="2188" t="s">
        <v>5711</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ht="15"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ht="15" outlineLevel="1">
      <c r="A2339" s="2176" t="str">
        <f t="shared" si="456"/>
        <v/>
      </c>
      <c r="B2339" s="2255"/>
      <c r="C2339" s="2252"/>
      <c r="D2339" s="2253"/>
      <c r="E2339" s="2370" t="s">
        <v>6209</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5" outlineLevel="1">
      <c r="A2340" s="2176" t="str">
        <f>A2339</f>
        <v/>
      </c>
      <c r="B2340" s="2543"/>
      <c r="C2340" s="2486"/>
      <c r="D2340" s="2487"/>
      <c r="E2340" s="2488" t="s">
        <v>6132</v>
      </c>
      <c r="F2340" s="2487"/>
      <c r="G2340" s="2544"/>
      <c r="H2340" s="2258"/>
      <c r="I2340" s="2258"/>
      <c r="J2340" s="2258"/>
      <c r="K2340" s="2258"/>
      <c r="L2340" s="2258"/>
      <c r="M2340" s="2258"/>
      <c r="N2340" s="2258"/>
      <c r="O2340" s="2258"/>
      <c r="P2340" s="2435"/>
      <c r="Q2340" s="2260"/>
      <c r="R2340" s="2260"/>
      <c r="S2340" s="2260"/>
    </row>
    <row r="2341" spans="1:19" s="2099" customFormat="1" ht="15" outlineLevel="1">
      <c r="A2341" s="2176" t="str">
        <f t="shared" si="456"/>
        <v/>
      </c>
      <c r="B2341" s="2255" t="s">
        <v>6246</v>
      </c>
      <c r="C2341" s="2262"/>
      <c r="D2341" s="2146" t="s">
        <v>5654</v>
      </c>
      <c r="E2341" s="2188" t="s">
        <v>5658</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ht="15" outlineLevel="1">
      <c r="A2342" s="2176" t="str">
        <f t="shared" si="456"/>
        <v/>
      </c>
      <c r="B2342" s="2255" t="s">
        <v>880</v>
      </c>
      <c r="C2342" s="2262"/>
      <c r="D2342" s="2146">
        <v>0</v>
      </c>
      <c r="E2342" s="2188" t="s">
        <v>5798</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ht="15" outlineLevel="1">
      <c r="A2343" s="2176" t="str">
        <f t="shared" si="456"/>
        <v/>
      </c>
      <c r="B2343" s="2255" t="s">
        <v>289</v>
      </c>
      <c r="C2343" s="2262"/>
      <c r="D2343" s="2146">
        <v>0</v>
      </c>
      <c r="E2343" s="2188" t="s">
        <v>5711</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ht="15"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ht="15" outlineLevel="1">
      <c r="A2345" s="2176" t="str">
        <f>IF(G2345&lt;&gt;0,1,"")</f>
        <v/>
      </c>
      <c r="B2345" s="2255"/>
      <c r="C2345" s="2252">
        <f>IF(G2345&gt;0,C2333+1,C2333)</f>
        <v>0</v>
      </c>
      <c r="D2345" s="2253"/>
      <c r="E2345" s="2254" t="s">
        <v>6262</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5" outlineLevel="1">
      <c r="A2346" s="2176" t="str">
        <f>A2345</f>
        <v/>
      </c>
      <c r="B2346" s="2255"/>
      <c r="C2346" s="2252"/>
      <c r="D2346" s="2253"/>
      <c r="E2346" s="2268" t="s">
        <v>6132</v>
      </c>
      <c r="F2346" s="2252"/>
      <c r="G2346" s="2371"/>
      <c r="H2346" s="2258"/>
      <c r="I2346" s="2258"/>
      <c r="J2346" s="2258"/>
      <c r="K2346" s="2258"/>
      <c r="L2346" s="2258"/>
      <c r="M2346" s="2258"/>
      <c r="N2346" s="2258"/>
      <c r="O2346" s="2258"/>
      <c r="P2346" s="2435"/>
      <c r="Q2346" s="2260"/>
      <c r="R2346" s="2260"/>
      <c r="S2346" s="2260"/>
    </row>
    <row r="2347" spans="1:19" s="2099" customFormat="1" ht="15" outlineLevel="1">
      <c r="A2347" s="2176" t="str">
        <f>IF(G2347&lt;&gt;0,1,"")</f>
        <v/>
      </c>
      <c r="B2347" s="2246" t="s">
        <v>697</v>
      </c>
      <c r="C2347" s="2262"/>
      <c r="D2347" s="2146">
        <v>0</v>
      </c>
      <c r="E2347" s="2188" t="s">
        <v>5086</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ht="15" outlineLevel="1">
      <c r="A2348" s="2176" t="str">
        <f>IF(G2348&lt;&gt;0,1,"")</f>
        <v/>
      </c>
      <c r="B2348" s="2351" t="s">
        <v>5698</v>
      </c>
      <c r="C2348" s="2262"/>
      <c r="D2348" s="2146">
        <v>0</v>
      </c>
      <c r="E2348" s="2188" t="s">
        <v>5699</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ht="15" outlineLevel="1">
      <c r="A2349" s="2176" t="str">
        <f>IF(G2349&lt;&gt;0,1,"")</f>
        <v/>
      </c>
      <c r="B2349" s="2351" t="s">
        <v>5704</v>
      </c>
      <c r="C2349" s="2262"/>
      <c r="D2349" s="2146">
        <v>0</v>
      </c>
      <c r="E2349" s="2188" t="s">
        <v>5705</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ht="15" outlineLevel="1">
      <c r="A2350" s="2176" t="str">
        <f>IF(G2350&lt;&gt;0,1,"")</f>
        <v/>
      </c>
      <c r="B2350" s="2351" t="s">
        <v>5706</v>
      </c>
      <c r="C2350" s="2262"/>
      <c r="D2350" s="2146">
        <v>0</v>
      </c>
      <c r="E2350" s="2188" t="s">
        <v>5707</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ht="15" outlineLevel="1">
      <c r="A2351" s="2176" t="str">
        <f>IF(G2351&lt;&gt;0,1,"")</f>
        <v/>
      </c>
      <c r="B2351" s="2351" t="s">
        <v>6263</v>
      </c>
      <c r="C2351" s="2262"/>
      <c r="D2351" s="2146"/>
      <c r="E2351" s="2188" t="s">
        <v>5697</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ht="15"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ht="15" outlineLevel="1">
      <c r="A2353" s="2176" t="str">
        <f t="shared" si="464"/>
        <v/>
      </c>
      <c r="B2353" s="2351" t="s">
        <v>1477</v>
      </c>
      <c r="C2353" s="2262"/>
      <c r="D2353" s="2146">
        <v>0</v>
      </c>
      <c r="E2353" s="2188" t="s">
        <v>6345</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ht="15"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ht="15"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ht="15" outlineLevel="1">
      <c r="A2356" s="2176" t="str">
        <f t="shared" si="464"/>
        <v/>
      </c>
      <c r="B2356" s="2246" t="s">
        <v>1565</v>
      </c>
      <c r="C2356" s="2262"/>
      <c r="D2356" s="2146" t="s">
        <v>5559</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ht="15" outlineLevel="1">
      <c r="A2357" s="2176" t="str">
        <f t="shared" si="464"/>
        <v/>
      </c>
      <c r="B2357" s="2246" t="s">
        <v>1525</v>
      </c>
      <c r="C2357" s="2262"/>
      <c r="D2357" s="2146" t="s">
        <v>5570</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ht="15"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5" outlineLevel="1">
      <c r="A2359" s="2176" t="str">
        <f>A2358</f>
        <v/>
      </c>
      <c r="B2359" s="2255"/>
      <c r="C2359" s="2252"/>
      <c r="D2359" s="2253"/>
      <c r="E2359" s="2268" t="s">
        <v>6132</v>
      </c>
      <c r="F2359" s="2252"/>
      <c r="G2359" s="2257"/>
      <c r="H2359" s="2258"/>
      <c r="I2359" s="2258"/>
      <c r="J2359" s="2258"/>
      <c r="K2359" s="2258"/>
      <c r="L2359" s="2258"/>
      <c r="M2359" s="2258"/>
      <c r="N2359" s="2258"/>
      <c r="O2359" s="2258"/>
      <c r="P2359" s="2259"/>
      <c r="Q2359" s="2260"/>
      <c r="R2359" s="2260"/>
      <c r="S2359" s="2260"/>
    </row>
    <row r="2360" spans="1:19" s="2099" customFormat="1" ht="15"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ht="15" outlineLevel="1">
      <c r="A2361" s="2176" t="str">
        <f>IF(G2361&lt;&gt;0,1,"")</f>
        <v/>
      </c>
      <c r="B2361" s="2255" t="s">
        <v>86</v>
      </c>
      <c r="C2361" s="2262"/>
      <c r="D2361" s="2146">
        <v>0</v>
      </c>
      <c r="E2361" s="2188" t="s">
        <v>5796</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ht="15"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ht="15"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ht="15" outlineLevel="1">
      <c r="A2364" s="2176" t="str">
        <f>IF(G2364&lt;&gt;0,1,"")</f>
        <v/>
      </c>
      <c r="B2364" s="2246"/>
      <c r="C2364" s="2252">
        <f>IF(G2364&gt;0,C2358+1,C2358)</f>
        <v>0</v>
      </c>
      <c r="D2364" s="2253"/>
      <c r="E2364" s="2254" t="s">
        <v>6264</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5" outlineLevel="1">
      <c r="A2365" s="2176" t="str">
        <f>A2364</f>
        <v/>
      </c>
      <c r="B2365" s="2246"/>
      <c r="C2365" s="2252"/>
      <c r="D2365" s="2253"/>
      <c r="E2365" s="2268" t="s">
        <v>6132</v>
      </c>
      <c r="F2365" s="2252"/>
      <c r="G2365" s="2372"/>
      <c r="H2365" s="2258"/>
      <c r="I2365" s="2258"/>
      <c r="J2365" s="2258"/>
      <c r="K2365" s="2258"/>
      <c r="L2365" s="2258"/>
      <c r="M2365" s="2258"/>
      <c r="N2365" s="2258"/>
      <c r="O2365" s="2258"/>
      <c r="P2365" s="2435"/>
      <c r="Q2365" s="2260"/>
      <c r="R2365" s="2260"/>
      <c r="S2365" s="2260"/>
    </row>
    <row r="2366" spans="1:19" s="2099" customFormat="1" ht="15" outlineLevel="1">
      <c r="A2366" s="2176" t="str">
        <f>IF(G2366&lt;&gt;0,1,"")</f>
        <v/>
      </c>
      <c r="B2366" s="2255" t="s">
        <v>6157</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ht="15"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ht="15" outlineLevel="1">
      <c r="A2368" s="2176" t="str">
        <f>IF(G2368&lt;&gt;0,1,"")</f>
        <v/>
      </c>
      <c r="B2368" s="2255" t="s">
        <v>0</v>
      </c>
      <c r="C2368" s="2262"/>
      <c r="D2368" s="2146" t="s">
        <v>5728</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ht="15" outlineLevel="1">
      <c r="A2369" s="2176" t="str">
        <f>IF(G2369&lt;&gt;0,1,"")</f>
        <v/>
      </c>
      <c r="B2369" s="2255" t="s">
        <v>6267</v>
      </c>
      <c r="C2369" s="2262"/>
      <c r="D2369" s="2146" t="s">
        <v>5731</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ht="15"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ht="15"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ht="15"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ht="15" outlineLevel="1">
      <c r="A2373" s="2176">
        <f>IF(G2373=0,0,1)</f>
        <v>0</v>
      </c>
      <c r="B2373" s="2255" t="s">
        <v>6268</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ht="15"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ht="15" outlineLevel="1">
      <c r="A2375" s="2176" t="str">
        <f t="shared" si="467"/>
        <v/>
      </c>
      <c r="B2375" s="2255" t="s">
        <v>4598</v>
      </c>
      <c r="C2375" s="2262"/>
      <c r="D2375" s="2146">
        <v>0</v>
      </c>
      <c r="E2375" s="2188" t="s">
        <v>5797</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ht="15"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ht="15" outlineLevel="1">
      <c r="A2377" s="2176" t="str">
        <f t="shared" si="467"/>
        <v/>
      </c>
      <c r="B2377" s="2246" t="s">
        <v>6269</v>
      </c>
      <c r="C2377" s="2262"/>
      <c r="D2377" s="2146">
        <v>0</v>
      </c>
      <c r="E2377" s="2188" t="s">
        <v>5257</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ht="15"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ht="15"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ht="15" outlineLevel="1">
      <c r="A2380" s="2176" t="str">
        <f>IF(G2380&lt;&gt;0,1,"")</f>
        <v/>
      </c>
      <c r="B2380" s="2115" t="s">
        <v>1740</v>
      </c>
      <c r="C2380" s="2262"/>
      <c r="D2380" s="2146">
        <v>0</v>
      </c>
      <c r="E2380" s="2188" t="s">
        <v>5794</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ht="15"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ht="15" outlineLevel="1">
      <c r="A2382" s="2176" t="str">
        <f t="shared" si="467"/>
        <v/>
      </c>
      <c r="B2382" s="2246" t="s">
        <v>6</v>
      </c>
      <c r="C2382" s="2262"/>
      <c r="D2382" s="2146"/>
      <c r="E2382" s="2188" t="s">
        <v>3567</v>
      </c>
      <c r="F2382" s="2146" t="s">
        <v>5805</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ht="15" outlineLevel="1">
      <c r="A2383" s="2176" t="str">
        <f t="shared" si="467"/>
        <v/>
      </c>
      <c r="B2383" s="2246" t="s">
        <v>672</v>
      </c>
      <c r="C2383" s="2262"/>
      <c r="D2383" s="2146">
        <v>0</v>
      </c>
      <c r="E2383" s="2188" t="s">
        <v>5800</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ht="15" outlineLevel="1">
      <c r="A2384" s="2176" t="str">
        <f t="shared" si="467"/>
        <v/>
      </c>
      <c r="B2384" s="2246" t="s">
        <v>247</v>
      </c>
      <c r="C2384" s="2262"/>
      <c r="D2384" s="2146" t="s">
        <v>5572</v>
      </c>
      <c r="E2384" s="2188" t="s">
        <v>5573</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ht="15" outlineLevel="1">
      <c r="A2385" s="2176"/>
      <c r="B2385" s="2351"/>
      <c r="C2385" s="2417"/>
      <c r="D2385" s="2418"/>
      <c r="E2385" s="2393"/>
      <c r="F2385" s="2631"/>
      <c r="G2385" s="2632"/>
      <c r="H2385" s="2631"/>
      <c r="I2385" s="2631"/>
      <c r="J2385" s="2641" t="s">
        <v>6130</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ht="15" outlineLevel="1">
      <c r="A2388" s="2176">
        <f>A2386</f>
        <v>0</v>
      </c>
      <c r="B2388" s="2255" t="s">
        <v>6111</v>
      </c>
      <c r="C2388" s="2642" t="s">
        <v>1708</v>
      </c>
      <c r="D2388" s="2643" t="s">
        <v>2597</v>
      </c>
      <c r="E2388" s="2645" t="s">
        <v>2598</v>
      </c>
      <c r="F2388" s="2642" t="s">
        <v>2593</v>
      </c>
      <c r="G2388" s="2103" t="s">
        <v>6112</v>
      </c>
      <c r="H2388" s="2106" t="s">
        <v>6113</v>
      </c>
      <c r="I2388" s="2613"/>
      <c r="J2388" s="2613"/>
      <c r="K2388" s="2614"/>
      <c r="L2388" s="2106" t="s">
        <v>6114</v>
      </c>
      <c r="M2388" s="2613"/>
      <c r="N2388" s="2613"/>
      <c r="O2388" s="2614"/>
      <c r="P2388" s="2642" t="s">
        <v>2599</v>
      </c>
      <c r="Q2388" s="2260"/>
      <c r="R2388" s="2260"/>
      <c r="S2388" s="2260"/>
    </row>
    <row r="2389" spans="1:19" s="2099" customFormat="1" ht="15" outlineLevel="1">
      <c r="A2389" s="2176">
        <f>A2388</f>
        <v>0</v>
      </c>
      <c r="B2389" s="2255"/>
      <c r="C2389" s="2642"/>
      <c r="D2389" s="2644"/>
      <c r="E2389" s="2646"/>
      <c r="F2389" s="2642"/>
      <c r="G2389" s="2105" t="s">
        <v>2286</v>
      </c>
      <c r="H2389" s="2106" t="s">
        <v>6115</v>
      </c>
      <c r="I2389" s="2106" t="s">
        <v>6116</v>
      </c>
      <c r="J2389" s="2106" t="s">
        <v>6117</v>
      </c>
      <c r="K2389" s="2106" t="s">
        <v>6118</v>
      </c>
      <c r="L2389" s="2106" t="s">
        <v>6115</v>
      </c>
      <c r="M2389" s="2106" t="s">
        <v>6116</v>
      </c>
      <c r="N2389" s="2106" t="s">
        <v>6117</v>
      </c>
      <c r="O2389" s="2106" t="s">
        <v>6118</v>
      </c>
      <c r="P2389" s="2642"/>
      <c r="Q2389" s="2260"/>
      <c r="R2389" s="2260"/>
      <c r="S2389" s="2260"/>
    </row>
    <row r="2390" spans="1:19" s="2099" customFormat="1" ht="15"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ht="15" outlineLevel="1">
      <c r="A2391" s="2176" t="str">
        <f t="shared" ref="A2391:A2402" si="473">IF(G2391&lt;&gt;0,1,"")</f>
        <v/>
      </c>
      <c r="B2391" s="2246" t="str">
        <f>IF($F$8=15,"tr630","tr6301")</f>
        <v>tr6301</v>
      </c>
      <c r="C2391" s="2262">
        <f>IF(G2391&gt;0,1,0)</f>
        <v>0</v>
      </c>
      <c r="D2391" s="2146" t="s">
        <v>5592</v>
      </c>
      <c r="E2391" s="2188" t="s">
        <v>6372</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ht="15" outlineLevel="1">
      <c r="A2392" s="2176" t="str">
        <f t="shared" si="473"/>
        <v/>
      </c>
      <c r="B2392" s="2112" t="str">
        <f>"FCO100-"&amp;$F$8</f>
        <v>FCO100-22</v>
      </c>
      <c r="C2392" s="2262">
        <f t="shared" ref="C2392:C2397" si="478">IF(G2392&gt;0,C2391+1,C2391)</f>
        <v>0</v>
      </c>
      <c r="D2392" s="2146" t="s">
        <v>5597</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ht="15" outlineLevel="1">
      <c r="A2393" s="2176" t="str">
        <f t="shared" si="473"/>
        <v/>
      </c>
      <c r="B2393" s="2246" t="s">
        <v>4502</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ht="15" outlineLevel="1">
      <c r="A2394" s="2176" t="str">
        <f t="shared" si="473"/>
        <v/>
      </c>
      <c r="B2394" s="2255" t="str">
        <f>"LA"&amp;$F$6</f>
        <v>LA18</v>
      </c>
      <c r="C2394" s="2262">
        <f t="shared" si="478"/>
        <v>0</v>
      </c>
      <c r="D2394" s="2146" t="s">
        <v>5601</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ht="15"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ht="15" outlineLevel="1">
      <c r="A2396" s="2176" t="str">
        <f>IF(G2396&lt;&gt;0,1,"")</f>
        <v/>
      </c>
      <c r="B2396" s="2351" t="s">
        <v>6215</v>
      </c>
      <c r="C2396" s="2262">
        <f t="shared" si="478"/>
        <v>0</v>
      </c>
      <c r="D2396" s="2146">
        <v>0</v>
      </c>
      <c r="E2396" s="2188" t="s">
        <v>5683</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ht="15" outlineLevel="1">
      <c r="A2397" s="2176" t="str">
        <f>IF(G2397&lt;&gt;0,1,"")</f>
        <v/>
      </c>
      <c r="B2397" s="2351" t="s">
        <v>710</v>
      </c>
      <c r="C2397" s="2262">
        <f t="shared" si="478"/>
        <v>0</v>
      </c>
      <c r="D2397" s="2146">
        <v>0</v>
      </c>
      <c r="E2397" s="2188" t="s">
        <v>5681</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ht="15"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ht="15" outlineLevel="1">
      <c r="A2399" s="2176" t="str">
        <f t="shared" si="473"/>
        <v/>
      </c>
      <c r="B2399" s="2351" t="s">
        <v>1463</v>
      </c>
      <c r="C2399" s="2262">
        <f>IF(G2399&gt;0,C2395+1,C2395)</f>
        <v>0</v>
      </c>
      <c r="D2399" s="2146" t="s">
        <v>1025</v>
      </c>
      <c r="E2399" s="2188" t="s">
        <v>5619</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ht="15"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ht="15" outlineLevel="1">
      <c r="A2401" s="2176" t="str">
        <f t="shared" si="473"/>
        <v/>
      </c>
      <c r="B2401" s="2243" t="s">
        <v>2187</v>
      </c>
      <c r="C2401" s="2262">
        <f>IF(G2401&gt;0,C2399+1,C2399)</f>
        <v>0</v>
      </c>
      <c r="D2401" s="2146">
        <v>0</v>
      </c>
      <c r="E2401" s="2188" t="s">
        <v>5610</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ht="15"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ht="15" outlineLevel="1">
      <c r="A2403" s="2176">
        <f>A2386</f>
        <v>0</v>
      </c>
      <c r="B2403" s="2255"/>
      <c r="C2403" s="2387"/>
      <c r="D2403" s="2388"/>
      <c r="E2403" s="2389"/>
      <c r="F2403" s="2387"/>
      <c r="G2403" s="2630"/>
      <c r="H2403" s="2387"/>
      <c r="I2403" s="2387"/>
      <c r="J2403" s="2111" t="s">
        <v>6120</v>
      </c>
      <c r="K2403" s="2387"/>
      <c r="L2403" s="2389">
        <f>SUM(L2391:L2402)</f>
        <v>0</v>
      </c>
      <c r="M2403" s="2389">
        <f>SUM(M2391:M2402)</f>
        <v>0</v>
      </c>
      <c r="N2403" s="2389">
        <f>SUM(N2391:N2402)</f>
        <v>0</v>
      </c>
      <c r="O2403" s="2389">
        <f>SUM(O2391:O2402)</f>
        <v>0</v>
      </c>
      <c r="P2403" s="2390"/>
      <c r="Q2403" s="2260"/>
      <c r="R2403" s="2260"/>
      <c r="S2403" s="2260"/>
    </row>
    <row r="2404" spans="1:19" s="2099" customFormat="1" ht="15"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ht="15" outlineLevel="1">
      <c r="A2405" s="2176" t="str">
        <f t="shared" ref="A2405:A2423" si="479">IF(G2405&lt;&gt;0,1,"")</f>
        <v/>
      </c>
      <c r="B2405" s="2395"/>
      <c r="C2405" s="2396">
        <f>IF(G2405&gt;0,1,0)</f>
        <v>0</v>
      </c>
      <c r="D2405" s="2146"/>
      <c r="E2405" s="2397" t="s">
        <v>6121</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ht="15"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ht="15"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ht="15"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ht="15" outlineLevel="1">
      <c r="A2409" s="2176" t="str">
        <f t="shared" si="479"/>
        <v/>
      </c>
      <c r="B2409" s="2395"/>
      <c r="C2409" s="2396">
        <f>IF(G2409&gt;0,1,0)</f>
        <v>0</v>
      </c>
      <c r="D2409" s="2146"/>
      <c r="E2409" s="2397" t="s">
        <v>6216</v>
      </c>
      <c r="F2409" s="2398" t="s">
        <v>2277</v>
      </c>
      <c r="G2409" s="2399"/>
      <c r="H2409" s="2398"/>
      <c r="I2409" s="2398"/>
      <c r="J2409" s="2398"/>
      <c r="K2409" s="2398"/>
      <c r="L2409" s="2399"/>
      <c r="M2409" s="2399"/>
      <c r="N2409" s="2399"/>
      <c r="O2409" s="2400"/>
      <c r="P2409" s="2259"/>
      <c r="Q2409" s="2260"/>
      <c r="R2409" s="2260"/>
      <c r="S2409" s="2260"/>
    </row>
    <row r="2410" spans="1:19" s="2099" customFormat="1" ht="15"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ht="15"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ht="15"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ht="15"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ht="15" outlineLevel="1">
      <c r="A2414" s="2176" t="str">
        <f t="shared" si="479"/>
        <v/>
      </c>
      <c r="B2414" s="2351" t="s">
        <v>636</v>
      </c>
      <c r="C2414" s="2401"/>
      <c r="D2414" s="2146" t="s">
        <v>5046</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ht="15" outlineLevel="1">
      <c r="A2415" s="2176" t="str">
        <f t="shared" si="479"/>
        <v/>
      </c>
      <c r="B2415" s="2351" t="s">
        <v>566</v>
      </c>
      <c r="C2415" s="2401"/>
      <c r="D2415" s="2146"/>
      <c r="E2415" s="2402" t="s">
        <v>5071</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ht="15" outlineLevel="1">
      <c r="A2416" s="2176" t="str">
        <f t="shared" si="479"/>
        <v/>
      </c>
      <c r="B2416" s="2351" t="s">
        <v>639</v>
      </c>
      <c r="C2416" s="2401"/>
      <c r="D2416" s="2146" t="s">
        <v>1747</v>
      </c>
      <c r="E2416" s="2402" t="s">
        <v>5323</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ht="15" outlineLevel="1">
      <c r="A2417" s="2176" t="str">
        <f t="shared" si="479"/>
        <v/>
      </c>
      <c r="B2417" s="2351" t="s">
        <v>21</v>
      </c>
      <c r="C2417" s="2401"/>
      <c r="D2417" s="2146" t="s">
        <v>5324</v>
      </c>
      <c r="E2417" s="2402" t="s">
        <v>5325</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ht="15"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ht="15" outlineLevel="1">
      <c r="A2419" s="2176" t="str">
        <f t="shared" si="479"/>
        <v/>
      </c>
      <c r="B2419" s="2351" t="s">
        <v>636</v>
      </c>
      <c r="C2419" s="2401"/>
      <c r="D2419" s="2146" t="s">
        <v>5046</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ht="15" outlineLevel="1">
      <c r="A2420" s="2176" t="str">
        <f t="shared" si="479"/>
        <v/>
      </c>
      <c r="B2420" s="2351" t="s">
        <v>566</v>
      </c>
      <c r="C2420" s="2401"/>
      <c r="D2420" s="2146"/>
      <c r="E2420" s="2402" t="s">
        <v>5071</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ht="15" outlineLevel="1">
      <c r="A2421" s="2176" t="str">
        <f t="shared" si="479"/>
        <v/>
      </c>
      <c r="B2421" s="2351" t="s">
        <v>639</v>
      </c>
      <c r="C2421" s="2401"/>
      <c r="D2421" s="2146" t="s">
        <v>1747</v>
      </c>
      <c r="E2421" s="2402" t="s">
        <v>5323</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ht="15" outlineLevel="1">
      <c r="A2422" s="2176" t="str">
        <f t="shared" si="479"/>
        <v/>
      </c>
      <c r="B2422" s="2351" t="s">
        <v>21</v>
      </c>
      <c r="C2422" s="2401"/>
      <c r="D2422" s="2146" t="s">
        <v>5324</v>
      </c>
      <c r="E2422" s="2402" t="s">
        <v>5325</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ht="15"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5" outlineLevel="1">
      <c r="A2424" s="2176" t="str">
        <f>A2423</f>
        <v/>
      </c>
      <c r="B2424" s="2255"/>
      <c r="C2424" s="2252"/>
      <c r="D2424" s="2408"/>
      <c r="E2424" s="2261" t="s">
        <v>6132</v>
      </c>
      <c r="F2424" s="2262"/>
      <c r="G2424" s="2263"/>
      <c r="H2424" s="2409"/>
      <c r="I2424" s="2409"/>
      <c r="J2424" s="2409"/>
      <c r="K2424" s="2409"/>
      <c r="L2424" s="2409"/>
      <c r="M2424" s="2409"/>
      <c r="N2424" s="2409"/>
      <c r="O2424" s="2409"/>
      <c r="P2424" s="2259"/>
      <c r="Q2424" s="2260"/>
      <c r="R2424" s="2260"/>
      <c r="S2424" s="2260"/>
    </row>
    <row r="2425" spans="1:19" s="2099" customFormat="1" ht="15" outlineLevel="1">
      <c r="A2425" s="2176" t="str">
        <f t="shared" ref="A2425:A2433" si="480">IF(G2425&lt;&gt;0,1,"")</f>
        <v/>
      </c>
      <c r="B2425" s="2246" t="s">
        <v>1408</v>
      </c>
      <c r="C2425" s="2252"/>
      <c r="D2425" s="2146">
        <v>0</v>
      </c>
      <c r="E2425" s="2188" t="s">
        <v>6352</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ht="15" outlineLevel="1">
      <c r="A2426" s="2176" t="str">
        <f t="shared" si="480"/>
        <v/>
      </c>
      <c r="B2426" s="2246" t="s">
        <v>1137</v>
      </c>
      <c r="C2426" s="2252"/>
      <c r="D2426" s="2146">
        <v>0</v>
      </c>
      <c r="E2426" s="2188" t="s">
        <v>6338</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ht="15" outlineLevel="1">
      <c r="A2427" s="2176" t="str">
        <f t="shared" si="480"/>
        <v/>
      </c>
      <c r="B2427" s="2246" t="s">
        <v>1138</v>
      </c>
      <c r="C2427" s="2252"/>
      <c r="D2427" s="2146">
        <v>0</v>
      </c>
      <c r="E2427" s="2188" t="s">
        <v>6339</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ht="15"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ht="15"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ht="15"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ht="15" outlineLevel="1">
      <c r="A2431" s="2176" t="str">
        <f>IF(G2431&lt;&gt;0,1,"")</f>
        <v/>
      </c>
      <c r="B2431" s="2246" t="s">
        <v>2242</v>
      </c>
      <c r="C2431" s="2252"/>
      <c r="D2431" s="2146" t="s">
        <v>5443</v>
      </c>
      <c r="E2431" s="2188" t="s">
        <v>6340</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ht="15" outlineLevel="1">
      <c r="A2432" s="2176" t="str">
        <f>IF(G2432&lt;&gt;0,1,"")</f>
        <v/>
      </c>
      <c r="B2432" s="2246" t="s">
        <v>6217</v>
      </c>
      <c r="C2432" s="2252"/>
      <c r="D2432" s="2146" t="s">
        <v>5377</v>
      </c>
      <c r="E2432" s="2188" t="s">
        <v>6342</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ht="15" outlineLevel="1">
      <c r="A2433" s="2176" t="str">
        <f t="shared" si="480"/>
        <v/>
      </c>
      <c r="B2433" s="2255"/>
      <c r="C2433" s="2252">
        <f>IF(G2433&gt;0,C2423+1,C2423)</f>
        <v>0</v>
      </c>
      <c r="D2433" s="2253"/>
      <c r="E2433" s="2411" t="s">
        <v>6270</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5" outlineLevel="1">
      <c r="A2434" s="2176" t="str">
        <f>A2433</f>
        <v/>
      </c>
      <c r="B2434" s="2255"/>
      <c r="C2434" s="2252"/>
      <c r="D2434" s="2146"/>
      <c r="E2434" s="2261" t="s">
        <v>6132</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ht="15"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ht="15"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ht="15"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ht="15"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ht="15" outlineLevel="1">
      <c r="A2439" s="2176" t="str">
        <f t="shared" si="485"/>
        <v/>
      </c>
      <c r="B2439" s="2255" t="s">
        <v>2242</v>
      </c>
      <c r="C2439" s="2252"/>
      <c r="D2439" s="2146" t="s">
        <v>5443</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ht="15" outlineLevel="1">
      <c r="A2440" s="2176" t="str">
        <f>IF(G2440&lt;&gt;0,1,"")</f>
        <v/>
      </c>
      <c r="B2440" s="2255"/>
      <c r="C2440" s="2252">
        <f>IF(G2440&gt;0,C2433+1,C2433)</f>
        <v>0</v>
      </c>
      <c r="D2440" s="2253"/>
      <c r="E2440" s="2411" t="s">
        <v>6218</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5" outlineLevel="1">
      <c r="A2441" s="2176" t="str">
        <f>A2440</f>
        <v/>
      </c>
      <c r="B2441" s="2255"/>
      <c r="C2441" s="2252"/>
      <c r="D2441" s="2253"/>
      <c r="E2441" s="2261" t="s">
        <v>6132</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ht="15" outlineLevel="1">
      <c r="A2442" s="2176" t="str">
        <f>IF(G2442&lt;&gt;0,1,"")</f>
        <v/>
      </c>
      <c r="B2442" s="2127" t="s">
        <v>5154</v>
      </c>
      <c r="C2442" s="2252"/>
      <c r="D2442" s="2146">
        <v>0</v>
      </c>
      <c r="E2442" s="2188" t="s">
        <v>5155</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ht="15" outlineLevel="1">
      <c r="A2443" s="2176" t="str">
        <f>IF(G2443&lt;&gt;0,1,"")</f>
        <v/>
      </c>
      <c r="B2443" s="2124" t="s">
        <v>488</v>
      </c>
      <c r="C2443" s="2252"/>
      <c r="D2443" s="2146">
        <v>0</v>
      </c>
      <c r="E2443" s="2188" t="s">
        <v>5077</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ht="15"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ht="15" outlineLevel="1">
      <c r="A2445" s="2176" t="str">
        <f>IF(G2445&lt;&gt;0,1,"")</f>
        <v/>
      </c>
      <c r="B2445" s="2246" t="s">
        <v>2242</v>
      </c>
      <c r="C2445" s="2252"/>
      <c r="D2445" s="2146" t="s">
        <v>5443</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ht="15" outlineLevel="1">
      <c r="A2446" s="2176" t="str">
        <f t="shared" si="485"/>
        <v/>
      </c>
      <c r="B2446" s="2255"/>
      <c r="C2446" s="2252">
        <f>IF(G2446&gt;0,C2440+1,C2440)</f>
        <v>0</v>
      </c>
      <c r="D2446" s="2253"/>
      <c r="E2446" s="2411" t="s">
        <v>6219</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5" outlineLevel="1">
      <c r="A2447" s="2176" t="str">
        <f>A2446</f>
        <v/>
      </c>
      <c r="B2447" s="2255"/>
      <c r="C2447" s="2252"/>
      <c r="D2447" s="2253"/>
      <c r="E2447" s="2261" t="s">
        <v>6132</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ht="15"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ht="15"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ht="15" outlineLevel="1">
      <c r="A2450" s="2176" t="str">
        <f>IF(G2450&lt;&gt;0,1,"")</f>
        <v/>
      </c>
      <c r="B2450" s="2255" t="s">
        <v>2242</v>
      </c>
      <c r="C2450" s="2252"/>
      <c r="D2450" s="2146" t="s">
        <v>5443</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ht="15" outlineLevel="1">
      <c r="A2451" s="2176" t="str">
        <f>IF(G2451&lt;&gt;0,1,"")</f>
        <v/>
      </c>
      <c r="B2451" s="2255"/>
      <c r="C2451" s="2252">
        <f>IF(G2451&gt;0,C2446+1,C2446)</f>
        <v>0</v>
      </c>
      <c r="D2451" s="2253"/>
      <c r="E2451" s="2411" t="s">
        <v>6220</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5" outlineLevel="1">
      <c r="A2452" s="2176" t="str">
        <f>A2451</f>
        <v/>
      </c>
      <c r="B2452" s="2255"/>
      <c r="C2452" s="2252"/>
      <c r="D2452" s="2253"/>
      <c r="E2452" s="2261" t="s">
        <v>6132</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ht="15"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ht="15"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ht="15" outlineLevel="1">
      <c r="A2455" s="2176" t="str">
        <f>IF(G2455&lt;&gt;0,1,"")</f>
        <v/>
      </c>
      <c r="B2455" s="2255" t="s">
        <v>2242</v>
      </c>
      <c r="C2455" s="2252"/>
      <c r="D2455" s="2146" t="s">
        <v>5443</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ht="15" outlineLevel="1">
      <c r="A2456" s="2176" t="str">
        <f>IF(G2456&lt;&gt;0,1,"")</f>
        <v/>
      </c>
      <c r="B2456" s="2255" t="s">
        <v>217</v>
      </c>
      <c r="C2456" s="2252"/>
      <c r="D2456" s="2146" t="s">
        <v>5343</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ht="15"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5" outlineLevel="1">
      <c r="A2458" s="2176" t="str">
        <f>A2457</f>
        <v/>
      </c>
      <c r="B2458" s="2255"/>
      <c r="C2458" s="2252"/>
      <c r="D2458" s="2253"/>
      <c r="E2458" s="2261" t="s">
        <v>6132</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ht="15"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ht="15" outlineLevel="1">
      <c r="A2460" s="2176" t="str">
        <f t="shared" si="487"/>
        <v/>
      </c>
      <c r="B2460" s="2255" t="s">
        <v>1035</v>
      </c>
      <c r="C2460" s="2252"/>
      <c r="D2460" s="2146">
        <v>0</v>
      </c>
      <c r="E2460" s="2188" t="s">
        <v>6373</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ht="15"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ht="15"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ht="15"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ht="15" outlineLevel="1">
      <c r="A2464" s="2176" t="str">
        <f t="shared" si="487"/>
        <v/>
      </c>
      <c r="B2464" s="2255" t="s">
        <v>517</v>
      </c>
      <c r="C2464" s="2252"/>
      <c r="D2464" s="2146" t="s">
        <v>5429</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ht="15" outlineLevel="1">
      <c r="A2465" s="2176" t="str">
        <f t="shared" si="487"/>
        <v/>
      </c>
      <c r="B2465" s="2255"/>
      <c r="C2465" s="2252">
        <f>IF(G2465&gt;0,C2457+1,C2457)</f>
        <v>0</v>
      </c>
      <c r="D2465" s="2253"/>
      <c r="E2465" s="2411" t="s">
        <v>6238</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5" outlineLevel="1">
      <c r="A2466" s="2176" t="str">
        <f>A2465</f>
        <v/>
      </c>
      <c r="B2466" s="2255"/>
      <c r="C2466" s="2252"/>
      <c r="D2466" s="2253"/>
      <c r="E2466" s="2261" t="s">
        <v>6132</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ht="15"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ht="15" outlineLevel="1">
      <c r="A2468" s="2176" t="str">
        <f t="shared" si="488"/>
        <v/>
      </c>
      <c r="B2468" s="2255" t="s">
        <v>1035</v>
      </c>
      <c r="C2468" s="2252"/>
      <c r="D2468" s="2146">
        <v>0</v>
      </c>
      <c r="E2468" s="2188" t="s">
        <v>6373</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ht="15"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ht="15"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ht="15"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ht="15" outlineLevel="1">
      <c r="A2472" s="2176" t="str">
        <f t="shared" si="488"/>
        <v/>
      </c>
      <c r="B2472" s="2255" t="s">
        <v>988</v>
      </c>
      <c r="C2472" s="2252"/>
      <c r="D2472" s="2146">
        <v>0</v>
      </c>
      <c r="E2472" s="2188" t="s">
        <v>5269</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ht="15" outlineLevel="1">
      <c r="A2473" s="2176" t="str">
        <f t="shared" si="488"/>
        <v/>
      </c>
      <c r="B2473" s="2255" t="s">
        <v>1440</v>
      </c>
      <c r="C2473" s="2252"/>
      <c r="D2473" s="2146" t="s">
        <v>5420</v>
      </c>
      <c r="E2473" s="2188" t="s">
        <v>5421</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ht="15"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5" outlineLevel="1">
      <c r="A2475" s="2176" t="str">
        <f>+A2474</f>
        <v/>
      </c>
      <c r="B2475" s="2412"/>
      <c r="C2475" s="2252"/>
      <c r="D2475" s="2253"/>
      <c r="E2475" s="2261" t="s">
        <v>6132</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ht="15"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ht="15" outlineLevel="1">
      <c r="A2477" s="2176" t="str">
        <f t="shared" si="489"/>
        <v/>
      </c>
      <c r="B2477" s="2246" t="s">
        <v>1508</v>
      </c>
      <c r="C2477" s="2252"/>
      <c r="D2477" s="2146">
        <v>0</v>
      </c>
      <c r="E2477" s="2188" t="s">
        <v>5162</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ht="15"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ht="15"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ht="15"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ht="15" outlineLevel="1">
      <c r="A2481" s="2176" t="str">
        <f t="shared" si="489"/>
        <v/>
      </c>
      <c r="B2481" s="2246" t="s">
        <v>525</v>
      </c>
      <c r="C2481" s="2252"/>
      <c r="D2481" s="2146">
        <v>0</v>
      </c>
      <c r="E2481" s="2188" t="s">
        <v>5251</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ht="15" outlineLevel="1">
      <c r="A2482" s="2176" t="str">
        <f t="shared" si="489"/>
        <v/>
      </c>
      <c r="B2482" s="2246" t="s">
        <v>1585</v>
      </c>
      <c r="C2482" s="2252"/>
      <c r="D2482" s="2146">
        <v>0</v>
      </c>
      <c r="E2482" s="2188" t="s">
        <v>5712</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ht="15" outlineLevel="1">
      <c r="A2483" s="2176">
        <f>IF(G2483=0,0,1)</f>
        <v>0</v>
      </c>
      <c r="B2483" s="2246" t="s">
        <v>794</v>
      </c>
      <c r="C2483" s="2262"/>
      <c r="D2483" s="2146" t="s">
        <v>5335</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ht="15" outlineLevel="1">
      <c r="A2484" s="2176">
        <f>IF(G2484=0,0,1)</f>
        <v>0</v>
      </c>
      <c r="B2484" s="2246" t="s">
        <v>798</v>
      </c>
      <c r="C2484" s="2262"/>
      <c r="D2484" s="2146" t="s">
        <v>5324</v>
      </c>
      <c r="E2484" s="2188" t="s">
        <v>5336</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ht="15" outlineLevel="1">
      <c r="A2485" s="2176">
        <f>IF(G2485=0,0,1)</f>
        <v>0</v>
      </c>
      <c r="B2485" s="2246" t="s">
        <v>902</v>
      </c>
      <c r="C2485" s="2262"/>
      <c r="D2485" s="2146" t="s">
        <v>5350</v>
      </c>
      <c r="E2485" s="2188" t="s">
        <v>5351</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ht="15" outlineLevel="1">
      <c r="A2486" s="2176" t="str">
        <f>IF(G2486&lt;&gt;0,1,"")</f>
        <v/>
      </c>
      <c r="B2486" s="2246" t="s">
        <v>1437</v>
      </c>
      <c r="C2486" s="2252"/>
      <c r="D2486" s="2146" t="s">
        <v>5345</v>
      </c>
      <c r="E2486" s="2188" t="s">
        <v>5346</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ht="15" outlineLevel="1">
      <c r="A2487" s="2176" t="str">
        <f>IF(G2487&lt;&gt;0,1,"")</f>
        <v/>
      </c>
      <c r="B2487" s="2255"/>
      <c r="C2487" s="2252">
        <f>IF(G2487&gt;0,C2474+1,C2474)</f>
        <v>0</v>
      </c>
      <c r="D2487" s="2253"/>
      <c r="E2487" s="2256" t="s">
        <v>6221</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5" outlineLevel="1">
      <c r="A2488" s="2176" t="str">
        <f>A2487</f>
        <v/>
      </c>
      <c r="B2488" s="2255"/>
      <c r="C2488" s="2252"/>
      <c r="D2488" s="2253"/>
      <c r="E2488" s="2261" t="s">
        <v>6132</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ht="15" outlineLevel="1">
      <c r="A2489" s="2176" t="str">
        <f>IF(G2489&lt;&gt;0,1,"")</f>
        <v/>
      </c>
      <c r="B2489" s="2255" t="s">
        <v>653</v>
      </c>
      <c r="C2489" s="2262"/>
      <c r="D2489" s="2146">
        <v>0</v>
      </c>
      <c r="E2489" s="2188" t="s">
        <v>5288</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ht="15"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ht="15"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ht="15" outlineLevel="1">
      <c r="A2492" s="2176" t="str">
        <f>IF(G2492&lt;&gt;0,1,"")</f>
        <v/>
      </c>
      <c r="B2492" s="2255" t="s">
        <v>654</v>
      </c>
      <c r="C2492" s="2262"/>
      <c r="D2492" s="2146" t="s">
        <v>5470</v>
      </c>
      <c r="E2492" s="2188" t="s">
        <v>5473</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ht="15" outlineLevel="1">
      <c r="A2493" s="2176" t="str">
        <f>IF(G2493&lt;&gt;0,1,"")</f>
        <v/>
      </c>
      <c r="B2493" s="2255"/>
      <c r="C2493" s="2252">
        <f>IF(G2493&gt;0,C2487+1,C2487)</f>
        <v>0</v>
      </c>
      <c r="D2493" s="2253"/>
      <c r="E2493" s="2370" t="s">
        <v>6208</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5" outlineLevel="1">
      <c r="A2494" s="2176" t="str">
        <f>A2493</f>
        <v/>
      </c>
      <c r="B2494" s="2255"/>
      <c r="C2494" s="2252"/>
      <c r="D2494" s="2253"/>
      <c r="E2494" s="2261" t="s">
        <v>6132</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ht="15" outlineLevel="1">
      <c r="A2495" s="2176" t="str">
        <f>IF(G2495&lt;&gt;0,1,"")</f>
        <v/>
      </c>
      <c r="B2495" s="2255" t="s">
        <v>5642</v>
      </c>
      <c r="C2495" s="2262"/>
      <c r="D2495" s="2146" t="s">
        <v>5632</v>
      </c>
      <c r="E2495" s="2188" t="s">
        <v>5643</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ht="15" outlineLevel="1">
      <c r="A2496" s="2176" t="str">
        <f>IF(G2496&lt;&gt;0,1,"")</f>
        <v/>
      </c>
      <c r="B2496" s="2255" t="s">
        <v>880</v>
      </c>
      <c r="C2496" s="2252"/>
      <c r="D2496" s="2146">
        <v>0</v>
      </c>
      <c r="E2496" s="2188" t="s">
        <v>5798</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ht="15" outlineLevel="1">
      <c r="A2497" s="2176" t="str">
        <f>IF(G2497&lt;&gt;0,1,"")</f>
        <v/>
      </c>
      <c r="B2497" s="2255" t="s">
        <v>289</v>
      </c>
      <c r="C2497" s="2262"/>
      <c r="D2497" s="2146">
        <v>0</v>
      </c>
      <c r="E2497" s="2188" t="s">
        <v>5711</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ht="15"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5" outlineLevel="1">
      <c r="A2499" s="2176" t="str">
        <f>A2498</f>
        <v/>
      </c>
      <c r="B2499" s="2255"/>
      <c r="C2499" s="2252"/>
      <c r="D2499" s="2253"/>
      <c r="E2499" s="2261" t="s">
        <v>6132</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ht="15" outlineLevel="1">
      <c r="A2500" s="2176" t="str">
        <f t="shared" ref="A2500:A2508" si="497">IF(G2500&lt;&gt;0,1,"")</f>
        <v/>
      </c>
      <c r="B2500" s="2548" t="s">
        <v>752</v>
      </c>
      <c r="C2500" s="2262"/>
      <c r="D2500" s="2146">
        <v>0</v>
      </c>
      <c r="E2500" s="2353" t="s">
        <v>6374</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ht="15" outlineLevel="1">
      <c r="A2501" s="2176" t="str">
        <f t="shared" si="497"/>
        <v/>
      </c>
      <c r="B2501" s="2548" t="s">
        <v>520</v>
      </c>
      <c r="C2501" s="2262"/>
      <c r="D2501" s="2146">
        <v>0</v>
      </c>
      <c r="E2501" s="2353" t="s">
        <v>6375</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ht="15" outlineLevel="1">
      <c r="A2502" s="2176" t="str">
        <f t="shared" si="497"/>
        <v/>
      </c>
      <c r="B2502" s="2548" t="s">
        <v>1675</v>
      </c>
      <c r="C2502" s="2262"/>
      <c r="D2502" s="2146">
        <v>0</v>
      </c>
      <c r="E2502" s="2353" t="s">
        <v>6376</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ht="15" outlineLevel="1">
      <c r="A2503" s="2176" t="str">
        <f t="shared" si="497"/>
        <v/>
      </c>
      <c r="B2503" s="2548" t="s">
        <v>1676</v>
      </c>
      <c r="C2503" s="2262"/>
      <c r="D2503" s="2146" t="s">
        <v>5289</v>
      </c>
      <c r="E2503" s="2353" t="s">
        <v>6377</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ht="15"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ht="15" outlineLevel="1">
      <c r="A2505" s="2176" t="str">
        <f t="shared" si="497"/>
        <v/>
      </c>
      <c r="B2505" s="2548" t="s">
        <v>1678</v>
      </c>
      <c r="C2505" s="2262"/>
      <c r="D2505" s="2146" t="s">
        <v>5332</v>
      </c>
      <c r="E2505" s="2353" t="s">
        <v>6378</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ht="15" outlineLevel="1">
      <c r="A2506" s="2176" t="str">
        <f t="shared" si="497"/>
        <v/>
      </c>
      <c r="B2506" s="2548" t="s">
        <v>144</v>
      </c>
      <c r="C2506" s="2262"/>
      <c r="D2506" s="2146" t="s">
        <v>5326</v>
      </c>
      <c r="E2506" s="2353" t="s">
        <v>6379</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ht="15" outlineLevel="1">
      <c r="A2507" s="2176" t="str">
        <f t="shared" si="497"/>
        <v/>
      </c>
      <c r="B2507" s="2548" t="s">
        <v>529</v>
      </c>
      <c r="C2507" s="2262"/>
      <c r="D2507" s="2146" t="s">
        <v>5331</v>
      </c>
      <c r="E2507" s="2353" t="s">
        <v>6380</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ht="15"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5" outlineLevel="1">
      <c r="A2509" s="2176" t="str">
        <f>A2508</f>
        <v/>
      </c>
      <c r="B2509" s="2255"/>
      <c r="C2509" s="2252"/>
      <c r="D2509" s="2253"/>
      <c r="E2509" s="2261" t="s">
        <v>6132</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ht="15" outlineLevel="1">
      <c r="A2510" s="2176" t="str">
        <f t="shared" ref="A2510:A2517" si="499">IF(G2510&lt;&gt;0,1,"")</f>
        <v/>
      </c>
      <c r="B2510" s="2255" t="s">
        <v>623</v>
      </c>
      <c r="C2510" s="2262"/>
      <c r="D2510" s="2146" t="s">
        <v>5304</v>
      </c>
      <c r="E2510" s="2188" t="s">
        <v>5305</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ht="15"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ht="15"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ht="15"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ht="15"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ht="15" outlineLevel="1">
      <c r="A2515" s="2176" t="str">
        <f t="shared" si="499"/>
        <v/>
      </c>
      <c r="B2515" s="2255" t="s">
        <v>1410</v>
      </c>
      <c r="C2515" s="2252"/>
      <c r="D2515" s="2146" t="s">
        <v>5340</v>
      </c>
      <c r="E2515" s="2188" t="s">
        <v>5341</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ht="15" outlineLevel="1">
      <c r="A2516" s="2176" t="str">
        <f t="shared" si="499"/>
        <v/>
      </c>
      <c r="B2516" s="2255" t="s">
        <v>289</v>
      </c>
      <c r="C2516" s="2262"/>
      <c r="D2516" s="2146">
        <v>0</v>
      </c>
      <c r="E2516" s="2188" t="s">
        <v>5711</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ht="15"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5" outlineLevel="1">
      <c r="A2518" s="2176" t="str">
        <f>A2517</f>
        <v/>
      </c>
      <c r="B2518" s="2255"/>
      <c r="C2518" s="2252"/>
      <c r="D2518" s="2253"/>
      <c r="E2518" s="2268" t="s">
        <v>6132</v>
      </c>
      <c r="F2518" s="2252"/>
      <c r="G2518" s="2257"/>
      <c r="H2518" s="2258"/>
      <c r="I2518" s="2258"/>
      <c r="J2518" s="2258"/>
      <c r="K2518" s="2258"/>
      <c r="L2518" s="2258"/>
      <c r="M2518" s="2258"/>
      <c r="N2518" s="2258">
        <f t="shared" si="498"/>
        <v>0</v>
      </c>
      <c r="O2518" s="2258"/>
      <c r="P2518" s="2259"/>
      <c r="Q2518" s="2260"/>
      <c r="R2518" s="2260"/>
      <c r="S2518" s="2260"/>
    </row>
    <row r="2519" spans="1:19" s="2099" customFormat="1" ht="15" outlineLevel="1">
      <c r="A2519" s="2176" t="str">
        <f>IF(G2519&lt;&gt;0,1,"")</f>
        <v/>
      </c>
      <c r="B2519" s="2246" t="s">
        <v>470</v>
      </c>
      <c r="C2519" s="2262"/>
      <c r="D2519" s="2146">
        <v>0</v>
      </c>
      <c r="E2519" s="2188" t="s">
        <v>6381</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ht="15" outlineLevel="1">
      <c r="A2520" s="2176" t="str">
        <f>IF(G2520&lt;&gt;0,1,"")</f>
        <v/>
      </c>
      <c r="B2520" s="2246" t="s">
        <v>271</v>
      </c>
      <c r="C2520" s="2262"/>
      <c r="D2520" s="2146">
        <v>0</v>
      </c>
      <c r="E2520" s="2188" t="s">
        <v>6382</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ht="15" outlineLevel="1">
      <c r="A2521" s="2176" t="str">
        <f t="shared" ref="A2521:A2527" si="500">IF(G2521&lt;&gt;0,1,"")</f>
        <v/>
      </c>
      <c r="B2521" s="2246" t="s">
        <v>271</v>
      </c>
      <c r="C2521" s="2262"/>
      <c r="D2521" s="2146">
        <v>0</v>
      </c>
      <c r="E2521" s="2188" t="s">
        <v>6383</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ht="15"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ht="15" outlineLevel="1">
      <c r="A2523" s="2176" t="str">
        <f t="shared" si="500"/>
        <v/>
      </c>
      <c r="B2523" s="2246" t="s">
        <v>470</v>
      </c>
      <c r="C2523" s="2262"/>
      <c r="D2523" s="2146">
        <v>0</v>
      </c>
      <c r="E2523" s="2188" t="s">
        <v>6384</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ht="15" outlineLevel="1">
      <c r="A2524" s="2176" t="str">
        <f t="shared" si="500"/>
        <v/>
      </c>
      <c r="B2524" s="2246" t="s">
        <v>271</v>
      </c>
      <c r="C2524" s="2262"/>
      <c r="D2524" s="2146">
        <v>0</v>
      </c>
      <c r="E2524" s="2188" t="s">
        <v>6385</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ht="15"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ht="15" outlineLevel="1">
      <c r="A2526" s="2176" t="str">
        <f t="shared" si="500"/>
        <v/>
      </c>
      <c r="B2526" s="2246" t="s">
        <v>1674</v>
      </c>
      <c r="C2526" s="2262"/>
      <c r="D2526" s="2146" t="s">
        <v>5458</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ht="15"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ht="15"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ht="15" outlineLevel="1">
      <c r="A2529" s="2176" t="str">
        <f>IF(G2529&lt;&gt;0,1,"")</f>
        <v/>
      </c>
      <c r="B2529" s="2246" t="s">
        <v>1525</v>
      </c>
      <c r="C2529" s="2262"/>
      <c r="D2529" s="2146" t="s">
        <v>5570</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ht="15"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ht="15" outlineLevel="1">
      <c r="A2531" s="2176" t="str">
        <f>IF(G2531&lt;&gt;0,1,"")</f>
        <v/>
      </c>
      <c r="B2531" s="2255"/>
      <c r="C2531" s="2252">
        <f>IF(G2531&gt;0,C2517+1,C2517)</f>
        <v>0</v>
      </c>
      <c r="D2531" s="2253"/>
      <c r="E2531" s="2254" t="s">
        <v>6262</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5" outlineLevel="1">
      <c r="A2532" s="2176" t="str">
        <f>A2531</f>
        <v/>
      </c>
      <c r="B2532" s="2255"/>
      <c r="C2532" s="2252"/>
      <c r="D2532" s="2253"/>
      <c r="E2532" s="2268" t="s">
        <v>6132</v>
      </c>
      <c r="F2532" s="2252"/>
      <c r="G2532" s="2257"/>
      <c r="H2532" s="2258"/>
      <c r="I2532" s="2258"/>
      <c r="J2532" s="2258"/>
      <c r="K2532" s="2258"/>
      <c r="L2532" s="2258"/>
      <c r="M2532" s="2258"/>
      <c r="N2532" s="2258">
        <f t="shared" si="498"/>
        <v>0</v>
      </c>
      <c r="O2532" s="2258"/>
      <c r="P2532" s="2383"/>
      <c r="Q2532" s="2260"/>
      <c r="R2532" s="2260"/>
      <c r="S2532" s="2260"/>
    </row>
    <row r="2533" spans="1:19" s="2099" customFormat="1" ht="15" outlineLevel="1">
      <c r="A2533" s="2176" t="str">
        <f>IF(G2533&lt;&gt;0,1,"")</f>
        <v/>
      </c>
      <c r="B2533" s="2246" t="s">
        <v>6271</v>
      </c>
      <c r="C2533" s="2262"/>
      <c r="D2533" s="2146">
        <v>0</v>
      </c>
      <c r="E2533" s="2188" t="s">
        <v>5081</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ht="15" outlineLevel="1">
      <c r="A2534" s="2176" t="str">
        <f>IF(G2534&lt;&gt;0,1,"")</f>
        <v/>
      </c>
      <c r="B2534" s="2351" t="s">
        <v>5698</v>
      </c>
      <c r="C2534" s="2262"/>
      <c r="D2534" s="2146">
        <v>0</v>
      </c>
      <c r="E2534" s="2188" t="s">
        <v>5699</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ht="15" outlineLevel="1">
      <c r="A2535" s="2176" t="str">
        <f>IF(G2535&lt;&gt;0,1,"")</f>
        <v/>
      </c>
      <c r="B2535" s="2351" t="s">
        <v>5704</v>
      </c>
      <c r="C2535" s="2262"/>
      <c r="D2535" s="2146">
        <v>0</v>
      </c>
      <c r="E2535" s="2188" t="s">
        <v>5705</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ht="15" outlineLevel="1">
      <c r="A2536" s="2176" t="str">
        <f>IF(G2536&lt;&gt;0,1,"")</f>
        <v/>
      </c>
      <c r="B2536" s="2351" t="s">
        <v>5706</v>
      </c>
      <c r="C2536" s="2262"/>
      <c r="D2536" s="2146">
        <v>0</v>
      </c>
      <c r="E2536" s="2188" t="s">
        <v>5707</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ht="15"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ht="15" outlineLevel="1">
      <c r="A2538" s="2176" t="str">
        <f t="shared" si="506"/>
        <v/>
      </c>
      <c r="B2538" s="2351" t="s">
        <v>1477</v>
      </c>
      <c r="C2538" s="2262"/>
      <c r="D2538" s="2146">
        <v>0</v>
      </c>
      <c r="E2538" s="2188" t="s">
        <v>6345</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ht="15"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ht="15"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ht="15" outlineLevel="1">
      <c r="A2541" s="2176" t="str">
        <f t="shared" si="506"/>
        <v/>
      </c>
      <c r="B2541" s="2246" t="s">
        <v>1565</v>
      </c>
      <c r="C2541" s="2262"/>
      <c r="D2541" s="2146" t="s">
        <v>5559</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ht="15" outlineLevel="1">
      <c r="A2542" s="2176" t="str">
        <f t="shared" si="506"/>
        <v/>
      </c>
      <c r="B2542" s="2246" t="s">
        <v>1525</v>
      </c>
      <c r="C2542" s="2262"/>
      <c r="D2542" s="2146" t="s">
        <v>5570</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ht="15"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5" outlineLevel="1">
      <c r="A2544" s="2176" t="str">
        <f>A2543</f>
        <v/>
      </c>
      <c r="B2544" s="2255"/>
      <c r="C2544" s="2252"/>
      <c r="D2544" s="2253"/>
      <c r="E2544" s="2268" t="s">
        <v>6132</v>
      </c>
      <c r="F2544" s="2252"/>
      <c r="G2544" s="2257"/>
      <c r="H2544" s="2258"/>
      <c r="I2544" s="2258"/>
      <c r="J2544" s="2258"/>
      <c r="K2544" s="2258"/>
      <c r="L2544" s="2258"/>
      <c r="M2544" s="2258"/>
      <c r="N2544" s="2258">
        <f t="shared" si="498"/>
        <v>0</v>
      </c>
      <c r="O2544" s="2258"/>
      <c r="P2544" s="2259"/>
      <c r="Q2544" s="2260"/>
      <c r="R2544" s="2260"/>
      <c r="S2544" s="2260"/>
    </row>
    <row r="2545" spans="1:19" s="2099" customFormat="1" ht="15"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ht="15" outlineLevel="1">
      <c r="A2546" s="2176" t="str">
        <f>IF(G2546&lt;&gt;0,1,"")</f>
        <v/>
      </c>
      <c r="B2546" s="2255" t="s">
        <v>86</v>
      </c>
      <c r="C2546" s="2262"/>
      <c r="D2546" s="2146">
        <v>0</v>
      </c>
      <c r="E2546" s="2188" t="s">
        <v>5796</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ht="15"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ht="15"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ht="15"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5" outlineLevel="1">
      <c r="A2550" s="2176" t="str">
        <f>A2549</f>
        <v/>
      </c>
      <c r="B2550" s="2246"/>
      <c r="C2550" s="2252"/>
      <c r="D2550" s="2253"/>
      <c r="E2550" s="2268" t="s">
        <v>6132</v>
      </c>
      <c r="F2550" s="2252"/>
      <c r="G2550" s="2263"/>
      <c r="H2550" s="2258"/>
      <c r="I2550" s="2258"/>
      <c r="J2550" s="2258"/>
      <c r="K2550" s="2258"/>
      <c r="L2550" s="2258"/>
      <c r="M2550" s="2258"/>
      <c r="N2550" s="2258">
        <f t="shared" si="498"/>
        <v>0</v>
      </c>
      <c r="O2550" s="2258"/>
      <c r="P2550" s="2383"/>
      <c r="Q2550" s="2260"/>
      <c r="R2550" s="2260"/>
      <c r="S2550" s="2260"/>
    </row>
    <row r="2551" spans="1:19" s="2099" customFormat="1" ht="15" outlineLevel="1">
      <c r="A2551" s="2176" t="str">
        <f t="shared" ref="A2551:A2563" si="508">IF(G2551&lt;&gt;0,1,"")</f>
        <v/>
      </c>
      <c r="B2551" s="2255" t="s">
        <v>4756</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ht="15"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ht="15" outlineLevel="1">
      <c r="A2553" s="2176" t="str">
        <f t="shared" si="508"/>
        <v/>
      </c>
      <c r="B2553" s="2255" t="s">
        <v>2156</v>
      </c>
      <c r="C2553" s="2262"/>
      <c r="D2553" s="2146" t="s">
        <v>5730</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ht="15"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ht="15"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ht="15" outlineLevel="1">
      <c r="A2556" s="2176" t="str">
        <f t="shared" si="508"/>
        <v/>
      </c>
      <c r="B2556" s="2246" t="s">
        <v>731</v>
      </c>
      <c r="C2556" s="2262"/>
      <c r="D2556" s="2146">
        <v>0</v>
      </c>
      <c r="E2556" s="2188" t="s">
        <v>5257</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ht="15"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ht="15"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ht="15"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ht="15" outlineLevel="1">
      <c r="A2560" s="2176" t="str">
        <f t="shared" si="508"/>
        <v/>
      </c>
      <c r="B2560" s="2246" t="s">
        <v>6</v>
      </c>
      <c r="C2560" s="2262"/>
      <c r="D2560" s="2146"/>
      <c r="E2560" s="2188" t="s">
        <v>3567</v>
      </c>
      <c r="F2560" s="2146" t="s">
        <v>5805</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ht="15"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ht="15" outlineLevel="1">
      <c r="A2562" s="2176" t="str">
        <f t="shared" si="508"/>
        <v/>
      </c>
      <c r="B2562" s="2246" t="s">
        <v>672</v>
      </c>
      <c r="C2562" s="2262"/>
      <c r="D2562" s="2146">
        <v>0</v>
      </c>
      <c r="E2562" s="2188" t="s">
        <v>5800</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ht="15" outlineLevel="1">
      <c r="A2563" s="2176" t="str">
        <f t="shared" si="508"/>
        <v/>
      </c>
      <c r="B2563" s="2246" t="s">
        <v>247</v>
      </c>
      <c r="C2563" s="2262"/>
      <c r="D2563" s="2146" t="s">
        <v>5572</v>
      </c>
      <c r="E2563" s="2188" t="s">
        <v>5573</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ht="15" outlineLevel="1">
      <c r="A2564" s="2176" t="str">
        <f>IF(G2564&lt;&gt;0,1,"")</f>
        <v/>
      </c>
      <c r="B2564" s="2246"/>
      <c r="C2564" s="2252">
        <f>IF(G2564&gt;0,C2549+1,C2549)</f>
        <v>0</v>
      </c>
      <c r="D2564" s="2253"/>
      <c r="E2564" s="2254" t="s">
        <v>6252</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5" outlineLevel="1">
      <c r="A2565" s="2176" t="str">
        <f>A2564</f>
        <v/>
      </c>
      <c r="B2565" s="2494"/>
      <c r="C2565" s="2252"/>
      <c r="D2565" s="2253"/>
      <c r="E2565" s="2268" t="s">
        <v>6132</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ht="15"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ht="15" outlineLevel="1">
      <c r="A2567" s="2176">
        <f>IF(G2567=0,0,1)</f>
        <v>0</v>
      </c>
      <c r="B2567" s="2246" t="s">
        <v>6253</v>
      </c>
      <c r="C2567" s="2262"/>
      <c r="D2567" s="2146">
        <v>0</v>
      </c>
      <c r="E2567" s="2353" t="s">
        <v>5052</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ht="15" outlineLevel="1">
      <c r="A2568" s="2176">
        <f>IF(G2568=0,0,1)</f>
        <v>0</v>
      </c>
      <c r="B2568" s="2246" t="s">
        <v>6254</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ht="15" outlineLevel="1">
      <c r="A2569" s="2176">
        <f t="shared" ref="A2569:A2586" si="514">IF(G2569=0,0,1)</f>
        <v>0</v>
      </c>
      <c r="B2569" s="2255" t="s">
        <v>246</v>
      </c>
      <c r="C2569" s="2383"/>
      <c r="D2569" s="2146">
        <v>0</v>
      </c>
      <c r="E2569" s="2353" t="s">
        <v>5868</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ht="15" outlineLevel="1">
      <c r="A2570" s="2176">
        <f t="shared" si="514"/>
        <v>0</v>
      </c>
      <c r="B2570" s="2255" t="s">
        <v>5733</v>
      </c>
      <c r="C2570" s="2262"/>
      <c r="D2570" s="2146" t="s">
        <v>5723</v>
      </c>
      <c r="E2570" s="2353" t="s">
        <v>5734</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ht="15"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ht="15"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ht="15"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ht="15"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ht="15"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ht="15"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ht="15"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ht="15" outlineLevel="1">
      <c r="A2578" s="2176">
        <f t="shared" si="514"/>
        <v>0</v>
      </c>
      <c r="B2578" s="2246" t="s">
        <v>672</v>
      </c>
      <c r="C2578" s="2262"/>
      <c r="D2578" s="2146">
        <v>0</v>
      </c>
      <c r="E2578" s="2353" t="s">
        <v>5800</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ht="15"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ht="15"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ht="15" outlineLevel="1">
      <c r="A2581" s="2176">
        <f t="shared" si="514"/>
        <v>0</v>
      </c>
      <c r="B2581" s="2246" t="s">
        <v>319</v>
      </c>
      <c r="C2581" s="2262"/>
      <c r="D2581" s="2146">
        <v>0</v>
      </c>
      <c r="E2581" s="2353" t="s">
        <v>5268</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ht="15" outlineLevel="1">
      <c r="A2582" s="2176">
        <f t="shared" si="514"/>
        <v>0</v>
      </c>
      <c r="B2582" s="2246" t="s">
        <v>1915</v>
      </c>
      <c r="C2582" s="2262"/>
      <c r="D2582" s="2146" t="s">
        <v>5654</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ht="15" outlineLevel="1">
      <c r="A2583" s="2176">
        <f t="shared" si="514"/>
        <v>0</v>
      </c>
      <c r="B2583" s="2246" t="s">
        <v>6</v>
      </c>
      <c r="C2583" s="2262"/>
      <c r="D2583" s="2146">
        <v>0</v>
      </c>
      <c r="E2583" s="2353" t="s">
        <v>3567</v>
      </c>
      <c r="F2583" s="2495" t="s">
        <v>5805</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ht="15"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ht="15"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ht="15" outlineLevel="1">
      <c r="A2586" s="2176">
        <f t="shared" si="514"/>
        <v>0</v>
      </c>
      <c r="B2586" s="2246" t="s">
        <v>6254</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ht="15" outlineLevel="1">
      <c r="A2587" s="2176">
        <f>A2386</f>
        <v>0</v>
      </c>
      <c r="B2587" s="2351"/>
      <c r="C2587" s="2417"/>
      <c r="D2587" s="2418"/>
      <c r="E2587" s="2393"/>
      <c r="F2587" s="2631"/>
      <c r="G2587" s="2550"/>
      <c r="H2587" s="2631"/>
      <c r="I2587" s="2631"/>
      <c r="J2587" s="2641" t="s">
        <v>6130</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ht="15">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ht="15"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ht="15" outlineLevel="1">
      <c r="A2591" s="2176">
        <f>A2589</f>
        <v>1</v>
      </c>
      <c r="B2591" s="2255" t="s">
        <v>6111</v>
      </c>
      <c r="C2591" s="2642" t="s">
        <v>1708</v>
      </c>
      <c r="D2591" s="2643" t="s">
        <v>2597</v>
      </c>
      <c r="E2591" s="2645" t="s">
        <v>2598</v>
      </c>
      <c r="F2591" s="2642" t="s">
        <v>2593</v>
      </c>
      <c r="G2591" s="2103" t="s">
        <v>6112</v>
      </c>
      <c r="H2591" s="2106" t="s">
        <v>6113</v>
      </c>
      <c r="I2591" s="2613"/>
      <c r="J2591" s="2613"/>
      <c r="K2591" s="2614"/>
      <c r="L2591" s="2106" t="s">
        <v>6114</v>
      </c>
      <c r="M2591" s="2613"/>
      <c r="N2591" s="2613"/>
      <c r="O2591" s="2614"/>
      <c r="P2591" s="2642" t="s">
        <v>2599</v>
      </c>
      <c r="Q2591" s="2260"/>
      <c r="R2591" s="2260"/>
      <c r="S2591" s="2260"/>
    </row>
    <row r="2592" spans="1:19" s="2099" customFormat="1" ht="15" outlineLevel="1">
      <c r="A2592" s="2176">
        <f>A2591</f>
        <v>1</v>
      </c>
      <c r="B2592" s="2255"/>
      <c r="C2592" s="2642"/>
      <c r="D2592" s="2644"/>
      <c r="E2592" s="2646"/>
      <c r="F2592" s="2642"/>
      <c r="G2592" s="2105" t="s">
        <v>2286</v>
      </c>
      <c r="H2592" s="2106" t="s">
        <v>6115</v>
      </c>
      <c r="I2592" s="2106" t="s">
        <v>6116</v>
      </c>
      <c r="J2592" s="2106" t="s">
        <v>6117</v>
      </c>
      <c r="K2592" s="2106" t="s">
        <v>6118</v>
      </c>
      <c r="L2592" s="2106" t="s">
        <v>6115</v>
      </c>
      <c r="M2592" s="2106" t="s">
        <v>6116</v>
      </c>
      <c r="N2592" s="2106" t="s">
        <v>6117</v>
      </c>
      <c r="O2592" s="2106" t="s">
        <v>6118</v>
      </c>
      <c r="P2592" s="2642"/>
      <c r="Q2592" s="2260"/>
      <c r="R2592" s="2260"/>
      <c r="S2592" s="2260"/>
    </row>
    <row r="2593" spans="1:19" s="2099" customFormat="1" ht="15"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ht="15" outlineLevel="1">
      <c r="A2594" s="2176">
        <f t="shared" ref="A2594:A2606" si="516">IF(G2594&lt;&gt;0,1,"")</f>
        <v>1</v>
      </c>
      <c r="B2594" s="2246" t="s">
        <v>1413</v>
      </c>
      <c r="C2594" s="2262">
        <f>IF(G2594&gt;0,1,0)</f>
        <v>1</v>
      </c>
      <c r="D2594" s="2146" t="s">
        <v>5593</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ht="15" outlineLevel="1">
      <c r="A2595" s="2176">
        <f t="shared" si="516"/>
        <v>1</v>
      </c>
      <c r="B2595" s="2112" t="str">
        <f>"FCO100-"&amp;$F$8</f>
        <v>FCO100-22</v>
      </c>
      <c r="C2595" s="2262">
        <f>IF(G2595&gt;0,C2594+1,C2594)</f>
        <v>2</v>
      </c>
      <c r="D2595" s="2146" t="s">
        <v>5597</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ht="15" outlineLevel="1">
      <c r="A2596" s="2176">
        <f t="shared" si="516"/>
        <v>1</v>
      </c>
      <c r="B2596" s="2246" t="s">
        <v>6272</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ht="15" outlineLevel="1">
      <c r="A2597" s="2176">
        <f t="shared" si="516"/>
        <v>1</v>
      </c>
      <c r="B2597" s="2255" t="str">
        <f>"LA"&amp;$F$6</f>
        <v>LA18</v>
      </c>
      <c r="C2597" s="2262">
        <f>IF(G2597&gt;0,C2596+1,C2596)</f>
        <v>4</v>
      </c>
      <c r="D2597" s="2146" t="s">
        <v>5601</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ht="15" outlineLevel="1">
      <c r="A2598" s="2176">
        <f t="shared" si="516"/>
        <v>1</v>
      </c>
      <c r="B2598" s="2351" t="s">
        <v>6273</v>
      </c>
      <c r="C2598" s="2262">
        <f>IF(G2598&gt;0,C2597+1,C2597)</f>
        <v>5</v>
      </c>
      <c r="D2598" s="2146">
        <v>0</v>
      </c>
      <c r="E2598" s="2188" t="s">
        <v>5689</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ht="15" outlineLevel="1">
      <c r="A2599" s="2176" t="str">
        <f>IF(G2599&lt;&gt;0,1,"")</f>
        <v/>
      </c>
      <c r="B2599" s="2351" t="s">
        <v>710</v>
      </c>
      <c r="C2599" s="2262">
        <f>IF(G2599&gt;0,C2597+1,C2597)</f>
        <v>4</v>
      </c>
      <c r="D2599" s="2146">
        <v>0</v>
      </c>
      <c r="E2599" s="2188" t="s">
        <v>5681</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ht="15" outlineLevel="1">
      <c r="A2600" s="2176" t="str">
        <f>IF(G2600&lt;&gt;0,1,"")</f>
        <v/>
      </c>
      <c r="B2600" s="2351" t="s">
        <v>710</v>
      </c>
      <c r="C2600" s="2262">
        <f t="shared" ref="C2600:C2606" si="521">IF(G2600&gt;0,C2598+1,C2598)</f>
        <v>5</v>
      </c>
      <c r="D2600" s="2146">
        <v>0</v>
      </c>
      <c r="E2600" s="2188" t="s">
        <v>5681</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ht="15"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ht="15" outlineLevel="1">
      <c r="A2602" s="2176" t="str">
        <f t="shared" si="516"/>
        <v/>
      </c>
      <c r="B2602" s="2351" t="s">
        <v>936</v>
      </c>
      <c r="C2602" s="2262">
        <f t="shared" si="521"/>
        <v>5</v>
      </c>
      <c r="D2602" s="2146">
        <v>0</v>
      </c>
      <c r="E2602" s="2188" t="s">
        <v>5678</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ht="15" outlineLevel="1">
      <c r="A2603" s="2176">
        <v>1</v>
      </c>
      <c r="B2603" s="2351" t="s">
        <v>6274</v>
      </c>
      <c r="C2603" s="2262">
        <f t="shared" si="521"/>
        <v>5</v>
      </c>
      <c r="D2603" s="2146" t="s">
        <v>1025</v>
      </c>
      <c r="E2603" s="2188" t="s">
        <v>5617</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ht="15"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ht="15" outlineLevel="1">
      <c r="A2605" s="2176">
        <f t="shared" si="516"/>
        <v>1</v>
      </c>
      <c r="B2605" s="2243" t="s">
        <v>2187</v>
      </c>
      <c r="C2605" s="2262">
        <f t="shared" si="521"/>
        <v>6</v>
      </c>
      <c r="D2605" s="2146">
        <v>0</v>
      </c>
      <c r="E2605" s="2188" t="s">
        <v>5610</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ht="15" outlineLevel="1">
      <c r="A2606" s="2176">
        <f t="shared" si="516"/>
        <v>1</v>
      </c>
      <c r="B2606" s="2246" t="s">
        <v>1837</v>
      </c>
      <c r="C2606" s="2262">
        <f t="shared" si="521"/>
        <v>7</v>
      </c>
      <c r="D2606" s="2146">
        <v>0</v>
      </c>
      <c r="E2606" s="2188" t="s">
        <v>5708</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ht="15" outlineLevel="1">
      <c r="A2607" s="2176"/>
      <c r="B2607" s="2255"/>
      <c r="C2607" s="2387"/>
      <c r="D2607" s="2388"/>
      <c r="E2607" s="2389"/>
      <c r="F2607" s="2387"/>
      <c r="G2607" s="2630"/>
      <c r="H2607" s="2387"/>
      <c r="I2607" s="2387"/>
      <c r="J2607" s="2111" t="s">
        <v>6120</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ht="15"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ht="15" outlineLevel="1">
      <c r="A2609" s="2176"/>
      <c r="B2609" s="2395"/>
      <c r="C2609" s="2396">
        <f>IF(G2609&gt;0,1,0)</f>
        <v>0</v>
      </c>
      <c r="D2609" s="2146"/>
      <c r="E2609" s="2397" t="s">
        <v>6121</v>
      </c>
      <c r="F2609" s="2398" t="s">
        <v>2277</v>
      </c>
      <c r="G2609" s="2399"/>
      <c r="H2609" s="2398"/>
      <c r="I2609" s="2398"/>
      <c r="J2609" s="2398"/>
      <c r="K2609" s="2398"/>
      <c r="L2609" s="2399"/>
      <c r="M2609" s="2399"/>
      <c r="N2609" s="2399"/>
      <c r="O2609" s="2400"/>
      <c r="P2609" s="2383"/>
      <c r="Q2609" s="2260"/>
      <c r="R2609" s="2260"/>
      <c r="S2609" s="2260"/>
    </row>
    <row r="2610" spans="1:19" s="2099" customFormat="1" ht="15" outlineLevel="1">
      <c r="A2610" s="2176"/>
      <c r="B2610" s="2351" t="s">
        <v>5274</v>
      </c>
      <c r="C2610" s="2401"/>
      <c r="D2610" s="2146"/>
      <c r="E2610" s="2402" t="s">
        <v>5275</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ht="15"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ht="15"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ht="15" outlineLevel="1">
      <c r="A2613" s="2176" t="str">
        <f t="shared" ref="A2613:A2629" si="522">IF(G2613&lt;&gt;0,1,"")</f>
        <v/>
      </c>
      <c r="B2613" s="2395"/>
      <c r="C2613" s="2396">
        <f>IF(G2613&gt;0,1,0)</f>
        <v>0</v>
      </c>
      <c r="D2613" s="2146"/>
      <c r="E2613" s="2397" t="s">
        <v>6216</v>
      </c>
      <c r="F2613" s="2398" t="s">
        <v>2277</v>
      </c>
      <c r="G2613" s="2399"/>
      <c r="H2613" s="2398"/>
      <c r="I2613" s="2398"/>
      <c r="J2613" s="2398"/>
      <c r="K2613" s="2398"/>
      <c r="L2613" s="2399"/>
      <c r="M2613" s="2399"/>
      <c r="N2613" s="2399"/>
      <c r="O2613" s="2400"/>
      <c r="P2613" s="2259"/>
      <c r="Q2613" s="2260"/>
      <c r="R2613" s="2260"/>
      <c r="S2613" s="2260"/>
    </row>
    <row r="2614" spans="1:19" s="2099" customFormat="1" ht="15"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ht="15"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ht="15"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ht="15"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ht="15" outlineLevel="1">
      <c r="A2618" s="2176"/>
      <c r="B2618" s="2467" t="s">
        <v>751</v>
      </c>
      <c r="C2618" s="2401"/>
      <c r="D2618" s="2146">
        <v>0</v>
      </c>
      <c r="E2618" s="2402" t="s">
        <v>5288</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ht="15"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ht="15"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ht="15" outlineLevel="1">
      <c r="A2621" s="2176"/>
      <c r="B2621" s="2467" t="s">
        <v>6101</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ht="15" outlineLevel="1">
      <c r="A2622" s="2176"/>
      <c r="B2622" s="2467" t="s">
        <v>4835</v>
      </c>
      <c r="C2622" s="2401"/>
      <c r="D2622" s="2146"/>
      <c r="E2622" s="2402" t="s">
        <v>4640</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ht="15" outlineLevel="1">
      <c r="A2623" s="2176"/>
      <c r="B2623" s="2552" t="s">
        <v>5320</v>
      </c>
      <c r="C2623" s="2401"/>
      <c r="D2623" s="2146"/>
      <c r="E2623" s="2402" t="s">
        <v>5322</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ht="15" outlineLevel="1">
      <c r="A2624" s="2176"/>
      <c r="B2624" s="2467" t="s">
        <v>1835</v>
      </c>
      <c r="C2624" s="2401"/>
      <c r="D2624" s="2146"/>
      <c r="E2624" s="2402" t="s">
        <v>5472</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ht="15"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ht="15" outlineLevel="1">
      <c r="A2626" s="2176" t="str">
        <f t="shared" si="522"/>
        <v/>
      </c>
      <c r="B2626" s="2351" t="s">
        <v>636</v>
      </c>
      <c r="C2626" s="2401"/>
      <c r="D2626" s="2146" t="s">
        <v>5046</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ht="15" outlineLevel="1">
      <c r="A2627" s="2176" t="str">
        <f t="shared" si="522"/>
        <v/>
      </c>
      <c r="B2627" s="2351" t="s">
        <v>566</v>
      </c>
      <c r="C2627" s="2401"/>
      <c r="D2627" s="2146"/>
      <c r="E2627" s="2402" t="s">
        <v>5071</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ht="15" outlineLevel="1">
      <c r="A2628" s="2176" t="str">
        <f t="shared" si="522"/>
        <v/>
      </c>
      <c r="B2628" s="2351" t="s">
        <v>639</v>
      </c>
      <c r="C2628" s="2401"/>
      <c r="D2628" s="2146" t="s">
        <v>1747</v>
      </c>
      <c r="E2628" s="2402" t="s">
        <v>5323</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ht="15" outlineLevel="1">
      <c r="A2629" s="2176" t="str">
        <f t="shared" si="522"/>
        <v/>
      </c>
      <c r="B2629" s="2351" t="s">
        <v>21</v>
      </c>
      <c r="C2629" s="2401"/>
      <c r="D2629" s="2146" t="s">
        <v>5324</v>
      </c>
      <c r="E2629" s="2402" t="s">
        <v>5325</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ht="15" outlineLevel="1">
      <c r="A2630" s="2176">
        <f>IF(G2630&lt;&gt;0,1,"")</f>
        <v>1</v>
      </c>
      <c r="B2630" s="2255"/>
      <c r="C2630" s="2457">
        <f>IF(G2630&gt;0,C2625+1,C2625)</f>
        <v>1</v>
      </c>
      <c r="D2630" s="2475"/>
      <c r="E2630" s="2459" t="s">
        <v>6236</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5" outlineLevel="1">
      <c r="A2631" s="2176">
        <f>A2630</f>
        <v>1</v>
      </c>
      <c r="B2631" s="2255"/>
      <c r="C2631" s="2252"/>
      <c r="D2631" s="2253"/>
      <c r="E2631" s="2261" t="s">
        <v>6132</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ht="15" outlineLevel="1">
      <c r="A2632" s="2176">
        <f t="shared" ref="A2632:A2637" si="530">IF(G2632&lt;&gt;0,1,"")</f>
        <v>1</v>
      </c>
      <c r="B2632" s="2127" t="s">
        <v>5150</v>
      </c>
      <c r="C2632" s="2252"/>
      <c r="D2632" s="2146">
        <v>0</v>
      </c>
      <c r="E2632" s="2188" t="s">
        <v>5151</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ht="15" outlineLevel="1">
      <c r="A2633" s="2176">
        <f t="shared" si="530"/>
        <v>1</v>
      </c>
      <c r="B2633" s="2553" t="s">
        <v>5157</v>
      </c>
      <c r="C2633" s="2252"/>
      <c r="D2633" s="2146">
        <v>0</v>
      </c>
      <c r="E2633" s="2188" t="s">
        <v>5158</v>
      </c>
      <c r="F2633" s="2146" t="s">
        <v>5159</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ht="15" outlineLevel="1">
      <c r="A2634" s="2176">
        <f t="shared" si="530"/>
        <v>1</v>
      </c>
      <c r="B2634" s="2124" t="s">
        <v>488</v>
      </c>
      <c r="C2634" s="2252"/>
      <c r="D2634" s="2146">
        <v>0</v>
      </c>
      <c r="E2634" s="2188" t="s">
        <v>5077</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ht="15"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ht="15"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ht="15" outlineLevel="1">
      <c r="A2637" s="2176">
        <f t="shared" si="530"/>
        <v>1</v>
      </c>
      <c r="B2637" s="2246" t="s">
        <v>2242</v>
      </c>
      <c r="C2637" s="2252"/>
      <c r="D2637" s="2146" t="s">
        <v>5443</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ht="15" outlineLevel="1" collapsed="1">
      <c r="A2638" s="2176">
        <f>IF(G2638&lt;&gt;0,1,"")</f>
        <v>1</v>
      </c>
      <c r="B2638" s="2255"/>
      <c r="C2638" s="2457">
        <f>IF(G2638&gt;0,C2630+1,C2630)</f>
        <v>2</v>
      </c>
      <c r="D2638" s="2475"/>
      <c r="E2638" s="2459" t="s">
        <v>6275</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5" outlineLevel="1">
      <c r="A2639" s="2176">
        <f>A2638</f>
        <v>1</v>
      </c>
      <c r="B2639" s="2255"/>
      <c r="C2639" s="2252"/>
      <c r="D2639" s="2253"/>
      <c r="E2639" s="2261" t="s">
        <v>6132</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ht="15"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ht="15" outlineLevel="1">
      <c r="A2641" s="2176">
        <f t="shared" si="531"/>
        <v>1</v>
      </c>
      <c r="B2641" s="2255" t="s">
        <v>1035</v>
      </c>
      <c r="C2641" s="2252"/>
      <c r="D2641" s="2146">
        <v>0</v>
      </c>
      <c r="E2641" s="2188" t="s">
        <v>6386</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ht="15"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ht="15"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ht="15"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ht="15" outlineLevel="1">
      <c r="A2645" s="2176">
        <f t="shared" si="531"/>
        <v>1</v>
      </c>
      <c r="B2645" s="2255" t="s">
        <v>517</v>
      </c>
      <c r="C2645" s="2252"/>
      <c r="D2645" s="2146" t="s">
        <v>5429</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ht="15" outlineLevel="1">
      <c r="A2646" s="2176">
        <f t="shared" si="531"/>
        <v>1</v>
      </c>
      <c r="B2646" s="2255"/>
      <c r="C2646" s="2457">
        <f>IF(G2646&gt;0,C2638+1,C2638)</f>
        <v>3</v>
      </c>
      <c r="D2646" s="2475"/>
      <c r="E2646" s="2459" t="s">
        <v>6276</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5" outlineLevel="1">
      <c r="A2647" s="2176">
        <f>A2646</f>
        <v>1</v>
      </c>
      <c r="B2647" s="2255"/>
      <c r="C2647" s="2252"/>
      <c r="D2647" s="2253"/>
      <c r="E2647" s="2261" t="s">
        <v>6132</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ht="15"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ht="15" outlineLevel="1">
      <c r="A2649" s="2176">
        <f t="shared" si="532"/>
        <v>1</v>
      </c>
      <c r="B2649" s="2255" t="s">
        <v>1035</v>
      </c>
      <c r="C2649" s="2252"/>
      <c r="D2649" s="2146">
        <v>0</v>
      </c>
      <c r="E2649" s="2188" t="s">
        <v>6386</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ht="15"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ht="15"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ht="15"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ht="15" outlineLevel="1">
      <c r="A2653" s="2176" t="str">
        <f t="shared" si="532"/>
        <v/>
      </c>
      <c r="B2653" s="2255" t="s">
        <v>988</v>
      </c>
      <c r="C2653" s="2252"/>
      <c r="D2653" s="2146">
        <v>0</v>
      </c>
      <c r="E2653" s="2188" t="s">
        <v>5269</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ht="15" outlineLevel="1">
      <c r="A2654" s="2176">
        <f t="shared" si="532"/>
        <v>1</v>
      </c>
      <c r="B2654" s="2255" t="s">
        <v>1440</v>
      </c>
      <c r="C2654" s="2252"/>
      <c r="D2654" s="2146" t="s">
        <v>5420</v>
      </c>
      <c r="E2654" s="2188" t="s">
        <v>5421</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ht="15"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5" outlineLevel="1">
      <c r="A2656" s="2176">
        <f>+A2655</f>
        <v>1</v>
      </c>
      <c r="B2656" s="2412"/>
      <c r="C2656" s="2252"/>
      <c r="D2656" s="2253"/>
      <c r="E2656" s="2261" t="s">
        <v>6132</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ht="15"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ht="15" outlineLevel="1">
      <c r="A2658" s="2176">
        <f t="shared" si="534"/>
        <v>1</v>
      </c>
      <c r="B2658" s="2246" t="s">
        <v>1508</v>
      </c>
      <c r="C2658" s="2252"/>
      <c r="D2658" s="2146">
        <v>0</v>
      </c>
      <c r="E2658" s="2188" t="s">
        <v>5162</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ht="15"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ht="15"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ht="15"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ht="15" outlineLevel="1">
      <c r="A2662" s="2176" t="str">
        <f t="shared" si="534"/>
        <v/>
      </c>
      <c r="B2662" s="2246" t="s">
        <v>525</v>
      </c>
      <c r="C2662" s="2252"/>
      <c r="D2662" s="2146">
        <v>0</v>
      </c>
      <c r="E2662" s="2188" t="s">
        <v>5251</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ht="15" outlineLevel="1">
      <c r="A2663" s="2176" t="str">
        <f t="shared" si="534"/>
        <v/>
      </c>
      <c r="B2663" s="2246" t="s">
        <v>1585</v>
      </c>
      <c r="C2663" s="2252"/>
      <c r="D2663" s="2146">
        <v>0</v>
      </c>
      <c r="E2663" s="2188" t="s">
        <v>5712</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ht="15" outlineLevel="1">
      <c r="A2664" s="2176">
        <f>IF(G2664=0,0,1)</f>
        <v>1</v>
      </c>
      <c r="B2664" s="2246" t="s">
        <v>794</v>
      </c>
      <c r="C2664" s="2262"/>
      <c r="D2664" s="2146" t="s">
        <v>5335</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ht="15" outlineLevel="1">
      <c r="A2665" s="2176">
        <f>IF(G2665=0,0,1)</f>
        <v>1</v>
      </c>
      <c r="B2665" s="2246" t="s">
        <v>798</v>
      </c>
      <c r="C2665" s="2262"/>
      <c r="D2665" s="2146" t="s">
        <v>5324</v>
      </c>
      <c r="E2665" s="2188" t="s">
        <v>5336</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ht="15" outlineLevel="1">
      <c r="A2666" s="2176">
        <f>IF(G2666=0,0,1)</f>
        <v>1</v>
      </c>
      <c r="B2666" s="2246" t="s">
        <v>902</v>
      </c>
      <c r="C2666" s="2262"/>
      <c r="D2666" s="2146" t="s">
        <v>5350</v>
      </c>
      <c r="E2666" s="2188" t="s">
        <v>5351</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ht="15" outlineLevel="1">
      <c r="A2667" s="2176">
        <f>IF(G2667&lt;&gt;0,1,"")</f>
        <v>1</v>
      </c>
      <c r="B2667" s="2246" t="s">
        <v>6277</v>
      </c>
      <c r="C2667" s="2252"/>
      <c r="D2667" s="2146" t="s">
        <v>5344</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ht="15" outlineLevel="1">
      <c r="A2668" s="2176">
        <f>IF(G2668&lt;&gt;0,1,"")</f>
        <v>1</v>
      </c>
      <c r="B2668" s="2255"/>
      <c r="C2668" s="2457">
        <f>IF(G2668&gt;0,C2655+1,C2655)</f>
        <v>5</v>
      </c>
      <c r="D2668" s="2475"/>
      <c r="E2668" s="2459" t="s">
        <v>6208</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5" outlineLevel="1">
      <c r="A2669" s="2176">
        <f>A2668</f>
        <v>1</v>
      </c>
      <c r="B2669" s="2255"/>
      <c r="C2669" s="2252"/>
      <c r="D2669" s="2253"/>
      <c r="E2669" s="2261" t="s">
        <v>6132</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ht="15" outlineLevel="1">
      <c r="A2670" s="2176">
        <f>IF(G2670&lt;&gt;0,1,"")</f>
        <v>1</v>
      </c>
      <c r="B2670" s="2246" t="s">
        <v>6278</v>
      </c>
      <c r="C2670" s="2262"/>
      <c r="D2670" s="2146" t="s">
        <v>5632</v>
      </c>
      <c r="E2670" s="2188" t="s">
        <v>5636</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ht="15" outlineLevel="1">
      <c r="A2671" s="2176">
        <f>IF(G2671&lt;&gt;0,1,"")</f>
        <v>1</v>
      </c>
      <c r="B2671" s="2246" t="s">
        <v>880</v>
      </c>
      <c r="C2671" s="2252"/>
      <c r="D2671" s="2146">
        <v>0</v>
      </c>
      <c r="E2671" s="2188" t="s">
        <v>5798</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ht="15" outlineLevel="1">
      <c r="A2672" s="2176">
        <f>IF(G2672&lt;&gt;0,1,"")</f>
        <v>1</v>
      </c>
      <c r="B2672" s="2246" t="s">
        <v>289</v>
      </c>
      <c r="C2672" s="2262"/>
      <c r="D2672" s="2146">
        <v>0</v>
      </c>
      <c r="E2672" s="2188" t="s">
        <v>5711</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ht="15"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5" outlineLevel="1">
      <c r="A2674" s="2176" t="str">
        <f>A2673</f>
        <v/>
      </c>
      <c r="B2674" s="2246"/>
      <c r="C2674" s="2252"/>
      <c r="D2674" s="2253"/>
      <c r="E2674" s="2261" t="s">
        <v>6132</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ht="15" outlineLevel="1">
      <c r="A2675" s="2176" t="str">
        <f t="shared" ref="A2675:A2683" si="540">IF(G2675&lt;&gt;0,1,"")</f>
        <v/>
      </c>
      <c r="B2675" s="2548" t="s">
        <v>752</v>
      </c>
      <c r="C2675" s="2262"/>
      <c r="D2675" s="2146">
        <v>0</v>
      </c>
      <c r="E2675" s="2353" t="s">
        <v>6374</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ht="15" outlineLevel="1">
      <c r="A2676" s="2176" t="str">
        <f t="shared" si="540"/>
        <v/>
      </c>
      <c r="B2676" s="2548" t="s">
        <v>520</v>
      </c>
      <c r="C2676" s="2262"/>
      <c r="D2676" s="2146">
        <v>0</v>
      </c>
      <c r="E2676" s="2353" t="s">
        <v>6375</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ht="15" outlineLevel="1">
      <c r="A2677" s="2176" t="str">
        <f t="shared" si="540"/>
        <v/>
      </c>
      <c r="B2677" s="2548" t="s">
        <v>1675</v>
      </c>
      <c r="C2677" s="2262"/>
      <c r="D2677" s="2146">
        <v>0</v>
      </c>
      <c r="E2677" s="2353" t="s">
        <v>6376</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ht="15" outlineLevel="1">
      <c r="A2678" s="2176" t="str">
        <f t="shared" si="540"/>
        <v/>
      </c>
      <c r="B2678" s="2548" t="s">
        <v>1676</v>
      </c>
      <c r="C2678" s="2262"/>
      <c r="D2678" s="2146" t="s">
        <v>5289</v>
      </c>
      <c r="E2678" s="2353" t="s">
        <v>6377</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ht="15"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ht="15" outlineLevel="1">
      <c r="A2680" s="2176" t="str">
        <f t="shared" si="540"/>
        <v/>
      </c>
      <c r="B2680" s="2548" t="s">
        <v>1678</v>
      </c>
      <c r="C2680" s="2262"/>
      <c r="D2680" s="2146" t="s">
        <v>5332</v>
      </c>
      <c r="E2680" s="2353" t="s">
        <v>6378</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ht="15" outlineLevel="1">
      <c r="A2681" s="2176" t="str">
        <f t="shared" si="540"/>
        <v/>
      </c>
      <c r="B2681" s="2548" t="s">
        <v>144</v>
      </c>
      <c r="C2681" s="2262"/>
      <c r="D2681" s="2146" t="s">
        <v>5326</v>
      </c>
      <c r="E2681" s="2353" t="s">
        <v>6379</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ht="15" outlineLevel="1">
      <c r="A2682" s="2176" t="str">
        <f t="shared" si="540"/>
        <v/>
      </c>
      <c r="B2682" s="2548" t="s">
        <v>529</v>
      </c>
      <c r="C2682" s="2262"/>
      <c r="D2682" s="2146" t="s">
        <v>5331</v>
      </c>
      <c r="E2682" s="2353" t="s">
        <v>6380</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ht="15"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5" outlineLevel="1">
      <c r="A2684" s="2176" t="str">
        <f>A2683</f>
        <v/>
      </c>
      <c r="B2684" s="2255"/>
      <c r="C2684" s="2252"/>
      <c r="D2684" s="2253"/>
      <c r="E2684" s="2261" t="s">
        <v>6132</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ht="15" outlineLevel="1">
      <c r="A2685" s="2176" t="str">
        <f t="shared" ref="A2685:A2692" si="541">IF(G2685&lt;&gt;0,1,"")</f>
        <v/>
      </c>
      <c r="B2685" s="2255" t="s">
        <v>623</v>
      </c>
      <c r="C2685" s="2262"/>
      <c r="D2685" s="2146" t="s">
        <v>5304</v>
      </c>
      <c r="E2685" s="2188" t="s">
        <v>5305</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ht="15"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ht="15"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ht="15"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ht="15"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ht="15" outlineLevel="1">
      <c r="A2690" s="2176" t="str">
        <f t="shared" si="541"/>
        <v/>
      </c>
      <c r="B2690" s="2255" t="s">
        <v>1410</v>
      </c>
      <c r="C2690" s="2252"/>
      <c r="D2690" s="2146" t="s">
        <v>5340</v>
      </c>
      <c r="E2690" s="2188" t="s">
        <v>5341</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ht="15" outlineLevel="1">
      <c r="A2691" s="2176" t="str">
        <f t="shared" si="541"/>
        <v/>
      </c>
      <c r="B2691" s="2255" t="s">
        <v>289</v>
      </c>
      <c r="C2691" s="2262"/>
      <c r="D2691" s="2146">
        <v>0</v>
      </c>
      <c r="E2691" s="2188" t="s">
        <v>5711</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8.5"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5" outlineLevel="1">
      <c r="A2693" s="2176" t="str">
        <f>A2692</f>
        <v/>
      </c>
      <c r="B2693" s="2255"/>
      <c r="C2693" s="2252"/>
      <c r="D2693" s="2253"/>
      <c r="E2693" s="2268" t="s">
        <v>6132</v>
      </c>
      <c r="F2693" s="2252"/>
      <c r="G2693" s="2257"/>
      <c r="H2693" s="2258"/>
      <c r="I2693" s="2258"/>
      <c r="J2693" s="2258"/>
      <c r="K2693" s="2258"/>
      <c r="L2693" s="2258"/>
      <c r="M2693" s="2258"/>
      <c r="N2693" s="2258"/>
      <c r="O2693" s="2258"/>
      <c r="P2693" s="2259"/>
      <c r="Q2693" s="2260"/>
      <c r="R2693" s="2260"/>
      <c r="S2693" s="2260"/>
    </row>
    <row r="2694" spans="1:19" s="2099" customFormat="1" ht="15" outlineLevel="1">
      <c r="A2694" s="2176" t="str">
        <f>IF(G2694&lt;&gt;0,1,"")</f>
        <v/>
      </c>
      <c r="B2694" s="2246" t="s">
        <v>470</v>
      </c>
      <c r="C2694" s="2262"/>
      <c r="D2694" s="2146">
        <v>0</v>
      </c>
      <c r="E2694" s="2188" t="s">
        <v>6381</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ht="15" outlineLevel="1">
      <c r="A2695" s="2176" t="str">
        <f>IF(G2695&lt;&gt;0,1,"")</f>
        <v/>
      </c>
      <c r="B2695" s="2246" t="s">
        <v>271</v>
      </c>
      <c r="C2695" s="2262"/>
      <c r="D2695" s="2146">
        <v>0</v>
      </c>
      <c r="E2695" s="2188" t="s">
        <v>6382</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ht="15" outlineLevel="1">
      <c r="A2696" s="2176" t="str">
        <f t="shared" ref="A2696:A2702" si="542">IF(G2696&lt;&gt;0,1,"")</f>
        <v/>
      </c>
      <c r="B2696" s="2246" t="s">
        <v>271</v>
      </c>
      <c r="C2696" s="2262"/>
      <c r="D2696" s="2146">
        <v>0</v>
      </c>
      <c r="E2696" s="2188" t="s">
        <v>6383</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ht="15"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ht="15" outlineLevel="1">
      <c r="A2698" s="2176" t="str">
        <f t="shared" si="542"/>
        <v/>
      </c>
      <c r="B2698" s="2246" t="s">
        <v>470</v>
      </c>
      <c r="C2698" s="2262"/>
      <c r="D2698" s="2146">
        <v>0</v>
      </c>
      <c r="E2698" s="2188" t="s">
        <v>6384</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ht="15" outlineLevel="1">
      <c r="A2699" s="2176" t="str">
        <f t="shared" si="542"/>
        <v/>
      </c>
      <c r="B2699" s="2246" t="s">
        <v>271</v>
      </c>
      <c r="C2699" s="2262"/>
      <c r="D2699" s="2146">
        <v>0</v>
      </c>
      <c r="E2699" s="2188" t="s">
        <v>6385</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ht="15"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ht="15" outlineLevel="1">
      <c r="A2701" s="2176" t="str">
        <f t="shared" si="542"/>
        <v/>
      </c>
      <c r="B2701" s="2246" t="s">
        <v>1674</v>
      </c>
      <c r="C2701" s="2262"/>
      <c r="D2701" s="2146" t="s">
        <v>5458</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ht="15"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ht="15"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ht="15" outlineLevel="1">
      <c r="A2704" s="2176" t="str">
        <f>IF(G2704&lt;&gt;0,1,"")</f>
        <v/>
      </c>
      <c r="B2704" s="2246" t="s">
        <v>1525</v>
      </c>
      <c r="C2704" s="2262"/>
      <c r="D2704" s="2146" t="s">
        <v>5570</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ht="15"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ht="15" outlineLevel="1">
      <c r="A2706" s="2176">
        <f>IF(G2706&lt;&gt;0,1,"")</f>
        <v>1</v>
      </c>
      <c r="B2706" s="2255"/>
      <c r="C2706" s="2457">
        <f>IF(G2706&gt;0,C2692+1,C2692)</f>
        <v>6</v>
      </c>
      <c r="D2706" s="2475"/>
      <c r="E2706" s="2459" t="s">
        <v>6262</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5" outlineLevel="1">
      <c r="A2707" s="2176">
        <f>A2706</f>
        <v>1</v>
      </c>
      <c r="B2707" s="2255"/>
      <c r="C2707" s="2252"/>
      <c r="D2707" s="2253"/>
      <c r="E2707" s="2261" t="s">
        <v>6132</v>
      </c>
      <c r="F2707" s="2252"/>
      <c r="G2707" s="2257"/>
      <c r="H2707" s="2258"/>
      <c r="I2707" s="2258"/>
      <c r="J2707" s="2258"/>
      <c r="K2707" s="2258"/>
      <c r="L2707" s="2258"/>
      <c r="M2707" s="2258"/>
      <c r="N2707" s="2258"/>
      <c r="O2707" s="2258"/>
      <c r="P2707" s="2383"/>
      <c r="Q2707" s="2260"/>
      <c r="R2707" s="2260"/>
      <c r="S2707" s="2260"/>
    </row>
    <row r="2708" spans="1:19" s="2099" customFormat="1" ht="15" outlineLevel="1">
      <c r="A2708" s="2176">
        <f t="shared" ref="A2708:A2762" si="547">IF(G2708&lt;&gt;0,1,"")</f>
        <v>1</v>
      </c>
      <c r="B2708" s="2246" t="s">
        <v>6271</v>
      </c>
      <c r="C2708" s="2262"/>
      <c r="D2708" s="2146">
        <v>0</v>
      </c>
      <c r="E2708" s="2188" t="s">
        <v>5081</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ht="15" outlineLevel="1">
      <c r="A2709" s="2176">
        <f t="shared" si="547"/>
        <v>1</v>
      </c>
      <c r="B2709" s="2351" t="s">
        <v>5698</v>
      </c>
      <c r="C2709" s="2262"/>
      <c r="D2709" s="2146">
        <v>0</v>
      </c>
      <c r="E2709" s="2188" t="s">
        <v>5699</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ht="15" outlineLevel="1">
      <c r="A2710" s="2176">
        <f t="shared" si="547"/>
        <v>1</v>
      </c>
      <c r="B2710" s="2351" t="s">
        <v>5704</v>
      </c>
      <c r="C2710" s="2262"/>
      <c r="D2710" s="2146">
        <v>0</v>
      </c>
      <c r="E2710" s="2188" t="s">
        <v>5705</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ht="15" outlineLevel="1">
      <c r="A2711" s="2176">
        <f t="shared" si="547"/>
        <v>1</v>
      </c>
      <c r="B2711" s="2351" t="s">
        <v>5706</v>
      </c>
      <c r="C2711" s="2262"/>
      <c r="D2711" s="2146">
        <v>0</v>
      </c>
      <c r="E2711" s="2188" t="s">
        <v>5707</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ht="15" outlineLevel="1">
      <c r="A2712" s="2176">
        <f t="shared" si="547"/>
        <v>1</v>
      </c>
      <c r="B2712" s="2351" t="s">
        <v>5696</v>
      </c>
      <c r="C2712" s="2262"/>
      <c r="D2712" s="2146"/>
      <c r="E2712" s="2188" t="s">
        <v>5697</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ht="15"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ht="15" outlineLevel="1">
      <c r="A2714" s="2176">
        <f t="shared" si="547"/>
        <v>1</v>
      </c>
      <c r="B2714" s="2351" t="s">
        <v>1477</v>
      </c>
      <c r="C2714" s="2262"/>
      <c r="D2714" s="2146">
        <v>0</v>
      </c>
      <c r="E2714" s="2188" t="s">
        <v>6345</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ht="15"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ht="15"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ht="15" outlineLevel="1">
      <c r="A2717" s="2176">
        <f>IF(G2717&lt;&gt;0,1,"")</f>
        <v>1</v>
      </c>
      <c r="B2717" s="2287" t="s">
        <v>6279</v>
      </c>
      <c r="C2717" s="2262"/>
      <c r="D2717" s="2146">
        <v>0</v>
      </c>
      <c r="E2717" s="2188" t="s">
        <v>5145</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ht="15" outlineLevel="1">
      <c r="A2718" s="2176">
        <f t="shared" si="547"/>
        <v>1</v>
      </c>
      <c r="B2718" s="2246" t="s">
        <v>1565</v>
      </c>
      <c r="C2718" s="2262"/>
      <c r="D2718" s="2146" t="s">
        <v>5559</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ht="15" outlineLevel="1">
      <c r="A2719" s="2176">
        <f t="shared" si="547"/>
        <v>1</v>
      </c>
      <c r="B2719" s="2246" t="s">
        <v>1525</v>
      </c>
      <c r="C2719" s="2262"/>
      <c r="D2719" s="2146" t="s">
        <v>5570</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ht="15"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5" outlineLevel="1">
      <c r="A2721" s="2176">
        <f>A2720</f>
        <v>1</v>
      </c>
      <c r="B2721" s="2255"/>
      <c r="C2721" s="2252"/>
      <c r="D2721" s="2253"/>
      <c r="E2721" s="2261" t="s">
        <v>6132</v>
      </c>
      <c r="F2721" s="2252"/>
      <c r="G2721" s="2263"/>
      <c r="H2721" s="2258"/>
      <c r="I2721" s="2258"/>
      <c r="J2721" s="2258"/>
      <c r="K2721" s="2258"/>
      <c r="L2721" s="2258"/>
      <c r="M2721" s="2258"/>
      <c r="N2721" s="2258"/>
      <c r="O2721" s="2258"/>
      <c r="P2721" s="2383"/>
      <c r="Q2721" s="2260"/>
      <c r="R2721" s="2260"/>
      <c r="S2721" s="2260"/>
    </row>
    <row r="2722" spans="1:19" s="2099" customFormat="1" ht="15" outlineLevel="1">
      <c r="A2722" s="2176">
        <f t="shared" si="547"/>
        <v>1</v>
      </c>
      <c r="B2722" s="2255" t="s">
        <v>4756</v>
      </c>
      <c r="C2722" s="2262"/>
      <c r="D2722" s="2146">
        <v>0</v>
      </c>
      <c r="E2722" s="2188" t="s">
        <v>6387</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ht="15" outlineLevel="1">
      <c r="A2723" s="2176">
        <f t="shared" si="547"/>
        <v>1</v>
      </c>
      <c r="B2723" s="2255" t="s">
        <v>2156</v>
      </c>
      <c r="C2723" s="2262"/>
      <c r="D2723" s="2146" t="s">
        <v>5730</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ht="15"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ht="15"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ht="15"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ht="15" outlineLevel="1">
      <c r="A2727" s="2176">
        <f t="shared" si="547"/>
        <v>1</v>
      </c>
      <c r="B2727" s="2246" t="s">
        <v>6</v>
      </c>
      <c r="C2727" s="2262"/>
      <c r="D2727" s="2146"/>
      <c r="E2727" s="2188" t="s">
        <v>3567</v>
      </c>
      <c r="F2727" s="2146" t="s">
        <v>5805</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ht="15"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ht="15" outlineLevel="1">
      <c r="A2729" s="2176">
        <f t="shared" si="547"/>
        <v>1</v>
      </c>
      <c r="B2729" s="2246" t="s">
        <v>672</v>
      </c>
      <c r="C2729" s="2262"/>
      <c r="D2729" s="2146">
        <v>0</v>
      </c>
      <c r="E2729" s="2188" t="s">
        <v>5800</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ht="15" outlineLevel="1">
      <c r="A2730" s="2176">
        <f t="shared" si="547"/>
        <v>1</v>
      </c>
      <c r="B2730" s="2246" t="s">
        <v>247</v>
      </c>
      <c r="C2730" s="2262"/>
      <c r="D2730" s="2146" t="s">
        <v>5572</v>
      </c>
      <c r="E2730" s="2188" t="s">
        <v>5573</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ht="15" outlineLevel="1">
      <c r="A2731" s="2176" t="str">
        <f t="shared" si="547"/>
        <v/>
      </c>
      <c r="B2731" s="2474"/>
      <c r="C2731" s="2457">
        <f>IF(G2731&gt;0,C2720+1,C2720)</f>
        <v>7</v>
      </c>
      <c r="D2731" s="2475"/>
      <c r="E2731" s="2459" t="s">
        <v>6221</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5" outlineLevel="1">
      <c r="A2732" s="2176" t="str">
        <f>A2731</f>
        <v/>
      </c>
      <c r="B2732" s="2255"/>
      <c r="C2732" s="2252"/>
      <c r="D2732" s="2253"/>
      <c r="E2732" s="2261" t="s">
        <v>6132</v>
      </c>
      <c r="F2732" s="2262"/>
      <c r="G2732" s="2264"/>
      <c r="H2732" s="2258"/>
      <c r="I2732" s="2258"/>
      <c r="J2732" s="2258"/>
      <c r="K2732" s="2258"/>
      <c r="L2732" s="2258"/>
      <c r="M2732" s="2258"/>
      <c r="N2732" s="2259"/>
      <c r="O2732" s="2258"/>
      <c r="P2732" s="2383"/>
      <c r="Q2732" s="2260"/>
      <c r="R2732" s="2260"/>
      <c r="S2732" s="2260"/>
    </row>
    <row r="2733" spans="1:19" s="2099" customFormat="1" ht="15" outlineLevel="1">
      <c r="A2733" s="2176" t="str">
        <f t="shared" si="547"/>
        <v/>
      </c>
      <c r="B2733" s="2255" t="s">
        <v>653</v>
      </c>
      <c r="C2733" s="2262"/>
      <c r="D2733" s="2146">
        <v>0</v>
      </c>
      <c r="E2733" s="2188" t="s">
        <v>5288</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ht="15"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ht="15"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ht="15" outlineLevel="1">
      <c r="A2736" s="2176" t="str">
        <f t="shared" si="547"/>
        <v/>
      </c>
      <c r="B2736" s="2255" t="s">
        <v>654</v>
      </c>
      <c r="C2736" s="2262"/>
      <c r="D2736" s="2146" t="s">
        <v>5470</v>
      </c>
      <c r="E2736" s="2188" t="s">
        <v>5473</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ht="15" outlineLevel="1">
      <c r="A2737" s="2176">
        <f t="shared" si="547"/>
        <v>1</v>
      </c>
      <c r="B2737" s="2469"/>
      <c r="C2737" s="2457">
        <f>IF(G2737&gt;0,C2731+1,C2731)</f>
        <v>8</v>
      </c>
      <c r="D2737" s="2458"/>
      <c r="E2737" s="2459" t="s">
        <v>6280</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5" outlineLevel="1">
      <c r="A2738" s="2176" t="str">
        <f t="shared" si="547"/>
        <v/>
      </c>
      <c r="B2738" s="2255"/>
      <c r="C2738" s="2252"/>
      <c r="D2738" s="2253"/>
      <c r="E2738" s="2261" t="s">
        <v>6132</v>
      </c>
      <c r="F2738" s="2262"/>
      <c r="G2738" s="2264"/>
      <c r="H2738" s="2258"/>
      <c r="I2738" s="2258"/>
      <c r="J2738" s="2258"/>
      <c r="K2738" s="2258">
        <v>0</v>
      </c>
      <c r="L2738" s="2258">
        <v>0</v>
      </c>
      <c r="M2738" s="2258">
        <v>0</v>
      </c>
      <c r="N2738" s="2259"/>
      <c r="O2738" s="2258"/>
      <c r="P2738" s="2383"/>
      <c r="Q2738" s="2260"/>
      <c r="R2738" s="2260"/>
      <c r="S2738" s="2260"/>
    </row>
    <row r="2739" spans="1:19" s="2099" customFormat="1" ht="15" outlineLevel="1">
      <c r="A2739" s="2176">
        <f>A2737</f>
        <v>1</v>
      </c>
      <c r="B2739" s="2255"/>
      <c r="C2739" s="2252"/>
      <c r="D2739" s="2253"/>
      <c r="E2739" s="2261" t="s">
        <v>6132</v>
      </c>
      <c r="F2739" s="2262"/>
      <c r="G2739" s="2264"/>
      <c r="H2739" s="2258"/>
      <c r="I2739" s="2258"/>
      <c r="J2739" s="2258"/>
      <c r="K2739" s="2258"/>
      <c r="L2739" s="2258"/>
      <c r="M2739" s="2258"/>
      <c r="N2739" s="2259"/>
      <c r="O2739" s="2258"/>
      <c r="P2739" s="2383"/>
      <c r="Q2739" s="2260"/>
      <c r="R2739" s="2260"/>
      <c r="S2739" s="2260"/>
    </row>
    <row r="2740" spans="1:19" s="2099" customFormat="1" ht="15" outlineLevel="1">
      <c r="A2740" s="2176">
        <f t="shared" si="547"/>
        <v>1</v>
      </c>
      <c r="B2740" s="2478" t="s">
        <v>2008</v>
      </c>
      <c r="C2740" s="2262"/>
      <c r="D2740" s="2146">
        <v>0</v>
      </c>
      <c r="E2740" s="2188" t="s">
        <v>5246</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ht="15" outlineLevel="1">
      <c r="A2741" s="2176">
        <f t="shared" si="547"/>
        <v>1</v>
      </c>
      <c r="B2741" s="2479" t="s">
        <v>6242</v>
      </c>
      <c r="C2741" s="2262"/>
      <c r="D2741" s="2146">
        <v>0</v>
      </c>
      <c r="E2741" s="2188" t="s">
        <v>5483</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ht="15" outlineLevel="1">
      <c r="A2742" s="2176">
        <f t="shared" si="547"/>
        <v>1</v>
      </c>
      <c r="B2742" s="2481" t="s">
        <v>5484</v>
      </c>
      <c r="C2742" s="2262"/>
      <c r="D2742" s="2146">
        <v>0</v>
      </c>
      <c r="E2742" s="2188" t="s">
        <v>5485</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ht="15" outlineLevel="1">
      <c r="A2743" s="2176">
        <f t="shared" si="547"/>
        <v>1</v>
      </c>
      <c r="B2743" s="2482" t="s">
        <v>585</v>
      </c>
      <c r="C2743" s="2262"/>
      <c r="D2743" s="2146" t="s">
        <v>5478</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ht="15" outlineLevel="1">
      <c r="A2744" s="2176">
        <f t="shared" si="547"/>
        <v>1</v>
      </c>
      <c r="B2744" s="2255" t="s">
        <v>654</v>
      </c>
      <c r="C2744" s="2262"/>
      <c r="D2744" s="2146" t="s">
        <v>5470</v>
      </c>
      <c r="E2744" s="2188" t="s">
        <v>5473</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ht="15" outlineLevel="1">
      <c r="A2745" s="2176">
        <f t="shared" si="547"/>
        <v>1</v>
      </c>
      <c r="B2745" s="2483" t="s">
        <v>1955</v>
      </c>
      <c r="C2745" s="2262"/>
      <c r="D2745" s="2146" t="s">
        <v>5470</v>
      </c>
      <c r="E2745" s="2188" t="s">
        <v>5471</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ht="15" outlineLevel="1">
      <c r="A2746" s="2176">
        <f t="shared" si="547"/>
        <v>1</v>
      </c>
      <c r="B2746" s="2469"/>
      <c r="C2746" s="2457">
        <f>IF(G2746&gt;0,C2737+1,C2737)</f>
        <v>9</v>
      </c>
      <c r="D2746" s="2458"/>
      <c r="E2746" s="2459" t="s">
        <v>6243</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5" outlineLevel="1">
      <c r="A2747" s="2176" t="str">
        <f t="shared" si="547"/>
        <v/>
      </c>
      <c r="B2747" s="2255"/>
      <c r="C2747" s="2252"/>
      <c r="D2747" s="2253"/>
      <c r="E2747" s="2261" t="s">
        <v>6132</v>
      </c>
      <c r="F2747" s="2262"/>
      <c r="G2747" s="2264"/>
      <c r="H2747" s="2258"/>
      <c r="I2747" s="2258"/>
      <c r="J2747" s="2258"/>
      <c r="K2747" s="2258">
        <v>0</v>
      </c>
      <c r="L2747" s="2258">
        <v>0</v>
      </c>
      <c r="M2747" s="2258">
        <v>0</v>
      </c>
      <c r="N2747" s="2259"/>
      <c r="O2747" s="2258"/>
      <c r="P2747" s="2383"/>
      <c r="Q2747" s="2260"/>
      <c r="R2747" s="2260"/>
      <c r="S2747" s="2260"/>
    </row>
    <row r="2748" spans="1:19" s="2099" customFormat="1" ht="15" outlineLevel="1">
      <c r="A2748" s="2176">
        <f>A2746</f>
        <v>1</v>
      </c>
      <c r="B2748" s="2255"/>
      <c r="C2748" s="2252"/>
      <c r="D2748" s="2253"/>
      <c r="E2748" s="2261" t="s">
        <v>6132</v>
      </c>
      <c r="F2748" s="2262"/>
      <c r="G2748" s="2264"/>
      <c r="H2748" s="2258"/>
      <c r="I2748" s="2258"/>
      <c r="J2748" s="2258"/>
      <c r="K2748" s="2258"/>
      <c r="L2748" s="2258"/>
      <c r="M2748" s="2258"/>
      <c r="N2748" s="2259"/>
      <c r="O2748" s="2258"/>
      <c r="P2748" s="2383"/>
      <c r="Q2748" s="2260"/>
      <c r="R2748" s="2260"/>
      <c r="S2748" s="2260"/>
    </row>
    <row r="2749" spans="1:19" s="2099" customFormat="1" ht="15" outlineLevel="1">
      <c r="A2749" s="2176">
        <f t="shared" si="547"/>
        <v>1</v>
      </c>
      <c r="B2749" s="2255" t="s">
        <v>5301</v>
      </c>
      <c r="C2749" s="2262"/>
      <c r="D2749" s="2146" t="s">
        <v>5302</v>
      </c>
      <c r="E2749" s="2188" t="s">
        <v>5303</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ht="15" outlineLevel="1">
      <c r="A2750" s="2176">
        <f t="shared" si="547"/>
        <v>1</v>
      </c>
      <c r="B2750" s="2255" t="s">
        <v>5363</v>
      </c>
      <c r="C2750" s="2262"/>
      <c r="D2750" s="2146" t="s">
        <v>5364</v>
      </c>
      <c r="E2750" s="2188" t="s">
        <v>5365</v>
      </c>
      <c r="F2750" s="2146" t="s">
        <v>5366</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ht="15" outlineLevel="1">
      <c r="A2751" s="2176">
        <f t="shared" si="547"/>
        <v>1</v>
      </c>
      <c r="B2751" s="2255" t="s">
        <v>5163</v>
      </c>
      <c r="C2751" s="2262"/>
      <c r="D2751" s="2146">
        <v>0</v>
      </c>
      <c r="E2751" s="2188" t="s">
        <v>5164</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ht="15" outlineLevel="1">
      <c r="A2752" s="2176">
        <f t="shared" si="547"/>
        <v>1</v>
      </c>
      <c r="B2752" s="2255" t="s">
        <v>5165</v>
      </c>
      <c r="C2752" s="2262"/>
      <c r="D2752" s="2146">
        <v>0</v>
      </c>
      <c r="E2752" s="2188" t="s">
        <v>5166</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ht="15"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ht="15" outlineLevel="1">
      <c r="A2754" s="2176">
        <f t="shared" si="547"/>
        <v>1</v>
      </c>
      <c r="B2754" s="2255" t="s">
        <v>6244</v>
      </c>
      <c r="C2754" s="2262"/>
      <c r="D2754" s="2146">
        <v>0</v>
      </c>
      <c r="E2754" s="2188" t="s">
        <v>5309</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ht="15" outlineLevel="1">
      <c r="A2755" s="2176">
        <f t="shared" si="547"/>
        <v>1</v>
      </c>
      <c r="B2755" s="2255" t="s">
        <v>745</v>
      </c>
      <c r="C2755" s="2262"/>
      <c r="D2755" s="2146">
        <v>0</v>
      </c>
      <c r="E2755" s="2188" t="s">
        <v>5245</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ht="15" outlineLevel="1">
      <c r="A2756" s="2176">
        <f t="shared" si="547"/>
        <v>1</v>
      </c>
      <c r="B2756" s="2255" t="s">
        <v>5057</v>
      </c>
      <c r="C2756" s="2262"/>
      <c r="D2756" s="2146">
        <v>0</v>
      </c>
      <c r="E2756" s="2188" t="s">
        <v>5058</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ht="15" outlineLevel="1">
      <c r="A2757" s="2176">
        <f t="shared" si="547"/>
        <v>1</v>
      </c>
      <c r="B2757" s="2255" t="s">
        <v>6242</v>
      </c>
      <c r="C2757" s="2262"/>
      <c r="D2757" s="2146">
        <v>0</v>
      </c>
      <c r="E2757" s="2188" t="s">
        <v>5483</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ht="15"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ht="15" outlineLevel="1">
      <c r="A2759" s="2176">
        <f t="shared" si="547"/>
        <v>1</v>
      </c>
      <c r="B2759" s="2255" t="s">
        <v>5486</v>
      </c>
      <c r="C2759" s="2262"/>
      <c r="D2759" s="2146" t="s">
        <v>5487</v>
      </c>
      <c r="E2759" s="2188" t="s">
        <v>5488</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ht="15" outlineLevel="1">
      <c r="A2760" s="2176">
        <f t="shared" si="547"/>
        <v>1</v>
      </c>
      <c r="B2760" s="2255" t="s">
        <v>9</v>
      </c>
      <c r="C2760" s="2262"/>
      <c r="D2760" s="2146" t="s">
        <v>5477</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ht="15" outlineLevel="1">
      <c r="A2761" s="2176">
        <f t="shared" si="547"/>
        <v>1</v>
      </c>
      <c r="B2761" s="2255" t="s">
        <v>654</v>
      </c>
      <c r="C2761" s="2262"/>
      <c r="D2761" s="2146" t="s">
        <v>5470</v>
      </c>
      <c r="E2761" s="2188" t="s">
        <v>5473</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ht="15" outlineLevel="1">
      <c r="A2762" s="2176">
        <f t="shared" si="547"/>
        <v>1</v>
      </c>
      <c r="B2762" s="2255" t="s">
        <v>5479</v>
      </c>
      <c r="C2762" s="2262"/>
      <c r="D2762" s="2146" t="s">
        <v>5480</v>
      </c>
      <c r="E2762" s="2188" t="s">
        <v>5481</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ht="15" outlineLevel="1">
      <c r="A2763" s="2176">
        <f>IF(G2763&lt;&gt;0,1,"")</f>
        <v>1</v>
      </c>
      <c r="B2763" s="2246"/>
      <c r="C2763" s="2457">
        <f>IF(G2763&gt;0,C2746+1,C2746)</f>
        <v>10</v>
      </c>
      <c r="D2763" s="2458"/>
      <c r="E2763" s="2459" t="s">
        <v>6252</v>
      </c>
      <c r="F2763" s="2460" t="s">
        <v>2385</v>
      </c>
      <c r="G2763" s="2461">
        <v>1</v>
      </c>
      <c r="H2763" s="2462"/>
      <c r="I2763" s="2464"/>
      <c r="J2763" s="2464"/>
      <c r="K2763" s="2465"/>
      <c r="L2763" s="2465"/>
      <c r="M2763" s="2465"/>
      <c r="N2763" s="2470"/>
      <c r="O2763" s="2470"/>
      <c r="P2763" s="2470"/>
      <c r="Q2763" s="2260"/>
      <c r="R2763" s="2260"/>
      <c r="S2763" s="2260"/>
    </row>
    <row r="2764" spans="1:19" s="2282" customFormat="1" ht="15" outlineLevel="1">
      <c r="A2764" s="2176">
        <f>A2763</f>
        <v>1</v>
      </c>
      <c r="B2764" s="2494"/>
      <c r="C2764" s="2252"/>
      <c r="D2764" s="2253"/>
      <c r="E2764" s="2268" t="s">
        <v>6132</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ht="15"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ht="15" outlineLevel="1">
      <c r="A2766" s="2176">
        <f>IF(G2766=0,0,1)</f>
        <v>0</v>
      </c>
      <c r="B2766" s="2246" t="s">
        <v>6253</v>
      </c>
      <c r="C2766" s="2262"/>
      <c r="D2766" s="2146">
        <v>0</v>
      </c>
      <c r="E2766" s="2353" t="s">
        <v>5052</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ht="15" outlineLevel="1">
      <c r="A2767" s="2176">
        <f>IF(G2767=0,0,1)</f>
        <v>1</v>
      </c>
      <c r="B2767" s="2246" t="s">
        <v>6254</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ht="15" outlineLevel="1">
      <c r="A2768" s="2176">
        <f t="shared" ref="A2768:A2785" si="564">IF(G2768=0,0,1)</f>
        <v>1</v>
      </c>
      <c r="B2768" s="2255" t="s">
        <v>246</v>
      </c>
      <c r="C2768" s="2383"/>
      <c r="D2768" s="2146">
        <v>0</v>
      </c>
      <c r="E2768" s="2353" t="s">
        <v>5868</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ht="15" outlineLevel="1">
      <c r="A2769" s="2176">
        <f t="shared" si="564"/>
        <v>1</v>
      </c>
      <c r="B2769" s="2255" t="s">
        <v>5733</v>
      </c>
      <c r="C2769" s="2262"/>
      <c r="D2769" s="2146" t="s">
        <v>5723</v>
      </c>
      <c r="E2769" s="2353" t="s">
        <v>5734</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ht="15"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ht="15"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ht="15"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ht="15"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ht="15"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ht="15"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ht="15"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ht="15" outlineLevel="1">
      <c r="A2777" s="2176">
        <f t="shared" si="564"/>
        <v>1</v>
      </c>
      <c r="B2777" s="2246" t="s">
        <v>672</v>
      </c>
      <c r="C2777" s="2262"/>
      <c r="D2777" s="2146">
        <v>0</v>
      </c>
      <c r="E2777" s="2353" t="s">
        <v>5800</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ht="15"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ht="15"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ht="15" outlineLevel="1">
      <c r="A2780" s="2176">
        <f t="shared" si="564"/>
        <v>1</v>
      </c>
      <c r="B2780" s="2246" t="s">
        <v>319</v>
      </c>
      <c r="C2780" s="2262"/>
      <c r="D2780" s="2146">
        <v>0</v>
      </c>
      <c r="E2780" s="2353" t="s">
        <v>5268</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ht="15" outlineLevel="1">
      <c r="A2781" s="2176">
        <f t="shared" si="564"/>
        <v>1</v>
      </c>
      <c r="B2781" s="2246" t="s">
        <v>1915</v>
      </c>
      <c r="C2781" s="2262"/>
      <c r="D2781" s="2146" t="s">
        <v>5654</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ht="15" outlineLevel="1">
      <c r="A2782" s="2176">
        <f t="shared" si="564"/>
        <v>1</v>
      </c>
      <c r="B2782" s="2246" t="s">
        <v>6</v>
      </c>
      <c r="C2782" s="2262"/>
      <c r="D2782" s="2146">
        <v>0</v>
      </c>
      <c r="E2782" s="2353" t="s">
        <v>3567</v>
      </c>
      <c r="F2782" s="2495" t="s">
        <v>5805</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ht="15"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ht="15" outlineLevel="1">
      <c r="A2784" s="2176">
        <f t="shared" si="564"/>
        <v>0</v>
      </c>
      <c r="B2784" s="2246" t="s">
        <v>1035</v>
      </c>
      <c r="C2784" s="2262"/>
      <c r="D2784" s="2146">
        <v>0</v>
      </c>
      <c r="E2784" s="2353" t="s">
        <v>6388</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ht="15" outlineLevel="1">
      <c r="A2785" s="2176">
        <f t="shared" si="564"/>
        <v>0</v>
      </c>
      <c r="B2785" s="2246" t="s">
        <v>6254</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6130</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ht="15"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ht="15"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ht="15" outlineLevel="1">
      <c r="A2790" s="2176">
        <f>A2788</f>
        <v>0</v>
      </c>
      <c r="B2790" s="2255" t="s">
        <v>6111</v>
      </c>
      <c r="C2790" s="2642" t="s">
        <v>1708</v>
      </c>
      <c r="D2790" s="2643" t="s">
        <v>2597</v>
      </c>
      <c r="E2790" s="2645" t="s">
        <v>2598</v>
      </c>
      <c r="F2790" s="2642" t="s">
        <v>2593</v>
      </c>
      <c r="G2790" s="2103" t="s">
        <v>6112</v>
      </c>
      <c r="H2790" s="2106" t="s">
        <v>6113</v>
      </c>
      <c r="I2790" s="2613"/>
      <c r="J2790" s="2613"/>
      <c r="K2790" s="2614"/>
      <c r="L2790" s="2106" t="s">
        <v>6114</v>
      </c>
      <c r="M2790" s="2613"/>
      <c r="N2790" s="2613"/>
      <c r="O2790" s="2614"/>
      <c r="P2790" s="2642" t="s">
        <v>2599</v>
      </c>
      <c r="Q2790" s="2260"/>
      <c r="R2790" s="2260"/>
      <c r="S2790" s="2260"/>
    </row>
    <row r="2791" spans="1:19" s="2099" customFormat="1" ht="15" outlineLevel="1">
      <c r="A2791" s="2176">
        <f>A2790</f>
        <v>0</v>
      </c>
      <c r="B2791" s="2255"/>
      <c r="C2791" s="2642"/>
      <c r="D2791" s="2644"/>
      <c r="E2791" s="2646"/>
      <c r="F2791" s="2642"/>
      <c r="G2791" s="2105" t="s">
        <v>2286</v>
      </c>
      <c r="H2791" s="2106" t="s">
        <v>6115</v>
      </c>
      <c r="I2791" s="2106" t="s">
        <v>6116</v>
      </c>
      <c r="J2791" s="2106" t="s">
        <v>6117</v>
      </c>
      <c r="K2791" s="2106" t="s">
        <v>6118</v>
      </c>
      <c r="L2791" s="2106" t="s">
        <v>6115</v>
      </c>
      <c r="M2791" s="2106" t="s">
        <v>6116</v>
      </c>
      <c r="N2791" s="2106" t="s">
        <v>6117</v>
      </c>
      <c r="O2791" s="2106" t="s">
        <v>6118</v>
      </c>
      <c r="P2791" s="2642"/>
      <c r="Q2791" s="2260"/>
      <c r="R2791" s="2260"/>
      <c r="S2791" s="2260"/>
    </row>
    <row r="2792" spans="1:19" s="2099" customFormat="1" ht="15"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ht="15" outlineLevel="1">
      <c r="A2793" s="2176" t="str">
        <f t="shared" ref="A2793:A2800" si="565">IF(G2793&lt;&gt;0,1,"")</f>
        <v/>
      </c>
      <c r="B2793" s="2246" t="str">
        <f>IF($F$8=15,"tr1000","tr10001")</f>
        <v>tr10001</v>
      </c>
      <c r="C2793" s="2262">
        <f>IF(G2793&gt;0,1,0)</f>
        <v>0</v>
      </c>
      <c r="D2793" s="2146" t="s">
        <v>5593</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ht="15" outlineLevel="1">
      <c r="A2794" s="2176" t="str">
        <f t="shared" si="565"/>
        <v/>
      </c>
      <c r="B2794" s="2112" t="s">
        <v>1652</v>
      </c>
      <c r="C2794" s="2262">
        <f>IF(G2794&gt;0,C2793+1,C2793)</f>
        <v>0</v>
      </c>
      <c r="D2794" s="2146" t="s">
        <v>5597</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ht="15"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ht="15" outlineLevel="1">
      <c r="A2796" s="2176" t="str">
        <f t="shared" si="565"/>
        <v/>
      </c>
      <c r="B2796" s="2255" t="str">
        <f>"LA"&amp;$F$6</f>
        <v>LA18</v>
      </c>
      <c r="C2796" s="2262">
        <f t="shared" si="570"/>
        <v>0</v>
      </c>
      <c r="D2796" s="2146" t="s">
        <v>5601</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ht="15" outlineLevel="1">
      <c r="A2797" s="2176" t="str">
        <f t="shared" si="565"/>
        <v/>
      </c>
      <c r="B2797" s="2351" t="s">
        <v>6281</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ht="15"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ht="15" outlineLevel="1">
      <c r="A2799" s="2176" t="str">
        <f t="shared" si="565"/>
        <v/>
      </c>
      <c r="B2799" s="2246" t="s">
        <v>5608</v>
      </c>
      <c r="C2799" s="2262">
        <f t="shared" si="570"/>
        <v>0</v>
      </c>
      <c r="D2799" s="2146">
        <v>0</v>
      </c>
      <c r="E2799" s="2188" t="s">
        <v>5609</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ht="15"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ht="15" outlineLevel="1">
      <c r="A2801" s="2176">
        <f>A2788</f>
        <v>0</v>
      </c>
      <c r="B2801" s="2255"/>
      <c r="C2801" s="2387"/>
      <c r="D2801" s="2388"/>
      <c r="E2801" s="2389"/>
      <c r="F2801" s="2387"/>
      <c r="G2801" s="2630"/>
      <c r="H2801" s="2387"/>
      <c r="I2801" s="2387"/>
      <c r="J2801" s="2111" t="s">
        <v>6120</v>
      </c>
      <c r="K2801" s="2387"/>
      <c r="L2801" s="2389">
        <f>SUM(L2793:L2800)</f>
        <v>0</v>
      </c>
      <c r="M2801" s="2389">
        <f>SUM(M2793:M2800)</f>
        <v>0</v>
      </c>
      <c r="N2801" s="2389">
        <f>SUM(N2793:N2800)</f>
        <v>0</v>
      </c>
      <c r="O2801" s="2389">
        <f>SUM(O2793:O2800)</f>
        <v>0</v>
      </c>
      <c r="P2801" s="2390"/>
      <c r="Q2801" s="2260"/>
      <c r="R2801" s="2260"/>
      <c r="S2801" s="2260"/>
    </row>
    <row r="2802" spans="1:19" s="2099" customFormat="1" ht="15"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ht="15" outlineLevel="1">
      <c r="A2803" s="2176" t="str">
        <f t="shared" ref="A2803:A2820" si="571">IF(G2803&lt;&gt;0,1,"")</f>
        <v/>
      </c>
      <c r="B2803" s="2395"/>
      <c r="C2803" s="2396">
        <f>IF(G2803&gt;0,1,0)</f>
        <v>0</v>
      </c>
      <c r="D2803" s="2146"/>
      <c r="E2803" s="2397" t="s">
        <v>6121</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ht="15"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ht="15"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ht="15"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ht="15" outlineLevel="1">
      <c r="A2807" s="2176" t="str">
        <f t="shared" si="571"/>
        <v/>
      </c>
      <c r="B2807" s="2395"/>
      <c r="C2807" s="2396">
        <f>IF(G2807&gt;0,1,0)</f>
        <v>0</v>
      </c>
      <c r="D2807" s="2146"/>
      <c r="E2807" s="2397" t="s">
        <v>6216</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ht="15"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ht="15"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ht="15"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ht="15"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ht="15" outlineLevel="1">
      <c r="A2812" s="2176" t="str">
        <f t="shared" si="571"/>
        <v/>
      </c>
      <c r="B2812" s="2351" t="s">
        <v>636</v>
      </c>
      <c r="C2812" s="2401"/>
      <c r="D2812" s="2146" t="s">
        <v>5046</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ht="15" outlineLevel="1">
      <c r="A2813" s="2176" t="str">
        <f t="shared" si="571"/>
        <v/>
      </c>
      <c r="B2813" s="2351" t="s">
        <v>566</v>
      </c>
      <c r="C2813" s="2401"/>
      <c r="D2813" s="2146"/>
      <c r="E2813" s="2402" t="s">
        <v>5071</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ht="15" outlineLevel="1">
      <c r="A2814" s="2176" t="str">
        <f t="shared" si="571"/>
        <v/>
      </c>
      <c r="B2814" s="2351" t="s">
        <v>639</v>
      </c>
      <c r="C2814" s="2401"/>
      <c r="D2814" s="2146" t="s">
        <v>1747</v>
      </c>
      <c r="E2814" s="2402" t="s">
        <v>5323</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ht="15" outlineLevel="1">
      <c r="A2815" s="2176" t="str">
        <f t="shared" si="571"/>
        <v/>
      </c>
      <c r="B2815" s="2351" t="s">
        <v>21</v>
      </c>
      <c r="C2815" s="2401"/>
      <c r="D2815" s="2146" t="s">
        <v>5324</v>
      </c>
      <c r="E2815" s="2402" t="s">
        <v>5325</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ht="15"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ht="15" outlineLevel="1">
      <c r="A2817" s="2176" t="str">
        <f t="shared" si="571"/>
        <v/>
      </c>
      <c r="B2817" s="2351" t="s">
        <v>636</v>
      </c>
      <c r="C2817" s="2401"/>
      <c r="D2817" s="2146" t="s">
        <v>5046</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ht="15" outlineLevel="1">
      <c r="A2818" s="2176" t="str">
        <f t="shared" si="571"/>
        <v/>
      </c>
      <c r="B2818" s="2351" t="s">
        <v>566</v>
      </c>
      <c r="C2818" s="2401"/>
      <c r="D2818" s="2146"/>
      <c r="E2818" s="2402" t="s">
        <v>5071</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ht="15" outlineLevel="1">
      <c r="A2819" s="2176" t="str">
        <f t="shared" si="571"/>
        <v/>
      </c>
      <c r="B2819" s="2351" t="s">
        <v>639</v>
      </c>
      <c r="C2819" s="2401"/>
      <c r="D2819" s="2146" t="s">
        <v>1747</v>
      </c>
      <c r="E2819" s="2402" t="s">
        <v>5323</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ht="15" outlineLevel="1">
      <c r="A2820" s="2176" t="str">
        <f t="shared" si="571"/>
        <v/>
      </c>
      <c r="B2820" s="2351" t="s">
        <v>21</v>
      </c>
      <c r="C2820" s="2401"/>
      <c r="D2820" s="2146" t="s">
        <v>5324</v>
      </c>
      <c r="E2820" s="2402" t="s">
        <v>5325</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ht="15" outlineLevel="1">
      <c r="A2821" s="2176" t="str">
        <f>IF(G2821&lt;&gt;0,1,"")</f>
        <v/>
      </c>
      <c r="B2821" s="2255"/>
      <c r="C2821" s="2252">
        <f>IF(G2821&gt;0,C2816+1,C2816)</f>
        <v>0</v>
      </c>
      <c r="D2821" s="2253"/>
      <c r="E2821" s="2411" t="s">
        <v>6270</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5" outlineLevel="1">
      <c r="A2822" s="2176" t="str">
        <f>A2821</f>
        <v/>
      </c>
      <c r="B2822" s="2255"/>
      <c r="C2822" s="2252"/>
      <c r="D2822" s="2146"/>
      <c r="E2822" s="2261" t="s">
        <v>6132</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ht="15"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ht="15"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ht="15"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ht="15"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ht="15" outlineLevel="1">
      <c r="A2827" s="2176" t="str">
        <f t="shared" si="576"/>
        <v/>
      </c>
      <c r="B2827" s="2255" t="s">
        <v>2242</v>
      </c>
      <c r="C2827" s="2252"/>
      <c r="D2827" s="2146" t="s">
        <v>5443</v>
      </c>
      <c r="E2827" s="2188" t="s">
        <v>2440</v>
      </c>
      <c r="F2827" s="2146" t="s">
        <v>2439</v>
      </c>
      <c r="G2827" s="2263">
        <f>G2821</f>
        <v>0</v>
      </c>
      <c r="H2827" s="2353">
        <v>0</v>
      </c>
      <c r="I2827" s="2353"/>
      <c r="J2827" s="2353" t="s">
        <v>6344</v>
      </c>
      <c r="K2827" s="2353"/>
      <c r="L2827" s="2354">
        <f t="shared" si="575"/>
        <v>0</v>
      </c>
      <c r="M2827" s="2354"/>
      <c r="N2827" s="2353">
        <v>0</v>
      </c>
      <c r="O2827" s="2354"/>
      <c r="P2827" s="2259"/>
      <c r="Q2827" s="2260"/>
      <c r="R2827" s="2260"/>
      <c r="S2827" s="2260"/>
    </row>
    <row r="2828" spans="1:19" s="2099" customFormat="1" ht="15" outlineLevel="1">
      <c r="A2828" s="2176" t="str">
        <f t="shared" si="576"/>
        <v/>
      </c>
      <c r="B2828" s="2255"/>
      <c r="C2828" s="2252">
        <f>IF(G2828&gt;0,C2821+1,C2821)</f>
        <v>0</v>
      </c>
      <c r="D2828" s="2253"/>
      <c r="E2828" s="2411" t="s">
        <v>6282</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5" outlineLevel="1">
      <c r="A2829" s="2176" t="str">
        <f>A2828</f>
        <v/>
      </c>
      <c r="B2829" s="2255"/>
      <c r="C2829" s="2252"/>
      <c r="D2829" s="2253"/>
      <c r="E2829" s="2261" t="s">
        <v>6132</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ht="15"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ht="15"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ht="15"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ht="15"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ht="15" outlineLevel="1">
      <c r="A2834" s="2176" t="str">
        <f t="shared" si="580"/>
        <v/>
      </c>
      <c r="B2834" s="2255" t="s">
        <v>6283</v>
      </c>
      <c r="C2834" s="2252"/>
      <c r="D2834" s="2146" t="s">
        <v>5377</v>
      </c>
      <c r="E2834" s="2188" t="s">
        <v>5378</v>
      </c>
      <c r="F2834" s="2146" t="s">
        <v>2439</v>
      </c>
      <c r="G2834" s="2263">
        <f>+G2828</f>
        <v>0</v>
      </c>
      <c r="H2834" s="2258">
        <v>0</v>
      </c>
      <c r="I2834" s="2353"/>
      <c r="J2834" s="2353" t="s">
        <v>6389</v>
      </c>
      <c r="K2834" s="2353"/>
      <c r="L2834" s="2354">
        <f t="shared" si="575"/>
        <v>0</v>
      </c>
      <c r="M2834" s="2354"/>
      <c r="N2834" s="2353">
        <v>0</v>
      </c>
      <c r="O2834" s="2354"/>
      <c r="P2834" s="2259"/>
      <c r="Q2834" s="2260"/>
      <c r="R2834" s="2260"/>
      <c r="S2834" s="2260"/>
    </row>
    <row r="2835" spans="1:19" s="2099" customFormat="1" ht="15"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5" outlineLevel="1">
      <c r="A2836" s="2176" t="str">
        <f>A2835</f>
        <v/>
      </c>
      <c r="B2836" s="2255"/>
      <c r="C2836" s="2252"/>
      <c r="D2836" s="2253"/>
      <c r="E2836" s="2261" t="s">
        <v>6132</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ht="15"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ht="15" outlineLevel="1">
      <c r="A2838" s="2176" t="str">
        <f t="shared" si="581"/>
        <v/>
      </c>
      <c r="B2838" s="2255" t="s">
        <v>1035</v>
      </c>
      <c r="C2838" s="2252"/>
      <c r="D2838" s="2146">
        <v>0</v>
      </c>
      <c r="E2838" s="2188" t="s">
        <v>6373</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ht="15"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ht="15"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ht="15"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ht="15" outlineLevel="1">
      <c r="A2842" s="2176" t="str">
        <f t="shared" si="581"/>
        <v/>
      </c>
      <c r="B2842" s="2255" t="s">
        <v>517</v>
      </c>
      <c r="C2842" s="2252"/>
      <c r="D2842" s="2146" t="s">
        <v>5429</v>
      </c>
      <c r="E2842" s="2188" t="s">
        <v>3173</v>
      </c>
      <c r="F2842" s="2146" t="s">
        <v>2385</v>
      </c>
      <c r="G2842" s="2263">
        <f>G2835</f>
        <v>0</v>
      </c>
      <c r="H2842" s="2258">
        <v>0</v>
      </c>
      <c r="I2842" s="2258"/>
      <c r="J2842" s="2258" t="s">
        <v>6390</v>
      </c>
      <c r="K2842" s="2258"/>
      <c r="L2842" s="2258">
        <f t="shared" si="575"/>
        <v>0</v>
      </c>
      <c r="M2842" s="2258"/>
      <c r="N2842" s="2258">
        <v>0</v>
      </c>
      <c r="O2842" s="2258"/>
      <c r="P2842" s="2383"/>
      <c r="Q2842" s="2260"/>
      <c r="R2842" s="2260"/>
      <c r="S2842" s="2260"/>
    </row>
    <row r="2843" spans="1:19" s="2099" customFormat="1" ht="15" outlineLevel="1">
      <c r="A2843" s="2176" t="str">
        <f t="shared" si="581"/>
        <v/>
      </c>
      <c r="B2843" s="2255"/>
      <c r="C2843" s="2252">
        <f>IF(G2843&gt;0,C2835+1,C2835)</f>
        <v>0</v>
      </c>
      <c r="D2843" s="2253"/>
      <c r="E2843" s="2411" t="s">
        <v>6238</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5" outlineLevel="1">
      <c r="A2844" s="2176" t="str">
        <f>A2843</f>
        <v/>
      </c>
      <c r="B2844" s="2255"/>
      <c r="C2844" s="2252"/>
      <c r="D2844" s="2253"/>
      <c r="E2844" s="2261" t="s">
        <v>6132</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ht="15"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ht="15" outlineLevel="1">
      <c r="A2846" s="2176" t="str">
        <f t="shared" si="582"/>
        <v/>
      </c>
      <c r="B2846" s="2255" t="s">
        <v>1035</v>
      </c>
      <c r="C2846" s="2252"/>
      <c r="D2846" s="2146">
        <v>0</v>
      </c>
      <c r="E2846" s="2188" t="s">
        <v>6373</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ht="15"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ht="15"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ht="15"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ht="15" outlineLevel="1">
      <c r="A2850" s="2176" t="str">
        <f t="shared" si="582"/>
        <v/>
      </c>
      <c r="B2850" s="2255" t="s">
        <v>988</v>
      </c>
      <c r="C2850" s="2252"/>
      <c r="D2850" s="2146">
        <v>0</v>
      </c>
      <c r="E2850" s="2188" t="s">
        <v>5269</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ht="15" outlineLevel="1">
      <c r="A2851" s="2176" t="str">
        <f t="shared" si="582"/>
        <v/>
      </c>
      <c r="B2851" s="2255" t="s">
        <v>1440</v>
      </c>
      <c r="C2851" s="2252"/>
      <c r="D2851" s="2146" t="s">
        <v>5420</v>
      </c>
      <c r="E2851" s="2188" t="s">
        <v>5421</v>
      </c>
      <c r="F2851" s="2146" t="s">
        <v>2385</v>
      </c>
      <c r="G2851" s="2263">
        <f>G2843</f>
        <v>0</v>
      </c>
      <c r="H2851" s="2258">
        <v>0</v>
      </c>
      <c r="I2851" s="2258"/>
      <c r="J2851" s="2258" t="s">
        <v>6390</v>
      </c>
      <c r="K2851" s="2258"/>
      <c r="L2851" s="2258">
        <f t="shared" si="575"/>
        <v>0</v>
      </c>
      <c r="M2851" s="2258"/>
      <c r="N2851" s="2258">
        <v>0</v>
      </c>
      <c r="O2851" s="2258"/>
      <c r="P2851" s="2383"/>
      <c r="Q2851" s="2260"/>
      <c r="R2851" s="2260"/>
      <c r="S2851" s="2260"/>
    </row>
    <row r="2852" spans="1:19" s="2099" customFormat="1" ht="15"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5" outlineLevel="1">
      <c r="A2853" s="2176" t="str">
        <f>+A2852</f>
        <v/>
      </c>
      <c r="B2853" s="2412"/>
      <c r="C2853" s="2252"/>
      <c r="D2853" s="2253"/>
      <c r="E2853" s="2261" t="s">
        <v>6132</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ht="15"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ht="15" outlineLevel="1">
      <c r="A2855" s="2176" t="str">
        <f t="shared" si="584"/>
        <v/>
      </c>
      <c r="B2855" s="2246" t="s">
        <v>1508</v>
      </c>
      <c r="C2855" s="2252"/>
      <c r="D2855" s="2146">
        <v>0</v>
      </c>
      <c r="E2855" s="2188" t="s">
        <v>5162</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ht="15"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ht="15"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ht="15"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ht="15" outlineLevel="1">
      <c r="A2859" s="2176" t="str">
        <f t="shared" si="584"/>
        <v/>
      </c>
      <c r="B2859" s="2246" t="s">
        <v>525</v>
      </c>
      <c r="C2859" s="2252"/>
      <c r="D2859" s="2146">
        <v>0</v>
      </c>
      <c r="E2859" s="2188" t="s">
        <v>5251</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ht="15" outlineLevel="1">
      <c r="A2860" s="2176" t="str">
        <f t="shared" si="584"/>
        <v/>
      </c>
      <c r="B2860" s="2246" t="s">
        <v>1585</v>
      </c>
      <c r="C2860" s="2252"/>
      <c r="D2860" s="2146">
        <v>0</v>
      </c>
      <c r="E2860" s="2188" t="s">
        <v>5712</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ht="15" outlineLevel="1">
      <c r="A2861" s="2176">
        <f>IF(G2861=0,0,1)</f>
        <v>0</v>
      </c>
      <c r="B2861" s="2246" t="s">
        <v>794</v>
      </c>
      <c r="C2861" s="2262"/>
      <c r="D2861" s="2146" t="s">
        <v>5335</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ht="15" outlineLevel="1">
      <c r="A2862" s="2176">
        <f>IF(G2862=0,0,1)</f>
        <v>0</v>
      </c>
      <c r="B2862" s="2246" t="s">
        <v>798</v>
      </c>
      <c r="C2862" s="2262"/>
      <c r="D2862" s="2146" t="s">
        <v>5324</v>
      </c>
      <c r="E2862" s="2188" t="s">
        <v>5336</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ht="15" outlineLevel="1">
      <c r="A2863" s="2176">
        <f>IF(G2863=0,0,1)</f>
        <v>0</v>
      </c>
      <c r="B2863" s="2246" t="s">
        <v>902</v>
      </c>
      <c r="C2863" s="2262"/>
      <c r="D2863" s="2146" t="s">
        <v>5350</v>
      </c>
      <c r="E2863" s="2188" t="s">
        <v>5351</v>
      </c>
      <c r="F2863" s="2146" t="s">
        <v>2278</v>
      </c>
      <c r="G2863" s="2383">
        <f>G2855</f>
        <v>0</v>
      </c>
      <c r="H2863" s="2258">
        <v>0</v>
      </c>
      <c r="I2863" s="2258"/>
      <c r="J2863" s="2258" t="s">
        <v>6311</v>
      </c>
      <c r="K2863" s="2258">
        <v>0</v>
      </c>
      <c r="L2863" s="2258">
        <f>H2863*$G2863</f>
        <v>0</v>
      </c>
      <c r="M2863" s="2258">
        <f>I2863*$G2863</f>
        <v>0</v>
      </c>
      <c r="N2863" s="2258">
        <v>0</v>
      </c>
      <c r="O2863" s="2258">
        <f>K2863*$G2863</f>
        <v>0</v>
      </c>
      <c r="P2863" s="2383"/>
      <c r="Q2863" s="2260"/>
      <c r="R2863" s="2260"/>
      <c r="S2863" s="2260"/>
    </row>
    <row r="2864" spans="1:19" s="2099" customFormat="1" ht="15" outlineLevel="1">
      <c r="A2864" s="2176" t="str">
        <f>IF(G2864&lt;&gt;0,1,"")</f>
        <v/>
      </c>
      <c r="B2864" s="2246" t="s">
        <v>1437</v>
      </c>
      <c r="C2864" s="2252"/>
      <c r="D2864" s="2146" t="s">
        <v>5345</v>
      </c>
      <c r="E2864" s="2188" t="s">
        <v>5346</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ht="15" outlineLevel="1">
      <c r="A2865" s="2176" t="str">
        <f>IF(G2865&lt;&gt;0,1,"")</f>
        <v/>
      </c>
      <c r="B2865" s="2255"/>
      <c r="C2865" s="2252">
        <f>IF(G2865&gt;0,C2852+1,C2852)</f>
        <v>0</v>
      </c>
      <c r="D2865" s="2253"/>
      <c r="E2865" s="2370" t="s">
        <v>6208</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5" outlineLevel="1">
      <c r="A2866" s="2176" t="str">
        <f>A2865</f>
        <v/>
      </c>
      <c r="B2866" s="2255"/>
      <c r="C2866" s="2252"/>
      <c r="D2866" s="2253"/>
      <c r="E2866" s="2261" t="s">
        <v>6132</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ht="15" outlineLevel="1">
      <c r="A2867" s="2176" t="str">
        <f>IF(G2867&lt;&gt;0,1,"")</f>
        <v/>
      </c>
      <c r="B2867" s="2255" t="s">
        <v>5650</v>
      </c>
      <c r="C2867" s="2262"/>
      <c r="D2867" s="2146" t="s">
        <v>5632</v>
      </c>
      <c r="E2867" s="2188" t="s">
        <v>5651</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ht="15" outlineLevel="1">
      <c r="A2868" s="2176" t="str">
        <f>IF(G2868&lt;&gt;0,1,"")</f>
        <v/>
      </c>
      <c r="B2868" s="2255" t="s">
        <v>880</v>
      </c>
      <c r="C2868" s="2252"/>
      <c r="D2868" s="2146">
        <v>0</v>
      </c>
      <c r="E2868" s="2188" t="s">
        <v>5798</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ht="15" outlineLevel="1">
      <c r="A2869" s="2176" t="str">
        <f>IF(G2869&lt;&gt;0,1,"")</f>
        <v/>
      </c>
      <c r="B2869" s="2255" t="s">
        <v>289</v>
      </c>
      <c r="C2869" s="2262"/>
      <c r="D2869" s="2146">
        <v>0</v>
      </c>
      <c r="E2869" s="2188" t="s">
        <v>5711</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ht="15"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5" outlineLevel="1">
      <c r="A2871" s="2176" t="str">
        <f>A2870</f>
        <v/>
      </c>
      <c r="B2871" s="2255"/>
      <c r="C2871" s="2252"/>
      <c r="D2871" s="2253"/>
      <c r="E2871" s="2261" t="s">
        <v>6132</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ht="15" outlineLevel="1">
      <c r="A2872" s="2176" t="str">
        <f t="shared" ref="A2872:A2880" si="590">IF(G2872&lt;&gt;0,1,"")</f>
        <v/>
      </c>
      <c r="B2872" s="2548" t="s">
        <v>752</v>
      </c>
      <c r="C2872" s="2262"/>
      <c r="D2872" s="2146">
        <v>0</v>
      </c>
      <c r="E2872" s="2353" t="s">
        <v>6374</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ht="15" outlineLevel="1">
      <c r="A2873" s="2176" t="str">
        <f t="shared" si="590"/>
        <v/>
      </c>
      <c r="B2873" s="2548" t="s">
        <v>520</v>
      </c>
      <c r="C2873" s="2262"/>
      <c r="D2873" s="2146">
        <v>0</v>
      </c>
      <c r="E2873" s="2353" t="s">
        <v>6375</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ht="15" outlineLevel="1">
      <c r="A2874" s="2176" t="str">
        <f t="shared" si="590"/>
        <v/>
      </c>
      <c r="B2874" s="2548" t="s">
        <v>1675</v>
      </c>
      <c r="C2874" s="2262"/>
      <c r="D2874" s="2146">
        <v>0</v>
      </c>
      <c r="E2874" s="2353" t="s">
        <v>6376</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ht="15" outlineLevel="1">
      <c r="A2875" s="2176" t="str">
        <f t="shared" si="590"/>
        <v/>
      </c>
      <c r="B2875" s="2548" t="s">
        <v>1676</v>
      </c>
      <c r="C2875" s="2262"/>
      <c r="D2875" s="2146" t="s">
        <v>5289</v>
      </c>
      <c r="E2875" s="2353" t="s">
        <v>6377</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ht="15"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ht="15" outlineLevel="1">
      <c r="A2877" s="2176" t="str">
        <f t="shared" si="590"/>
        <v/>
      </c>
      <c r="B2877" s="2548" t="s">
        <v>1678</v>
      </c>
      <c r="C2877" s="2262"/>
      <c r="D2877" s="2146" t="s">
        <v>5332</v>
      </c>
      <c r="E2877" s="2353" t="s">
        <v>6378</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ht="15" outlineLevel="1">
      <c r="A2878" s="2176" t="str">
        <f t="shared" si="590"/>
        <v/>
      </c>
      <c r="B2878" s="2548" t="s">
        <v>144</v>
      </c>
      <c r="C2878" s="2262"/>
      <c r="D2878" s="2146" t="s">
        <v>5326</v>
      </c>
      <c r="E2878" s="2353" t="s">
        <v>6379</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ht="15" outlineLevel="1">
      <c r="A2879" s="2176" t="str">
        <f t="shared" si="590"/>
        <v/>
      </c>
      <c r="B2879" s="2548" t="s">
        <v>529</v>
      </c>
      <c r="C2879" s="2262"/>
      <c r="D2879" s="2146" t="s">
        <v>5331</v>
      </c>
      <c r="E2879" s="2353" t="s">
        <v>6380</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ht="15"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5" outlineLevel="1">
      <c r="A2881" s="2176" t="str">
        <f>A2880</f>
        <v/>
      </c>
      <c r="B2881" s="2255"/>
      <c r="C2881" s="2252"/>
      <c r="D2881" s="2253"/>
      <c r="E2881" s="2261" t="s">
        <v>6132</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ht="15" outlineLevel="1">
      <c r="A2882" s="2176" t="str">
        <f t="shared" ref="A2882:A2889" si="591">IF(G2882&lt;&gt;0,1,"")</f>
        <v/>
      </c>
      <c r="B2882" s="2255" t="s">
        <v>623</v>
      </c>
      <c r="C2882" s="2262"/>
      <c r="D2882" s="2146" t="s">
        <v>5304</v>
      </c>
      <c r="E2882" s="2188" t="s">
        <v>5305</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ht="15"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ht="15"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ht="15"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ht="15"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ht="15" outlineLevel="1">
      <c r="A2887" s="2176" t="str">
        <f t="shared" si="591"/>
        <v/>
      </c>
      <c r="B2887" s="2255" t="s">
        <v>1410</v>
      </c>
      <c r="C2887" s="2252"/>
      <c r="D2887" s="2146" t="s">
        <v>5340</v>
      </c>
      <c r="E2887" s="2188" t="s">
        <v>5341</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ht="15" outlineLevel="1">
      <c r="A2888" s="2176" t="str">
        <f t="shared" si="591"/>
        <v/>
      </c>
      <c r="B2888" s="2255" t="s">
        <v>289</v>
      </c>
      <c r="C2888" s="2262"/>
      <c r="D2888" s="2146">
        <v>0</v>
      </c>
      <c r="E2888" s="2188" t="s">
        <v>5711</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ht="15"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5" outlineLevel="1">
      <c r="A2890" s="2176" t="str">
        <f>A2889</f>
        <v/>
      </c>
      <c r="B2890" s="2255"/>
      <c r="C2890" s="2252"/>
      <c r="D2890" s="2253"/>
      <c r="E2890" s="2268" t="s">
        <v>6132</v>
      </c>
      <c r="F2890" s="2252"/>
      <c r="G2890" s="2257"/>
      <c r="H2890" s="2258"/>
      <c r="I2890" s="2258"/>
      <c r="J2890" s="2258"/>
      <c r="K2890" s="2258"/>
      <c r="L2890" s="2258"/>
      <c r="M2890" s="2258"/>
      <c r="N2890" s="2258"/>
      <c r="O2890" s="2258"/>
      <c r="P2890" s="2259"/>
      <c r="Q2890" s="2260"/>
      <c r="R2890" s="2260"/>
      <c r="S2890" s="2260"/>
    </row>
    <row r="2891" spans="1:19" s="2099" customFormat="1" ht="15" outlineLevel="1">
      <c r="A2891" s="2176" t="str">
        <f>IF(G2891&lt;&gt;0,1,"")</f>
        <v/>
      </c>
      <c r="B2891" s="2246" t="s">
        <v>470</v>
      </c>
      <c r="C2891" s="2262"/>
      <c r="D2891" s="2146">
        <v>0</v>
      </c>
      <c r="E2891" s="2188" t="s">
        <v>6381</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ht="15" outlineLevel="1">
      <c r="A2892" s="2176" t="str">
        <f>IF(G2892&lt;&gt;0,1,"")</f>
        <v/>
      </c>
      <c r="B2892" s="2246" t="s">
        <v>271</v>
      </c>
      <c r="C2892" s="2262"/>
      <c r="D2892" s="2146">
        <v>0</v>
      </c>
      <c r="E2892" s="2188" t="s">
        <v>6382</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ht="15" outlineLevel="1">
      <c r="A2893" s="2176" t="str">
        <f t="shared" ref="A2893:A2899" si="592">IF(G2893&lt;&gt;0,1,"")</f>
        <v/>
      </c>
      <c r="B2893" s="2246" t="s">
        <v>271</v>
      </c>
      <c r="C2893" s="2262"/>
      <c r="D2893" s="2146">
        <v>0</v>
      </c>
      <c r="E2893" s="2188" t="s">
        <v>6383</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ht="15"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ht="15" outlineLevel="1">
      <c r="A2895" s="2176" t="str">
        <f t="shared" si="592"/>
        <v/>
      </c>
      <c r="B2895" s="2246" t="s">
        <v>470</v>
      </c>
      <c r="C2895" s="2262"/>
      <c r="D2895" s="2146">
        <v>0</v>
      </c>
      <c r="E2895" s="2188" t="s">
        <v>6384</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ht="15" outlineLevel="1">
      <c r="A2896" s="2176" t="str">
        <f t="shared" si="592"/>
        <v/>
      </c>
      <c r="B2896" s="2246" t="s">
        <v>271</v>
      </c>
      <c r="C2896" s="2262"/>
      <c r="D2896" s="2146">
        <v>0</v>
      </c>
      <c r="E2896" s="2188" t="s">
        <v>6385</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ht="15"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ht="15" outlineLevel="1">
      <c r="A2898" s="2176" t="str">
        <f t="shared" si="592"/>
        <v/>
      </c>
      <c r="B2898" s="2246" t="s">
        <v>1674</v>
      </c>
      <c r="C2898" s="2262"/>
      <c r="D2898" s="2146" t="s">
        <v>5458</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ht="15"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ht="15"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ht="15" outlineLevel="1">
      <c r="A2901" s="2176" t="str">
        <f>IF(G2901&lt;&gt;0,1,"")</f>
        <v/>
      </c>
      <c r="B2901" s="2246" t="s">
        <v>1525</v>
      </c>
      <c r="C2901" s="2262"/>
      <c r="D2901" s="2146" t="s">
        <v>5570</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ht="15"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ht="15" outlineLevel="1">
      <c r="A2903" s="2176" t="str">
        <f>IF(G2903&lt;&gt;0,1,"")</f>
        <v/>
      </c>
      <c r="B2903" s="2255"/>
      <c r="C2903" s="2252">
        <f>IF(G2903&gt;0,C2889+1,C2889)</f>
        <v>0</v>
      </c>
      <c r="D2903" s="2253"/>
      <c r="E2903" s="2254" t="s">
        <v>6262</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5" outlineLevel="1">
      <c r="A2904" s="2176" t="str">
        <f>A2903</f>
        <v/>
      </c>
      <c r="B2904" s="2255"/>
      <c r="C2904" s="2252"/>
      <c r="D2904" s="2253"/>
      <c r="E2904" s="2268" t="s">
        <v>6132</v>
      </c>
      <c r="F2904" s="2252"/>
      <c r="G2904" s="2257"/>
      <c r="H2904" s="2258"/>
      <c r="I2904" s="2258"/>
      <c r="J2904" s="2258"/>
      <c r="K2904" s="2258"/>
      <c r="L2904" s="2258"/>
      <c r="M2904" s="2258"/>
      <c r="N2904" s="2258"/>
      <c r="O2904" s="2258"/>
      <c r="P2904" s="2383"/>
      <c r="Q2904" s="2260"/>
      <c r="R2904" s="2260"/>
      <c r="S2904" s="2260"/>
    </row>
    <row r="2905" spans="1:19" s="2099" customFormat="1" ht="15" outlineLevel="1">
      <c r="A2905" s="2176" t="str">
        <f>IF(G2905&lt;&gt;0,1,"")</f>
        <v/>
      </c>
      <c r="B2905" s="2246" t="s">
        <v>697</v>
      </c>
      <c r="C2905" s="2262"/>
      <c r="D2905" s="2146">
        <v>0</v>
      </c>
      <c r="E2905" s="2188" t="s">
        <v>5086</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ht="15" outlineLevel="1">
      <c r="A2906" s="2176" t="str">
        <f>IF(G2906&lt;&gt;0,1,"")</f>
        <v/>
      </c>
      <c r="B2906" s="2351" t="s">
        <v>1840</v>
      </c>
      <c r="C2906" s="2262"/>
      <c r="D2906" s="2146">
        <v>0</v>
      </c>
      <c r="E2906" s="2188" t="s">
        <v>5077</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ht="15"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ht="15" outlineLevel="1">
      <c r="A2908" s="2176" t="str">
        <f t="shared" si="600"/>
        <v/>
      </c>
      <c r="B2908" s="2351" t="s">
        <v>1477</v>
      </c>
      <c r="C2908" s="2262"/>
      <c r="D2908" s="2146">
        <v>0</v>
      </c>
      <c r="E2908" s="2188" t="s">
        <v>6345</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ht="15"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ht="15"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ht="15" outlineLevel="1">
      <c r="A2911" s="2176" t="str">
        <f t="shared" si="600"/>
        <v/>
      </c>
      <c r="B2911" s="2246" t="s">
        <v>1565</v>
      </c>
      <c r="C2911" s="2262"/>
      <c r="D2911" s="2146" t="s">
        <v>5559</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ht="15" outlineLevel="1">
      <c r="A2912" s="2176" t="str">
        <f t="shared" si="600"/>
        <v/>
      </c>
      <c r="B2912" s="2246" t="s">
        <v>1525</v>
      </c>
      <c r="C2912" s="2262"/>
      <c r="D2912" s="2146" t="s">
        <v>5570</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ht="15"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5" outlineLevel="1">
      <c r="A2914" s="2176" t="str">
        <f>A2913</f>
        <v/>
      </c>
      <c r="B2914" s="2246"/>
      <c r="C2914" s="2252"/>
      <c r="D2914" s="2253"/>
      <c r="E2914" s="2268" t="s">
        <v>6132</v>
      </c>
      <c r="F2914" s="2252"/>
      <c r="G2914" s="2263"/>
      <c r="H2914" s="2258"/>
      <c r="I2914" s="2258"/>
      <c r="J2914" s="2258"/>
      <c r="K2914" s="2258"/>
      <c r="L2914" s="2258"/>
      <c r="M2914" s="2258"/>
      <c r="N2914" s="2258"/>
      <c r="O2914" s="2258"/>
      <c r="P2914" s="2383"/>
      <c r="Q2914" s="2260"/>
      <c r="R2914" s="2260"/>
      <c r="S2914" s="2260"/>
    </row>
    <row r="2915" spans="1:19" s="2099" customFormat="1" ht="15" outlineLevel="1">
      <c r="A2915" s="2176" t="str">
        <f>IF(G2915&lt;&gt;0,1,"")</f>
        <v/>
      </c>
      <c r="B2915" s="2255" t="s">
        <v>4756</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ht="15"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ht="15" outlineLevel="1">
      <c r="A2917" s="2176" t="str">
        <f t="shared" ref="A2917:A2924" si="603">IF(G2917&lt;&gt;0,1,"")</f>
        <v/>
      </c>
      <c r="B2917" s="2255" t="s">
        <v>2156</v>
      </c>
      <c r="C2917" s="2262"/>
      <c r="D2917" s="2146" t="s">
        <v>5730</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ht="15"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ht="15"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ht="15"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ht="15" outlineLevel="1">
      <c r="A2921" s="2176" t="str">
        <f t="shared" si="603"/>
        <v/>
      </c>
      <c r="B2921" s="2246" t="s">
        <v>6</v>
      </c>
      <c r="C2921" s="2262"/>
      <c r="D2921" s="2146"/>
      <c r="E2921" s="2188" t="s">
        <v>3567</v>
      </c>
      <c r="F2921" s="2146" t="s">
        <v>5805</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ht="15"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ht="15" outlineLevel="1">
      <c r="A2923" s="2176" t="str">
        <f t="shared" si="603"/>
        <v/>
      </c>
      <c r="B2923" s="2246" t="s">
        <v>672</v>
      </c>
      <c r="C2923" s="2262"/>
      <c r="D2923" s="2146">
        <v>0</v>
      </c>
      <c r="E2923" s="2188" t="s">
        <v>5800</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ht="15" outlineLevel="1">
      <c r="A2924" s="2176" t="str">
        <f t="shared" si="603"/>
        <v/>
      </c>
      <c r="B2924" s="2246" t="s">
        <v>247</v>
      </c>
      <c r="C2924" s="2262"/>
      <c r="D2924" s="2146" t="s">
        <v>5572</v>
      </c>
      <c r="E2924" s="2188" t="s">
        <v>5573</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ht="15" outlineLevel="1">
      <c r="A2925" s="2176">
        <f>A2788</f>
        <v>0</v>
      </c>
      <c r="B2925" s="2351"/>
      <c r="C2925" s="2417"/>
      <c r="D2925" s="2418"/>
      <c r="E2925" s="2393"/>
      <c r="F2925" s="2631"/>
      <c r="G2925" s="2632"/>
      <c r="H2925" s="2631"/>
      <c r="I2925" s="2631"/>
      <c r="J2925" s="2641" t="s">
        <v>6130</v>
      </c>
      <c r="K2925" s="2641"/>
      <c r="L2925" s="2419">
        <f>SUM(L2804:L2924)</f>
        <v>0</v>
      </c>
      <c r="M2925" s="2419">
        <f>SUM(M2804:M2924)</f>
        <v>0</v>
      </c>
      <c r="N2925" s="2419">
        <f>SUM(N2804:N2924)</f>
        <v>0</v>
      </c>
      <c r="O2925" s="2419">
        <f>SUM(O2804:O2924)</f>
        <v>0</v>
      </c>
      <c r="P2925" s="2390"/>
      <c r="Q2925" s="2260"/>
      <c r="R2925" s="2260"/>
      <c r="S2925" s="2260"/>
    </row>
    <row r="2926" spans="1:19" s="2099" customFormat="1" ht="15"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ht="15"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ht="15" outlineLevel="1">
      <c r="A2929" s="2176">
        <f>A2927</f>
        <v>0</v>
      </c>
      <c r="B2929" s="2255" t="s">
        <v>6111</v>
      </c>
      <c r="C2929" s="2642" t="s">
        <v>1708</v>
      </c>
      <c r="D2929" s="2643" t="s">
        <v>2597</v>
      </c>
      <c r="E2929" s="2645" t="s">
        <v>2598</v>
      </c>
      <c r="F2929" s="2642" t="s">
        <v>2593</v>
      </c>
      <c r="G2929" s="2103" t="s">
        <v>6112</v>
      </c>
      <c r="H2929" s="2106" t="s">
        <v>6113</v>
      </c>
      <c r="I2929" s="2613"/>
      <c r="J2929" s="2613"/>
      <c r="K2929" s="2614"/>
      <c r="L2929" s="2106" t="s">
        <v>6114</v>
      </c>
      <c r="M2929" s="2613"/>
      <c r="N2929" s="2613"/>
      <c r="O2929" s="2614"/>
      <c r="P2929" s="2642" t="s">
        <v>2599</v>
      </c>
      <c r="Q2929" s="2260"/>
      <c r="R2929" s="2260"/>
      <c r="S2929" s="2260"/>
    </row>
    <row r="2930" spans="1:19" s="2099" customFormat="1" ht="15" outlineLevel="1">
      <c r="A2930" s="2176">
        <f>A2929</f>
        <v>0</v>
      </c>
      <c r="B2930" s="2255"/>
      <c r="C2930" s="2642"/>
      <c r="D2930" s="2644"/>
      <c r="E2930" s="2646"/>
      <c r="F2930" s="2642"/>
      <c r="G2930" s="2105" t="s">
        <v>2286</v>
      </c>
      <c r="H2930" s="2106" t="s">
        <v>6115</v>
      </c>
      <c r="I2930" s="2106" t="s">
        <v>6116</v>
      </c>
      <c r="J2930" s="2106" t="s">
        <v>6117</v>
      </c>
      <c r="K2930" s="2106" t="s">
        <v>6118</v>
      </c>
      <c r="L2930" s="2106" t="s">
        <v>6115</v>
      </c>
      <c r="M2930" s="2106" t="s">
        <v>6116</v>
      </c>
      <c r="N2930" s="2106" t="s">
        <v>6117</v>
      </c>
      <c r="O2930" s="2106" t="s">
        <v>6118</v>
      </c>
      <c r="P2930" s="2642"/>
      <c r="Q2930" s="2260"/>
      <c r="R2930" s="2260"/>
      <c r="S2930" s="2260"/>
    </row>
    <row r="2931" spans="1:19" s="2099" customFormat="1" ht="15"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ht="15" outlineLevel="1">
      <c r="A2932" s="2176" t="str">
        <f t="shared" ref="A2932:A2942" si="607">IF(G2932&lt;&gt;0,1,"")</f>
        <v/>
      </c>
      <c r="B2932" s="2246" t="str">
        <f>IF($F$8=15,"tr1250","tr12501")</f>
        <v>tr12501</v>
      </c>
      <c r="C2932" s="2262">
        <f>IF(G2932&gt;0,1,0)</f>
        <v>0</v>
      </c>
      <c r="D2932" s="2146" t="s">
        <v>5593</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ht="15" outlineLevel="1">
      <c r="A2933" s="2176" t="str">
        <f t="shared" si="607"/>
        <v/>
      </c>
      <c r="B2933" s="2351" t="s">
        <v>393</v>
      </c>
      <c r="C2933" s="2262">
        <f>IF(G2933&gt;0,C2932+1,C2932)</f>
        <v>0</v>
      </c>
      <c r="D2933" s="2146" t="s">
        <v>5599</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ht="15"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6284</v>
      </c>
      <c r="Q2934" s="2260"/>
      <c r="R2934" s="2260"/>
      <c r="S2934" s="2260"/>
    </row>
    <row r="2935" spans="1:19" s="2099" customFormat="1" ht="15" outlineLevel="1">
      <c r="A2935" s="2176" t="str">
        <f t="shared" si="607"/>
        <v/>
      </c>
      <c r="B2935" s="2112" t="str">
        <f>"FCO100-"&amp;$F$8</f>
        <v>FCO100-22</v>
      </c>
      <c r="C2935" s="2262">
        <f t="shared" si="612"/>
        <v>0</v>
      </c>
      <c r="D2935" s="2146" t="s">
        <v>5597</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ht="15"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ht="15" outlineLevel="1">
      <c r="A2937" s="2176" t="str">
        <f t="shared" si="607"/>
        <v/>
      </c>
      <c r="B2937" s="2255" t="str">
        <f>"LA"&amp;$F$6</f>
        <v>LA18</v>
      </c>
      <c r="C2937" s="2262">
        <f t="shared" si="612"/>
        <v>0</v>
      </c>
      <c r="D2937" s="2146" t="s">
        <v>5601</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ht="15" outlineLevel="1">
      <c r="A2938" s="2176" t="str">
        <f t="shared" si="607"/>
        <v/>
      </c>
      <c r="B2938" s="2351" t="s">
        <v>440</v>
      </c>
      <c r="C2938" s="2262">
        <f t="shared" si="612"/>
        <v>0</v>
      </c>
      <c r="D2938" s="2146">
        <v>0</v>
      </c>
      <c r="E2938" s="2188" t="s">
        <v>5689</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ht="15" outlineLevel="1">
      <c r="A2939" s="2176" t="str">
        <f t="shared" si="607"/>
        <v/>
      </c>
      <c r="B2939" s="2351" t="s">
        <v>6274</v>
      </c>
      <c r="C2939" s="2262">
        <f t="shared" si="612"/>
        <v>0</v>
      </c>
      <c r="D2939" s="2146" t="s">
        <v>1025</v>
      </c>
      <c r="E2939" s="2188" t="s">
        <v>5617</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ht="15"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ht="15" outlineLevel="1">
      <c r="A2941" s="2176" t="str">
        <f t="shared" si="607"/>
        <v/>
      </c>
      <c r="B2941" s="2246" t="str">
        <f>IF($F$8=15,"TU15","TU22")</f>
        <v>TU22</v>
      </c>
      <c r="C2941" s="2262">
        <f>IF(G2941&gt;0,C2940+1,C2940)</f>
        <v>0</v>
      </c>
      <c r="D2941" s="2146">
        <v>0</v>
      </c>
      <c r="E2941" s="2188" t="s">
        <v>5610</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ht="15" outlineLevel="1">
      <c r="A2942" s="2176" t="str">
        <f t="shared" si="607"/>
        <v/>
      </c>
      <c r="B2942" s="2561" t="s">
        <v>1837</v>
      </c>
      <c r="C2942" s="2262">
        <f>IF(G2942&gt;0,C2941+1,C2941)</f>
        <v>0</v>
      </c>
      <c r="D2942" s="2146">
        <v>0</v>
      </c>
      <c r="E2942" s="2188" t="s">
        <v>5708</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ht="15" outlineLevel="1">
      <c r="A2943" s="2176">
        <f>A2927</f>
        <v>0</v>
      </c>
      <c r="B2943" s="2255"/>
      <c r="C2943" s="2387"/>
      <c r="D2943" s="2388"/>
      <c r="E2943" s="2389"/>
      <c r="F2943" s="2387"/>
      <c r="G2943" s="2630"/>
      <c r="H2943" s="2387"/>
      <c r="I2943" s="2387"/>
      <c r="J2943" s="2111" t="s">
        <v>6120</v>
      </c>
      <c r="K2943" s="2387"/>
      <c r="L2943" s="2389">
        <f>SUM(L2932:L2942)</f>
        <v>0</v>
      </c>
      <c r="M2943" s="2389">
        <f>SUM(M2932:M2942)</f>
        <v>0</v>
      </c>
      <c r="N2943" s="2389">
        <f>SUM(N2932:N2942)</f>
        <v>0</v>
      </c>
      <c r="O2943" s="2389">
        <f>SUM(O2932:O2942)</f>
        <v>0</v>
      </c>
      <c r="P2943" s="2562"/>
      <c r="Q2943" s="2260"/>
      <c r="R2943" s="2260"/>
      <c r="S2943" s="2260"/>
    </row>
    <row r="2944" spans="1:19" s="2099" customFormat="1" ht="15"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ht="15" outlineLevel="1">
      <c r="A2945" s="2176" t="str">
        <f t="shared" ref="A2945:A2959" si="613">IF(G2945&lt;&gt;0,1,"")</f>
        <v/>
      </c>
      <c r="B2945" s="2395"/>
      <c r="C2945" s="2396">
        <f>IF(G2945&gt;0,1,0)</f>
        <v>0</v>
      </c>
      <c r="D2945" s="2146"/>
      <c r="E2945" s="2397" t="s">
        <v>6121</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ht="15" outlineLevel="1">
      <c r="A2946" s="2176" t="str">
        <f t="shared" si="613"/>
        <v/>
      </c>
      <c r="B2946" s="2351" t="s">
        <v>6285</v>
      </c>
      <c r="C2946" s="2401"/>
      <c r="D2946" s="2146"/>
      <c r="E2946" s="2402" t="s">
        <v>5275</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ht="15"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ht="15" outlineLevel="1">
      <c r="A2948" s="2176" t="str">
        <f t="shared" si="613"/>
        <v/>
      </c>
      <c r="B2948" s="2351" t="s">
        <v>2169</v>
      </c>
      <c r="C2948" s="2401"/>
      <c r="D2948" s="2146" t="s">
        <v>5358</v>
      </c>
      <c r="E2948" s="2402" t="s">
        <v>5359</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ht="15" outlineLevel="1">
      <c r="A2949" s="2176" t="str">
        <f t="shared" si="613"/>
        <v/>
      </c>
      <c r="B2949" s="2351" t="s">
        <v>2234</v>
      </c>
      <c r="C2949" s="2401"/>
      <c r="D2949" s="2146"/>
      <c r="E2949" s="2402" t="s">
        <v>5323</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ht="15" outlineLevel="1">
      <c r="A2950" s="2176" t="str">
        <f t="shared" si="613"/>
        <v/>
      </c>
      <c r="B2950" s="2351" t="s">
        <v>21</v>
      </c>
      <c r="C2950" s="2401"/>
      <c r="D2950" s="2146" t="s">
        <v>5324</v>
      </c>
      <c r="E2950" s="2402" t="s">
        <v>5325</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ht="15" outlineLevel="1">
      <c r="A2951" s="2176" t="str">
        <f t="shared" si="613"/>
        <v/>
      </c>
      <c r="B2951" s="2351"/>
      <c r="C2951" s="2252">
        <f>IF(G2951&gt;0,C2945+1,C2945)</f>
        <v>0</v>
      </c>
      <c r="D2951" s="2146"/>
      <c r="E2951" s="2397" t="s">
        <v>6286</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ht="15" outlineLevel="1">
      <c r="A2952" s="2176" t="str">
        <f t="shared" si="613"/>
        <v/>
      </c>
      <c r="B2952" s="2351" t="s">
        <v>751</v>
      </c>
      <c r="C2952" s="2401"/>
      <c r="D2952" s="2146">
        <v>0</v>
      </c>
      <c r="E2952" s="2402" t="s">
        <v>5288</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ht="15"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ht="15"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ht="15" outlineLevel="1">
      <c r="A2955" s="2176" t="str">
        <f t="shared" si="613"/>
        <v/>
      </c>
      <c r="B2955" s="2351" t="s">
        <v>2008</v>
      </c>
      <c r="C2955" s="2401"/>
      <c r="D2955" s="2146"/>
      <c r="E2955" s="2402" t="s">
        <v>5246</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ht="15"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ht="15" outlineLevel="1">
      <c r="A2957" s="2176" t="str">
        <f t="shared" si="613"/>
        <v/>
      </c>
      <c r="B2957" s="2351" t="s">
        <v>639</v>
      </c>
      <c r="C2957" s="2401"/>
      <c r="D2957" s="2146" t="s">
        <v>1747</v>
      </c>
      <c r="E2957" s="2402" t="s">
        <v>5323</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ht="15" outlineLevel="1">
      <c r="A2958" s="2176" t="str">
        <f t="shared" si="613"/>
        <v/>
      </c>
      <c r="B2958" s="2563" t="s">
        <v>1835</v>
      </c>
      <c r="C2958" s="2401"/>
      <c r="D2958" s="2146" t="s">
        <v>5470</v>
      </c>
      <c r="E2958" s="2402" t="s">
        <v>5472</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ht="15" outlineLevel="1">
      <c r="A2959" s="2176" t="str">
        <f t="shared" si="613"/>
        <v/>
      </c>
      <c r="B2959" s="2255"/>
      <c r="C2959" s="2252">
        <f>IF(G2959&gt;0,C2951+1,C2951)</f>
        <v>0</v>
      </c>
      <c r="D2959" s="2253"/>
      <c r="E2959" s="2411" t="s">
        <v>6270</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5" outlineLevel="1">
      <c r="A2960" s="2176" t="str">
        <f>A2959</f>
        <v/>
      </c>
      <c r="B2960" s="2255"/>
      <c r="C2960" s="2252"/>
      <c r="D2960" s="2253"/>
      <c r="E2960" s="2261" t="s">
        <v>6132</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ht="15"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ht="15"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ht="15"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ht="15"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ht="15" outlineLevel="1">
      <c r="A2965" s="2176" t="str">
        <f t="shared" si="618"/>
        <v/>
      </c>
      <c r="B2965" s="2255" t="s">
        <v>2242</v>
      </c>
      <c r="C2965" s="2252"/>
      <c r="D2965" s="2146" t="s">
        <v>730</v>
      </c>
      <c r="E2965" s="2188" t="s">
        <v>2440</v>
      </c>
      <c r="F2965" s="2146" t="s">
        <v>2385</v>
      </c>
      <c r="G2965" s="2263">
        <f>G2959</f>
        <v>0</v>
      </c>
      <c r="H2965" s="2353">
        <v>0</v>
      </c>
      <c r="I2965" s="2353"/>
      <c r="J2965" s="2353" t="s">
        <v>6344</v>
      </c>
      <c r="K2965" s="2353"/>
      <c r="L2965" s="2354">
        <f t="shared" si="614"/>
        <v>0</v>
      </c>
      <c r="M2965" s="2354"/>
      <c r="N2965" s="2353">
        <v>0</v>
      </c>
      <c r="O2965" s="2354"/>
      <c r="P2965" s="2259"/>
      <c r="Q2965" s="2260"/>
      <c r="R2965" s="2260"/>
      <c r="S2965" s="2260"/>
    </row>
    <row r="2966" spans="1:19" s="2099" customFormat="1" ht="15" outlineLevel="1" collapsed="1">
      <c r="A2966" s="2176" t="str">
        <f t="shared" si="618"/>
        <v/>
      </c>
      <c r="B2966" s="2255"/>
      <c r="C2966" s="2252">
        <f>IF(G2966&gt;0,C2959+1,C2959)</f>
        <v>0</v>
      </c>
      <c r="D2966" s="2253"/>
      <c r="E2966" s="2411" t="s">
        <v>6287</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5" outlineLevel="1">
      <c r="A2967" s="2176" t="str">
        <f>A2966</f>
        <v/>
      </c>
      <c r="B2967" s="2255"/>
      <c r="C2967" s="2252"/>
      <c r="D2967" s="2253"/>
      <c r="E2967" s="2261" t="s">
        <v>6132</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ht="15"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ht="15"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ht="15"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ht="15"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ht="15"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ht="15" outlineLevel="1">
      <c r="A2973" s="2176" t="str">
        <f t="shared" si="619"/>
        <v/>
      </c>
      <c r="B2973" s="2255" t="s">
        <v>516</v>
      </c>
      <c r="C2973" s="2252"/>
      <c r="D2973" s="2146" t="s">
        <v>1457</v>
      </c>
      <c r="E2973" s="2188" t="s">
        <v>5421</v>
      </c>
      <c r="F2973" s="2146" t="s">
        <v>2385</v>
      </c>
      <c r="G2973" s="2263">
        <f>G2966</f>
        <v>0</v>
      </c>
      <c r="H2973" s="2258">
        <v>0</v>
      </c>
      <c r="I2973" s="2258"/>
      <c r="J2973" s="2258" t="s">
        <v>6390</v>
      </c>
      <c r="K2973" s="2258"/>
      <c r="L2973" s="2258">
        <f t="shared" si="614"/>
        <v>0</v>
      </c>
      <c r="M2973" s="2258"/>
      <c r="N2973" s="2258">
        <v>0</v>
      </c>
      <c r="O2973" s="2258"/>
      <c r="P2973" s="2259"/>
      <c r="Q2973" s="2260"/>
      <c r="R2973" s="2260"/>
      <c r="S2973" s="2260"/>
    </row>
    <row r="2974" spans="1:19" s="2099" customFormat="1" ht="15" outlineLevel="1">
      <c r="A2974" s="2176" t="str">
        <f t="shared" si="619"/>
        <v/>
      </c>
      <c r="B2974" s="2255"/>
      <c r="C2974" s="2252">
        <f>IF(G2974&gt;0,C2966+1,C2966)</f>
        <v>0</v>
      </c>
      <c r="D2974" s="2253"/>
      <c r="E2974" s="2411" t="s">
        <v>6288</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5" outlineLevel="1">
      <c r="A2975" s="2176" t="str">
        <f>A2974</f>
        <v/>
      </c>
      <c r="B2975" s="2255"/>
      <c r="C2975" s="2252"/>
      <c r="D2975" s="2253"/>
      <c r="E2975" s="2261" t="s">
        <v>6132</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ht="15"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ht="15"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ht="15"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ht="15"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ht="15" outlineLevel="1">
      <c r="A2980" s="2176" t="str">
        <f t="shared" si="620"/>
        <v/>
      </c>
      <c r="B2980" s="2255" t="s">
        <v>988</v>
      </c>
      <c r="C2980" s="2252"/>
      <c r="D2980" s="2146">
        <v>0</v>
      </c>
      <c r="E2980" s="2188" t="s">
        <v>5269</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ht="15" outlineLevel="1">
      <c r="A2981" s="2176" t="str">
        <f t="shared" si="620"/>
        <v/>
      </c>
      <c r="B2981" s="2255" t="s">
        <v>1995</v>
      </c>
      <c r="C2981" s="2252"/>
      <c r="D2981" s="2146" t="s">
        <v>2265</v>
      </c>
      <c r="E2981" s="2188" t="s">
        <v>5378</v>
      </c>
      <c r="F2981" s="2146" t="s">
        <v>2385</v>
      </c>
      <c r="G2981" s="2263">
        <f>G2974</f>
        <v>0</v>
      </c>
      <c r="H2981" s="2258">
        <v>0</v>
      </c>
      <c r="I2981" s="2258"/>
      <c r="J2981" s="2258" t="s">
        <v>6343</v>
      </c>
      <c r="K2981" s="2258"/>
      <c r="L2981" s="2258">
        <f t="shared" si="614"/>
        <v>0</v>
      </c>
      <c r="M2981" s="2258"/>
      <c r="N2981" s="2258">
        <v>0</v>
      </c>
      <c r="O2981" s="2258"/>
      <c r="P2981" s="2259"/>
      <c r="Q2981" s="2260"/>
      <c r="R2981" s="2260"/>
      <c r="S2981" s="2260"/>
    </row>
    <row r="2982" spans="1:19" s="2099" customFormat="1" ht="15" outlineLevel="1">
      <c r="A2982" s="2176" t="str">
        <f t="shared" si="620"/>
        <v/>
      </c>
      <c r="B2982" s="2255"/>
      <c r="C2982" s="2252">
        <f>IF(G2982&gt;0,C2974+1,C2974)</f>
        <v>0</v>
      </c>
      <c r="D2982" s="2253"/>
      <c r="E2982" s="2411" t="s">
        <v>4376</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5" outlineLevel="1">
      <c r="A2983" s="2176" t="str">
        <f>A2982</f>
        <v/>
      </c>
      <c r="B2983" s="2412"/>
      <c r="C2983" s="2252"/>
      <c r="D2983" s="2253"/>
      <c r="E2983" s="2261" t="s">
        <v>6289</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ht="15"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ht="15" outlineLevel="1">
      <c r="A2985" s="2176" t="str">
        <f t="shared" si="622"/>
        <v/>
      </c>
      <c r="B2985" s="2246" t="s">
        <v>1508</v>
      </c>
      <c r="C2985" s="2252"/>
      <c r="D2985" s="2146">
        <v>0</v>
      </c>
      <c r="E2985" s="2188" t="s">
        <v>5162</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ht="15" outlineLevel="1">
      <c r="A2986" s="2176" t="str">
        <f t="shared" si="622"/>
        <v/>
      </c>
      <c r="B2986" s="2246" t="s">
        <v>1585</v>
      </c>
      <c r="C2986" s="2252"/>
      <c r="D2986" s="2146">
        <v>0</v>
      </c>
      <c r="E2986" s="2188" t="s">
        <v>5712</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ht="15"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ht="15"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ht="15" outlineLevel="1">
      <c r="A2989" s="2176" t="str">
        <f t="shared" si="622"/>
        <v/>
      </c>
      <c r="B2989" s="2246" t="s">
        <v>525</v>
      </c>
      <c r="C2989" s="2252"/>
      <c r="D2989" s="2146">
        <v>0</v>
      </c>
      <c r="E2989" s="2188" t="s">
        <v>5251</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ht="15"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ht="15" outlineLevel="1">
      <c r="A2991" s="2176">
        <f>IF(G2991=0,0,1)</f>
        <v>0</v>
      </c>
      <c r="B2991" s="2246" t="s">
        <v>794</v>
      </c>
      <c r="C2991" s="2262"/>
      <c r="D2991" s="2146" t="s">
        <v>5335</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ht="15" outlineLevel="1">
      <c r="A2992" s="2176">
        <f>IF(G2992=0,0,1)</f>
        <v>0</v>
      </c>
      <c r="B2992" s="2246" t="s">
        <v>798</v>
      </c>
      <c r="C2992" s="2262"/>
      <c r="D2992" s="2146" t="s">
        <v>5324</v>
      </c>
      <c r="E2992" s="2188" t="s">
        <v>5336</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ht="15" outlineLevel="1">
      <c r="A2993" s="2176">
        <f>IF(G2993=0,0,1)</f>
        <v>0</v>
      </c>
      <c r="B2993" s="2246" t="s">
        <v>902</v>
      </c>
      <c r="C2993" s="2262"/>
      <c r="D2993" s="2146" t="s">
        <v>5350</v>
      </c>
      <c r="E2993" s="2188" t="s">
        <v>5351</v>
      </c>
      <c r="F2993" s="2495" t="s">
        <v>856</v>
      </c>
      <c r="G2993" s="2414">
        <f>G2985</f>
        <v>0</v>
      </c>
      <c r="H2993" s="2258">
        <v>0</v>
      </c>
      <c r="I2993" s="2258"/>
      <c r="J2993" s="2258" t="s">
        <v>6311</v>
      </c>
      <c r="K2993" s="2258">
        <v>0</v>
      </c>
      <c r="L2993" s="2258">
        <f>H2993*$G2993</f>
        <v>0</v>
      </c>
      <c r="M2993" s="2258">
        <f>I2993*$G2993</f>
        <v>0</v>
      </c>
      <c r="N2993" s="2258">
        <v>0</v>
      </c>
      <c r="O2993" s="2258">
        <f>K2993*$G2993</f>
        <v>0</v>
      </c>
      <c r="P2993" s="2259"/>
      <c r="Q2993" s="2260"/>
      <c r="R2993" s="2260"/>
      <c r="S2993" s="2260"/>
    </row>
    <row r="2994" spans="1:19" s="2099" customFormat="1" ht="15" outlineLevel="1">
      <c r="A2994" s="2176" t="str">
        <f>IF(G2994&lt;&gt;0,1,"")</f>
        <v/>
      </c>
      <c r="B2994" s="2246" t="s">
        <v>1437</v>
      </c>
      <c r="C2994" s="2252"/>
      <c r="D2994" s="2146" t="s">
        <v>5345</v>
      </c>
      <c r="E2994" s="2188" t="s">
        <v>5346</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ht="15" outlineLevel="1">
      <c r="A2995" s="2176" t="str">
        <f>IF(G2995&lt;&gt;0,1,"")</f>
        <v/>
      </c>
      <c r="B2995" s="2255"/>
      <c r="C2995" s="2252">
        <f>IF(G2995&gt;0,C2982+1,C2982)</f>
        <v>0</v>
      </c>
      <c r="D2995" s="2253"/>
      <c r="E2995" s="2370" t="s">
        <v>6290</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5" outlineLevel="1">
      <c r="A2996" s="2176" t="str">
        <f>A2995</f>
        <v/>
      </c>
      <c r="B2996" s="2255"/>
      <c r="C2996" s="2252"/>
      <c r="D2996" s="2253"/>
      <c r="E2996" s="2261" t="s">
        <v>6132</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ht="15" outlineLevel="1">
      <c r="A2997" s="2176" t="str">
        <f>IF(G2997&lt;&gt;0,1,"")</f>
        <v/>
      </c>
      <c r="B2997" s="2255" t="s">
        <v>6291</v>
      </c>
      <c r="C2997" s="2262"/>
      <c r="D2997" s="2146" t="s">
        <v>5632</v>
      </c>
      <c r="E2997" s="2188" t="s">
        <v>5636</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ht="15" outlineLevel="1">
      <c r="A2998" s="2176" t="str">
        <f>IF(G2998&lt;&gt;0,1,"")</f>
        <v/>
      </c>
      <c r="B2998" s="2255" t="s">
        <v>289</v>
      </c>
      <c r="C2998" s="2262"/>
      <c r="D2998" s="2146">
        <v>0</v>
      </c>
      <c r="E2998" s="2188" t="s">
        <v>5711</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ht="15"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5" outlineLevel="1">
      <c r="A3000" s="2176" t="str">
        <f>A2999</f>
        <v/>
      </c>
      <c r="B3000" s="2255"/>
      <c r="C3000" s="2252"/>
      <c r="D3000" s="2253"/>
      <c r="E3000" s="2261" t="s">
        <v>6132</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ht="15" outlineLevel="1">
      <c r="A3001" s="2176" t="str">
        <f t="shared" ref="A3001:A3009" si="628">IF(G3001&lt;&gt;0,1,"")</f>
        <v/>
      </c>
      <c r="B3001" s="2548" t="s">
        <v>752</v>
      </c>
      <c r="C3001" s="2262"/>
      <c r="D3001" s="2146">
        <v>0</v>
      </c>
      <c r="E3001" s="2353" t="s">
        <v>6391</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ht="15" outlineLevel="1">
      <c r="A3002" s="2176" t="str">
        <f t="shared" si="628"/>
        <v/>
      </c>
      <c r="B3002" s="2548" t="s">
        <v>867</v>
      </c>
      <c r="C3002" s="2262"/>
      <c r="D3002" s="2146">
        <v>0</v>
      </c>
      <c r="E3002" s="2353" t="s">
        <v>6392</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ht="15" outlineLevel="1">
      <c r="A3003" s="2176" t="str">
        <f t="shared" si="628"/>
        <v/>
      </c>
      <c r="B3003" s="2548" t="s">
        <v>1675</v>
      </c>
      <c r="C3003" s="2262"/>
      <c r="D3003" s="2146">
        <v>0</v>
      </c>
      <c r="E3003" s="2353" t="s">
        <v>6376</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ht="15" outlineLevel="1">
      <c r="A3004" s="2176" t="str">
        <f t="shared" si="628"/>
        <v/>
      </c>
      <c r="B3004" s="2548" t="s">
        <v>1676</v>
      </c>
      <c r="C3004" s="2262"/>
      <c r="D3004" s="2146" t="s">
        <v>5289</v>
      </c>
      <c r="E3004" s="2353" t="s">
        <v>6377</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ht="15"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ht="15" outlineLevel="1">
      <c r="A3006" s="2176" t="str">
        <f t="shared" si="628"/>
        <v/>
      </c>
      <c r="B3006" s="2548" t="s">
        <v>1678</v>
      </c>
      <c r="C3006" s="2262"/>
      <c r="D3006" s="2146" t="s">
        <v>5332</v>
      </c>
      <c r="E3006" s="2353" t="s">
        <v>6378</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ht="15" outlineLevel="1">
      <c r="A3007" s="2176" t="str">
        <f t="shared" si="628"/>
        <v/>
      </c>
      <c r="B3007" s="2548" t="s">
        <v>144</v>
      </c>
      <c r="C3007" s="2262"/>
      <c r="D3007" s="2146" t="s">
        <v>5326</v>
      </c>
      <c r="E3007" s="2353" t="s">
        <v>6379</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ht="15" outlineLevel="1">
      <c r="A3008" s="2176" t="str">
        <f t="shared" si="628"/>
        <v/>
      </c>
      <c r="B3008" s="2548" t="s">
        <v>529</v>
      </c>
      <c r="C3008" s="2262"/>
      <c r="D3008" s="2146" t="s">
        <v>5331</v>
      </c>
      <c r="E3008" s="2353" t="s">
        <v>6393</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ht="15"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5" outlineLevel="1">
      <c r="A3010" s="2176" t="str">
        <f>A3009</f>
        <v/>
      </c>
      <c r="B3010" s="2255"/>
      <c r="C3010" s="2252"/>
      <c r="D3010" s="2253"/>
      <c r="E3010" s="2261" t="s">
        <v>6132</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ht="15" outlineLevel="1">
      <c r="A3011" s="2176" t="str">
        <f t="shared" ref="A3011:A3018" si="629">IF(G3011&lt;&gt;0,1,"")</f>
        <v/>
      </c>
      <c r="B3011" s="2255" t="s">
        <v>623</v>
      </c>
      <c r="C3011" s="2262"/>
      <c r="D3011" s="2146" t="s">
        <v>5304</v>
      </c>
      <c r="E3011" s="2188" t="s">
        <v>5305</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ht="15"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ht="15"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ht="15"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ht="15"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ht="15" outlineLevel="1">
      <c r="A3016" s="2176" t="str">
        <f t="shared" si="629"/>
        <v/>
      </c>
      <c r="B3016" s="2255" t="s">
        <v>1410</v>
      </c>
      <c r="C3016" s="2252"/>
      <c r="D3016" s="2146" t="s">
        <v>5340</v>
      </c>
      <c r="E3016" s="2188" t="s">
        <v>5341</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ht="15" outlineLevel="1">
      <c r="A3017" s="2176" t="str">
        <f t="shared" si="629"/>
        <v/>
      </c>
      <c r="B3017" s="2255" t="s">
        <v>289</v>
      </c>
      <c r="C3017" s="2262"/>
      <c r="D3017" s="2146">
        <v>0</v>
      </c>
      <c r="E3017" s="2188" t="s">
        <v>5711</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ht="15"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5" outlineLevel="1">
      <c r="A3019" s="2176" t="str">
        <f>A3018</f>
        <v/>
      </c>
      <c r="B3019" s="2255"/>
      <c r="C3019" s="2252"/>
      <c r="D3019" s="2253"/>
      <c r="E3019" s="2268" t="s">
        <v>6132</v>
      </c>
      <c r="F3019" s="2252"/>
      <c r="G3019" s="2257"/>
      <c r="H3019" s="2258"/>
      <c r="I3019" s="2258"/>
      <c r="J3019" s="2258"/>
      <c r="K3019" s="2258"/>
      <c r="L3019" s="2258"/>
      <c r="M3019" s="2258"/>
      <c r="N3019" s="2258"/>
      <c r="O3019" s="2258"/>
      <c r="P3019" s="2259"/>
      <c r="Q3019" s="2260"/>
      <c r="R3019" s="2260"/>
      <c r="S3019" s="2260"/>
    </row>
    <row r="3020" spans="1:19" s="2099" customFormat="1" ht="15" outlineLevel="1">
      <c r="A3020" s="2176" t="str">
        <f>IF(G3020&lt;&gt;0,1,"")</f>
        <v/>
      </c>
      <c r="B3020" s="2246" t="s">
        <v>470</v>
      </c>
      <c r="C3020" s="2262"/>
      <c r="D3020" s="2146">
        <v>0</v>
      </c>
      <c r="E3020" s="2188" t="s">
        <v>6394</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ht="15" outlineLevel="1">
      <c r="A3021" s="2176" t="str">
        <f t="shared" ref="A3021:A3030" si="630">IF(G3021&lt;&gt;0,1,"")</f>
        <v/>
      </c>
      <c r="B3021" s="2246" t="s">
        <v>271</v>
      </c>
      <c r="C3021" s="2262"/>
      <c r="D3021" s="2146">
        <v>0</v>
      </c>
      <c r="E3021" s="2188" t="s">
        <v>6395</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ht="15"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ht="15" outlineLevel="1">
      <c r="A3023" s="2176" t="str">
        <f t="shared" si="630"/>
        <v/>
      </c>
      <c r="B3023" s="2246" t="s">
        <v>470</v>
      </c>
      <c r="C3023" s="2262"/>
      <c r="D3023" s="2146">
        <v>0</v>
      </c>
      <c r="E3023" s="2188" t="s">
        <v>6384</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ht="15" outlineLevel="1">
      <c r="A3024" s="2176" t="str">
        <f t="shared" si="630"/>
        <v/>
      </c>
      <c r="B3024" s="2246" t="s">
        <v>271</v>
      </c>
      <c r="C3024" s="2262"/>
      <c r="D3024" s="2146">
        <v>0</v>
      </c>
      <c r="E3024" s="2188" t="s">
        <v>6385</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ht="15"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ht="15" outlineLevel="1">
      <c r="A3026" s="2176" t="str">
        <f t="shared" si="630"/>
        <v/>
      </c>
      <c r="B3026" s="2246" t="s">
        <v>1674</v>
      </c>
      <c r="C3026" s="2262"/>
      <c r="D3026" s="2146" t="s">
        <v>5458</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ht="15" outlineLevel="1">
      <c r="A3027" s="2176" t="str">
        <f t="shared" si="630"/>
        <v/>
      </c>
      <c r="B3027" s="2246" t="s">
        <v>1182</v>
      </c>
      <c r="C3027" s="2262"/>
      <c r="D3027" s="2146" t="s">
        <v>5551</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ht="15" outlineLevel="1">
      <c r="A3028" s="2176" t="str">
        <f t="shared" si="630"/>
        <v/>
      </c>
      <c r="B3028" s="2246" t="s">
        <v>1525</v>
      </c>
      <c r="C3028" s="2262"/>
      <c r="D3028" s="2146" t="s">
        <v>5570</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ht="15"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ht="15"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5" outlineLevel="1">
      <c r="A3031" s="2176" t="str">
        <f>A3030</f>
        <v/>
      </c>
      <c r="B3031" s="2255"/>
      <c r="C3031" s="2252"/>
      <c r="D3031" s="2253"/>
      <c r="E3031" s="2268" t="s">
        <v>6132</v>
      </c>
      <c r="F3031" s="2252"/>
      <c r="G3031" s="2257"/>
      <c r="H3031" s="2258"/>
      <c r="I3031" s="2258"/>
      <c r="J3031" s="2258"/>
      <c r="K3031" s="2258"/>
      <c r="L3031" s="2258"/>
      <c r="M3031" s="2258"/>
      <c r="N3031" s="2258"/>
      <c r="O3031" s="2258"/>
      <c r="P3031" s="2259"/>
      <c r="Q3031" s="2260"/>
      <c r="R3031" s="2260"/>
      <c r="S3031" s="2260"/>
    </row>
    <row r="3032" spans="1:19" s="2099" customFormat="1" ht="15" outlineLevel="1">
      <c r="A3032" s="2176" t="str">
        <f t="shared" ref="A3032:A3037" si="635">IF(G3032&lt;&gt;0,1,"")</f>
        <v/>
      </c>
      <c r="B3032" s="2246" t="s">
        <v>697</v>
      </c>
      <c r="C3032" s="2262"/>
      <c r="D3032" s="2146">
        <v>0</v>
      </c>
      <c r="E3032" s="2188" t="s">
        <v>5086</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ht="15"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ht="15"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ht="15" outlineLevel="1">
      <c r="A3035" s="2176" t="str">
        <f t="shared" si="635"/>
        <v/>
      </c>
      <c r="B3035" s="2351" t="s">
        <v>1477</v>
      </c>
      <c r="C3035" s="2262"/>
      <c r="D3035" s="2146">
        <v>0</v>
      </c>
      <c r="E3035" s="2188" t="s">
        <v>6345</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ht="15"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ht="15"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ht="15" outlineLevel="1">
      <c r="A3038" s="2176" t="str">
        <f>IF(G3038&lt;&gt;0,1,"")</f>
        <v/>
      </c>
      <c r="B3038" s="2246" t="s">
        <v>347</v>
      </c>
      <c r="C3038" s="2262"/>
      <c r="D3038" s="2146" t="s">
        <v>5559</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ht="15" outlineLevel="1">
      <c r="A3039" s="2176" t="str">
        <f>IF(G3039&lt;&gt;0,1,"")</f>
        <v/>
      </c>
      <c r="B3039" s="2246"/>
      <c r="C3039" s="2252">
        <f>IF(G3039&gt;0,C3030+1,C3030)</f>
        <v>0</v>
      </c>
      <c r="D3039" s="2253"/>
      <c r="E3039" s="2254" t="s">
        <v>6292</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5" outlineLevel="1">
      <c r="A3040" s="2176" t="str">
        <f>A3039</f>
        <v/>
      </c>
      <c r="B3040" s="2246"/>
      <c r="C3040" s="2252"/>
      <c r="D3040" s="2253"/>
      <c r="E3040" s="2268" t="s">
        <v>6132</v>
      </c>
      <c r="F3040" s="2252"/>
      <c r="G3040" s="2263"/>
      <c r="H3040" s="2258"/>
      <c r="I3040" s="2258"/>
      <c r="J3040" s="2258"/>
      <c r="K3040" s="2258"/>
      <c r="L3040" s="2258"/>
      <c r="M3040" s="2258"/>
      <c r="N3040" s="2258"/>
      <c r="O3040" s="2258"/>
      <c r="P3040" s="2259"/>
      <c r="Q3040" s="2260"/>
      <c r="R3040" s="2260"/>
      <c r="S3040" s="2260"/>
    </row>
    <row r="3041" spans="1:19" s="2099" customFormat="1" ht="15"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ht="15" outlineLevel="1">
      <c r="A3042" s="2176" t="str">
        <f t="shared" si="639"/>
        <v/>
      </c>
      <c r="B3042" s="2255" t="s">
        <v>448</v>
      </c>
      <c r="C3042" s="2262"/>
      <c r="D3042" s="2146" t="s">
        <v>5731</v>
      </c>
      <c r="E3042" s="2188" t="s">
        <v>6396</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ht="15" outlineLevel="1">
      <c r="A3043" s="2176" t="str">
        <f t="shared" si="639"/>
        <v/>
      </c>
      <c r="B3043" s="2255" t="s">
        <v>1072</v>
      </c>
      <c r="C3043" s="2262"/>
      <c r="D3043" s="2146">
        <v>0</v>
      </c>
      <c r="E3043" s="2188" t="s">
        <v>6397</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ht="15"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ht="15" outlineLevel="1">
      <c r="A3045" s="2176" t="str">
        <f t="shared" si="639"/>
        <v/>
      </c>
      <c r="B3045" s="2246" t="s">
        <v>731</v>
      </c>
      <c r="C3045" s="2262"/>
      <c r="D3045" s="2146">
        <v>0</v>
      </c>
      <c r="E3045" s="2188" t="s">
        <v>5257</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ht="15" outlineLevel="1">
      <c r="A3046" s="2176" t="str">
        <f t="shared" si="639"/>
        <v/>
      </c>
      <c r="B3046" s="2255" t="s">
        <v>1043</v>
      </c>
      <c r="C3046" s="2262"/>
      <c r="D3046" s="2146">
        <v>0</v>
      </c>
      <c r="E3046" s="2188" t="s">
        <v>5797</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ht="15"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ht="15" outlineLevel="1">
      <c r="A3048" s="2176" t="str">
        <f t="shared" si="639"/>
        <v/>
      </c>
      <c r="B3048" s="2255" t="s">
        <v>2168</v>
      </c>
      <c r="C3048" s="2262"/>
      <c r="D3048" s="2146">
        <v>0</v>
      </c>
      <c r="E3048" s="2188" t="s">
        <v>6398</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ht="15" outlineLevel="1">
      <c r="A3049" s="2176" t="str">
        <f t="shared" si="639"/>
        <v/>
      </c>
      <c r="B3049" s="2255" t="s">
        <v>726</v>
      </c>
      <c r="C3049" s="2262"/>
      <c r="D3049" s="2146">
        <v>0</v>
      </c>
      <c r="E3049" s="2188" t="s">
        <v>6399</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ht="15" outlineLevel="1">
      <c r="A3050" s="2176" t="str">
        <f>IF(G3050&lt;&gt;0,1,"")</f>
        <v/>
      </c>
      <c r="B3050" s="2246" t="s">
        <v>6</v>
      </c>
      <c r="C3050" s="2262"/>
      <c r="D3050" s="2146"/>
      <c r="E3050" s="2188" t="s">
        <v>6400</v>
      </c>
      <c r="F3050" s="2146" t="s">
        <v>5805</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ht="15"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ht="15" outlineLevel="1">
      <c r="A3052" s="2176" t="str">
        <f>IF(G3052&lt;&gt;0,1,"")</f>
        <v/>
      </c>
      <c r="B3052" s="2246" t="s">
        <v>672</v>
      </c>
      <c r="C3052" s="2262"/>
      <c r="D3052" s="2146">
        <v>0</v>
      </c>
      <c r="E3052" s="2188" t="s">
        <v>5800</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ht="15" outlineLevel="1">
      <c r="A3053" s="2176" t="str">
        <f>IF(G3053&lt;&gt;0,1,"")</f>
        <v/>
      </c>
      <c r="B3053" s="2246" t="s">
        <v>247</v>
      </c>
      <c r="C3053" s="2565"/>
      <c r="D3053" s="2146" t="s">
        <v>5572</v>
      </c>
      <c r="E3053" s="2188" t="s">
        <v>6401</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ht="15" outlineLevel="1">
      <c r="A3054" s="2176" t="str">
        <f>IF(G3054&lt;&gt;0,1,"")</f>
        <v/>
      </c>
      <c r="B3054" s="2246"/>
      <c r="C3054" s="2252">
        <f>IF(G3054&gt;0,C3039+1,C3039)</f>
        <v>0</v>
      </c>
      <c r="D3054" s="2253"/>
      <c r="E3054" s="2254" t="s">
        <v>6252</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5" outlineLevel="1">
      <c r="A3055" s="2176" t="str">
        <f>A3054</f>
        <v/>
      </c>
      <c r="B3055" s="2494"/>
      <c r="C3055" s="2252"/>
      <c r="D3055" s="2253"/>
      <c r="E3055" s="2268" t="s">
        <v>6132</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ht="15"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ht="15" outlineLevel="1">
      <c r="A3057" s="2176">
        <f>IF(G3057=0,0,1)</f>
        <v>0</v>
      </c>
      <c r="B3057" s="2246" t="s">
        <v>6253</v>
      </c>
      <c r="C3057" s="2262"/>
      <c r="D3057" s="2146">
        <v>0</v>
      </c>
      <c r="E3057" s="2353" t="s">
        <v>5052</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ht="15" outlineLevel="1">
      <c r="A3058" s="2176">
        <f>IF(G3058=0,0,1)</f>
        <v>0</v>
      </c>
      <c r="B3058" s="2246" t="s">
        <v>6254</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ht="15" outlineLevel="1">
      <c r="A3059" s="2176">
        <f t="shared" ref="A3059:A3076" si="645">IF(G3059=0,0,1)</f>
        <v>0</v>
      </c>
      <c r="B3059" s="2255" t="s">
        <v>246</v>
      </c>
      <c r="C3059" s="2383"/>
      <c r="D3059" s="2146">
        <v>0</v>
      </c>
      <c r="E3059" s="2353" t="s">
        <v>5868</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ht="15"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ht="15"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ht="15"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ht="15"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ht="15"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ht="15"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ht="15"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ht="15"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ht="15" outlineLevel="1">
      <c r="A3068" s="2176">
        <f t="shared" si="645"/>
        <v>0</v>
      </c>
      <c r="B3068" s="2246" t="s">
        <v>672</v>
      </c>
      <c r="C3068" s="2262"/>
      <c r="D3068" s="2146">
        <v>0</v>
      </c>
      <c r="E3068" s="2353" t="s">
        <v>5800</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ht="15"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ht="15"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ht="15" outlineLevel="1">
      <c r="A3071" s="2176">
        <f t="shared" si="645"/>
        <v>0</v>
      </c>
      <c r="B3071" s="2246" t="s">
        <v>319</v>
      </c>
      <c r="C3071" s="2262"/>
      <c r="D3071" s="2146">
        <v>0</v>
      </c>
      <c r="E3071" s="2353" t="s">
        <v>5268</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ht="15" outlineLevel="1">
      <c r="A3072" s="2176">
        <f t="shared" si="645"/>
        <v>0</v>
      </c>
      <c r="B3072" s="2246" t="s">
        <v>1915</v>
      </c>
      <c r="C3072" s="2262"/>
      <c r="D3072" s="2146" t="s">
        <v>5654</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ht="15" outlineLevel="1">
      <c r="A3073" s="2176">
        <f t="shared" si="645"/>
        <v>0</v>
      </c>
      <c r="B3073" s="2246" t="s">
        <v>6</v>
      </c>
      <c r="C3073" s="2262"/>
      <c r="D3073" s="2146">
        <v>0</v>
      </c>
      <c r="E3073" s="2353" t="s">
        <v>3567</v>
      </c>
      <c r="F3073" s="2495" t="s">
        <v>5805</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ht="15"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ht="15"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ht="15" outlineLevel="1">
      <c r="A3076" s="2176">
        <f t="shared" si="645"/>
        <v>0</v>
      </c>
      <c r="B3076" s="2246" t="s">
        <v>6254</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ht="15" outlineLevel="1">
      <c r="A3077" s="2176">
        <f>A2927</f>
        <v>0</v>
      </c>
      <c r="B3077" s="2351"/>
      <c r="C3077" s="2566"/>
      <c r="D3077" s="2418"/>
      <c r="E3077" s="2393"/>
      <c r="F3077" s="2631"/>
      <c r="G3077" s="2632"/>
      <c r="H3077" s="2631"/>
      <c r="I3077" s="2631"/>
      <c r="J3077" s="2641" t="s">
        <v>6130</v>
      </c>
      <c r="K3077" s="2641"/>
      <c r="L3077" s="2419">
        <f>SUM(L2946:L3076)</f>
        <v>0</v>
      </c>
      <c r="M3077" s="2419">
        <f>SUM(M2946:M3076)</f>
        <v>0</v>
      </c>
      <c r="N3077" s="2419">
        <f>SUM(N2946:N3076)</f>
        <v>0</v>
      </c>
      <c r="O3077" s="2419">
        <f>SUM(O2946:O3076)</f>
        <v>0</v>
      </c>
      <c r="P3077" s="2562"/>
      <c r="Q3077" s="2260"/>
      <c r="R3077" s="2260"/>
      <c r="S3077" s="2260"/>
    </row>
    <row r="3078" spans="1:19" s="2099" customFormat="1" ht="15"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ht="15"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ht="15" outlineLevel="1">
      <c r="A3081" s="2176">
        <f>A3079</f>
        <v>0</v>
      </c>
      <c r="B3081" s="2255" t="s">
        <v>6111</v>
      </c>
      <c r="C3081" s="2642" t="s">
        <v>1708</v>
      </c>
      <c r="D3081" s="2643" t="s">
        <v>2597</v>
      </c>
      <c r="E3081" s="2645" t="s">
        <v>2598</v>
      </c>
      <c r="F3081" s="2642" t="s">
        <v>2593</v>
      </c>
      <c r="G3081" s="2103" t="s">
        <v>6112</v>
      </c>
      <c r="H3081" s="2106" t="s">
        <v>6113</v>
      </c>
      <c r="I3081" s="2613"/>
      <c r="J3081" s="2613"/>
      <c r="K3081" s="2614"/>
      <c r="L3081" s="2106" t="s">
        <v>6114</v>
      </c>
      <c r="M3081" s="2613"/>
      <c r="N3081" s="2613"/>
      <c r="O3081" s="2614"/>
      <c r="P3081" s="2642" t="s">
        <v>2599</v>
      </c>
      <c r="Q3081" s="2260"/>
      <c r="R3081" s="2260"/>
      <c r="S3081" s="2260"/>
    </row>
    <row r="3082" spans="1:19" s="2099" customFormat="1" ht="15" outlineLevel="1">
      <c r="A3082" s="2176">
        <f>A3081</f>
        <v>0</v>
      </c>
      <c r="B3082" s="2255"/>
      <c r="C3082" s="2642"/>
      <c r="D3082" s="2644"/>
      <c r="E3082" s="2646"/>
      <c r="F3082" s="2642"/>
      <c r="G3082" s="2105" t="s">
        <v>2286</v>
      </c>
      <c r="H3082" s="2106" t="s">
        <v>6115</v>
      </c>
      <c r="I3082" s="2106" t="s">
        <v>6116</v>
      </c>
      <c r="J3082" s="2106" t="s">
        <v>6117</v>
      </c>
      <c r="K3082" s="2106" t="s">
        <v>6118</v>
      </c>
      <c r="L3082" s="2106" t="s">
        <v>6115</v>
      </c>
      <c r="M3082" s="2106" t="s">
        <v>6116</v>
      </c>
      <c r="N3082" s="2106" t="s">
        <v>6117</v>
      </c>
      <c r="O3082" s="2106" t="s">
        <v>6118</v>
      </c>
      <c r="P3082" s="2642"/>
      <c r="Q3082" s="2260"/>
      <c r="R3082" s="2260"/>
      <c r="S3082" s="2260"/>
    </row>
    <row r="3083" spans="1:19" s="2099" customFormat="1" ht="15"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ht="15" outlineLevel="1">
      <c r="A3084" s="2176" t="str">
        <f t="shared" ref="A3084:A3094" si="646">IF(G3084&lt;&gt;0,1,"")</f>
        <v/>
      </c>
      <c r="B3084" s="2246" t="str">
        <f>IF($F$8=15,"tr1500","tr15001")</f>
        <v>tr15001</v>
      </c>
      <c r="C3084" s="2262">
        <f>IF(G3084&gt;0,1,0)</f>
        <v>0</v>
      </c>
      <c r="D3084" s="2146" t="s">
        <v>5593</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ht="15" outlineLevel="1">
      <c r="A3085" s="2176" t="str">
        <f t="shared" si="646"/>
        <v/>
      </c>
      <c r="B3085" s="2351" t="s">
        <v>393</v>
      </c>
      <c r="C3085" s="2262">
        <f>IF(G3085&gt;0,C3084+1,C3084)</f>
        <v>0</v>
      </c>
      <c r="D3085" s="2146" t="s">
        <v>5599</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ht="15"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6284</v>
      </c>
      <c r="Q3086" s="2260"/>
      <c r="R3086" s="2260"/>
      <c r="S3086" s="2260"/>
    </row>
    <row r="3087" spans="1:19" s="2099" customFormat="1" ht="15" outlineLevel="1">
      <c r="A3087" s="2176" t="str">
        <f t="shared" si="646"/>
        <v/>
      </c>
      <c r="B3087" s="2112" t="str">
        <f>"FCO100-"&amp;$F$8</f>
        <v>FCO100-22</v>
      </c>
      <c r="C3087" s="2262">
        <f t="shared" si="651"/>
        <v>0</v>
      </c>
      <c r="D3087" s="2146" t="s">
        <v>5597</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ht="15"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ht="15" outlineLevel="1">
      <c r="A3089" s="2176" t="str">
        <f t="shared" si="646"/>
        <v/>
      </c>
      <c r="B3089" s="2255" t="str">
        <f>"LA"&amp;$F$6</f>
        <v>LA18</v>
      </c>
      <c r="C3089" s="2262">
        <f t="shared" si="651"/>
        <v>0</v>
      </c>
      <c r="D3089" s="2146" t="s">
        <v>5601</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ht="15"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ht="15" outlineLevel="1">
      <c r="A3091" s="2176" t="str">
        <f t="shared" si="646"/>
        <v/>
      </c>
      <c r="B3091" s="2351" t="s">
        <v>6293</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ht="15"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ht="15" outlineLevel="1">
      <c r="A3093" s="2176" t="str">
        <f t="shared" si="646"/>
        <v/>
      </c>
      <c r="B3093" s="2246" t="str">
        <f>IF($F$8=15,"TU15","TU22")</f>
        <v>TU22</v>
      </c>
      <c r="C3093" s="2262">
        <f>IF(G3093&gt;0,C3092+1,C3092)</f>
        <v>0</v>
      </c>
      <c r="D3093" s="2146">
        <v>0</v>
      </c>
      <c r="E3093" s="2188" t="s">
        <v>5610</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ht="15" outlineLevel="1">
      <c r="A3094" s="2176" t="str">
        <f t="shared" si="646"/>
        <v/>
      </c>
      <c r="B3094" s="2561" t="s">
        <v>1837</v>
      </c>
      <c r="C3094" s="2262">
        <f>IF(G3094&gt;0,C3093+1,C3093)</f>
        <v>0</v>
      </c>
      <c r="D3094" s="2146">
        <v>0</v>
      </c>
      <c r="E3094" s="2188" t="s">
        <v>5708</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ht="15" outlineLevel="1">
      <c r="A3095" s="2176">
        <f>A3079</f>
        <v>0</v>
      </c>
      <c r="B3095" s="2255"/>
      <c r="C3095" s="2387"/>
      <c r="D3095" s="2388"/>
      <c r="E3095" s="2389"/>
      <c r="F3095" s="2387"/>
      <c r="G3095" s="2630"/>
      <c r="H3095" s="2387"/>
      <c r="I3095" s="2387"/>
      <c r="J3095" s="2111" t="s">
        <v>6120</v>
      </c>
      <c r="K3095" s="2387"/>
      <c r="L3095" s="2389">
        <f>SUM(L3084:L3094)</f>
        <v>0</v>
      </c>
      <c r="M3095" s="2389">
        <f>SUM(M3084:M3094)</f>
        <v>0</v>
      </c>
      <c r="N3095" s="2389">
        <f>SUM(N3084:N3094)</f>
        <v>0</v>
      </c>
      <c r="O3095" s="2389">
        <f>SUM(O3084:O3094)</f>
        <v>0</v>
      </c>
      <c r="P3095" s="2562"/>
      <c r="Q3095" s="2260"/>
      <c r="R3095" s="2260"/>
      <c r="S3095" s="2260"/>
    </row>
    <row r="3096" spans="1:19" s="2099" customFormat="1" ht="15"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ht="15" outlineLevel="1">
      <c r="A3097" s="2176" t="str">
        <f t="shared" ref="A3097:A3110" si="652">IF(G3097&lt;&gt;0,1,"")</f>
        <v/>
      </c>
      <c r="B3097" s="2395"/>
      <c r="C3097" s="2396">
        <f>IF(G3097&gt;0,1,0)</f>
        <v>0</v>
      </c>
      <c r="D3097" s="2146"/>
      <c r="E3097" s="2397" t="s">
        <v>6216</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ht="15"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ht="15"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ht="15" outlineLevel="1">
      <c r="A3100" s="2176" t="str">
        <f t="shared" si="652"/>
        <v/>
      </c>
      <c r="B3100" s="2351" t="s">
        <v>1612</v>
      </c>
      <c r="C3100" s="2401"/>
      <c r="D3100" s="2146" t="s">
        <v>5356</v>
      </c>
      <c r="E3100" s="2402" t="s">
        <v>5357</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ht="15" outlineLevel="1">
      <c r="A3101" s="2176" t="str">
        <f t="shared" si="652"/>
        <v/>
      </c>
      <c r="B3101" s="2351" t="s">
        <v>2234</v>
      </c>
      <c r="C3101" s="2401"/>
      <c r="D3101" s="2146"/>
      <c r="E3101" s="2402" t="s">
        <v>5323</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ht="15" outlineLevel="1">
      <c r="A3102" s="2176" t="str">
        <f t="shared" si="652"/>
        <v/>
      </c>
      <c r="B3102" s="2351" t="s">
        <v>21</v>
      </c>
      <c r="C3102" s="2401"/>
      <c r="D3102" s="2146" t="s">
        <v>5324</v>
      </c>
      <c r="E3102" s="2402" t="s">
        <v>5325</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ht="15" outlineLevel="1">
      <c r="A3103" s="2176" t="str">
        <f t="shared" si="652"/>
        <v/>
      </c>
      <c r="B3103" s="2351"/>
      <c r="C3103" s="2252">
        <f>IF(G3103&gt;0,C3097+1,C3097)</f>
        <v>0</v>
      </c>
      <c r="D3103" s="2146"/>
      <c r="E3103" s="2397" t="s">
        <v>6294</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ht="15" outlineLevel="1">
      <c r="A3104" s="2176" t="str">
        <f t="shared" si="652"/>
        <v/>
      </c>
      <c r="B3104" s="2351" t="s">
        <v>751</v>
      </c>
      <c r="C3104" s="2401"/>
      <c r="D3104" s="2146">
        <v>0</v>
      </c>
      <c r="E3104" s="2402" t="s">
        <v>5288</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ht="15"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ht="15"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ht="15" outlineLevel="1">
      <c r="A3107" s="2176" t="str">
        <f>IF(G3107&lt;&gt;0,1,"")</f>
        <v/>
      </c>
      <c r="B3107" s="2351" t="s">
        <v>2008</v>
      </c>
      <c r="C3107" s="2401"/>
      <c r="D3107" s="2146"/>
      <c r="E3107" s="2402" t="s">
        <v>5246</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ht="15"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ht="15" outlineLevel="1">
      <c r="A3109" s="2176" t="str">
        <f t="shared" si="652"/>
        <v/>
      </c>
      <c r="B3109" s="2351" t="s">
        <v>639</v>
      </c>
      <c r="C3109" s="2401"/>
      <c r="D3109" s="2146" t="s">
        <v>1747</v>
      </c>
      <c r="E3109" s="2402" t="s">
        <v>5323</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ht="15" outlineLevel="1">
      <c r="A3110" s="2176" t="str">
        <f t="shared" si="652"/>
        <v/>
      </c>
      <c r="B3110" s="2563" t="s">
        <v>1835</v>
      </c>
      <c r="C3110" s="2401"/>
      <c r="D3110" s="2146" t="s">
        <v>5470</v>
      </c>
      <c r="E3110" s="2402" t="s">
        <v>5472</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ht="15" outlineLevel="1">
      <c r="A3111" s="2176" t="str">
        <f>IF(G3111&lt;&gt;0,1,"")</f>
        <v/>
      </c>
      <c r="B3111" s="2255"/>
      <c r="C3111" s="2252">
        <f>IF(G3111&gt;0,C3103+1,C3103)</f>
        <v>0</v>
      </c>
      <c r="D3111" s="2253"/>
      <c r="E3111" s="2411" t="s">
        <v>6270</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5" outlineLevel="1">
      <c r="A3112" s="2176" t="str">
        <f>A3111</f>
        <v/>
      </c>
      <c r="B3112" s="2255"/>
      <c r="C3112" s="2252"/>
      <c r="D3112" s="2253"/>
      <c r="E3112" s="2261" t="s">
        <v>6132</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ht="15"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ht="15"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ht="15"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ht="15"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ht="15" outlineLevel="1">
      <c r="A3117" s="2176" t="str">
        <f t="shared" si="657"/>
        <v/>
      </c>
      <c r="B3117" s="2255" t="s">
        <v>2242</v>
      </c>
      <c r="C3117" s="2252"/>
      <c r="D3117" s="2146" t="s">
        <v>730</v>
      </c>
      <c r="E3117" s="2188" t="s">
        <v>2440</v>
      </c>
      <c r="F3117" s="2146" t="s">
        <v>2385</v>
      </c>
      <c r="G3117" s="2263">
        <f>G3111</f>
        <v>0</v>
      </c>
      <c r="H3117" s="2353">
        <v>0</v>
      </c>
      <c r="I3117" s="2353"/>
      <c r="J3117" s="2353" t="s">
        <v>6344</v>
      </c>
      <c r="K3117" s="2353"/>
      <c r="L3117" s="2354">
        <f t="shared" si="653"/>
        <v>0</v>
      </c>
      <c r="M3117" s="2354"/>
      <c r="N3117" s="2353">
        <v>0</v>
      </c>
      <c r="O3117" s="2354"/>
      <c r="P3117" s="2259"/>
      <c r="Q3117" s="2260"/>
      <c r="R3117" s="2260"/>
      <c r="S3117" s="2260"/>
    </row>
    <row r="3118" spans="1:19" s="2099" customFormat="1" ht="15" outlineLevel="1" collapsed="1">
      <c r="A3118" s="2176" t="str">
        <f t="shared" si="657"/>
        <v/>
      </c>
      <c r="B3118" s="2255"/>
      <c r="C3118" s="2252">
        <f>IF(G3118&gt;0,C3111+1,C3111)</f>
        <v>0</v>
      </c>
      <c r="D3118" s="2253"/>
      <c r="E3118" s="2411" t="s">
        <v>6295</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5" outlineLevel="1">
      <c r="A3119" s="2176" t="str">
        <f>A3118</f>
        <v/>
      </c>
      <c r="B3119" s="2255"/>
      <c r="C3119" s="2252"/>
      <c r="D3119" s="2253"/>
      <c r="E3119" s="2261" t="s">
        <v>6132</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ht="15"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ht="15"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ht="15"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ht="15"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ht="15"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ht="15" outlineLevel="1">
      <c r="A3125" s="2176" t="str">
        <f t="shared" si="658"/>
        <v/>
      </c>
      <c r="B3125" s="2255" t="s">
        <v>516</v>
      </c>
      <c r="C3125" s="2252"/>
      <c r="D3125" s="2146" t="s">
        <v>1457</v>
      </c>
      <c r="E3125" s="2188" t="s">
        <v>5421</v>
      </c>
      <c r="F3125" s="2146" t="s">
        <v>2385</v>
      </c>
      <c r="G3125" s="2263">
        <f>G3118</f>
        <v>0</v>
      </c>
      <c r="H3125" s="2258">
        <v>0</v>
      </c>
      <c r="I3125" s="2258"/>
      <c r="J3125" s="2258" t="s">
        <v>6390</v>
      </c>
      <c r="K3125" s="2258"/>
      <c r="L3125" s="2258">
        <f t="shared" si="653"/>
        <v>0</v>
      </c>
      <c r="M3125" s="2258"/>
      <c r="N3125" s="2258">
        <v>0</v>
      </c>
      <c r="O3125" s="2258"/>
      <c r="P3125" s="2259"/>
      <c r="Q3125" s="2260"/>
      <c r="R3125" s="2260"/>
      <c r="S3125" s="2260"/>
    </row>
    <row r="3126" spans="1:19" s="2099" customFormat="1" ht="15" outlineLevel="1">
      <c r="A3126" s="2176" t="str">
        <f t="shared" si="658"/>
        <v/>
      </c>
      <c r="B3126" s="2255"/>
      <c r="C3126" s="2252">
        <f>IF(G3126&gt;0,C3118+1,C3118)</f>
        <v>0</v>
      </c>
      <c r="D3126" s="2253"/>
      <c r="E3126" s="2411" t="s">
        <v>6288</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5" outlineLevel="1">
      <c r="A3127" s="2176" t="str">
        <f>A3126</f>
        <v/>
      </c>
      <c r="B3127" s="2255"/>
      <c r="C3127" s="2252"/>
      <c r="D3127" s="2253"/>
      <c r="E3127" s="2261" t="s">
        <v>6132</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ht="15"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ht="15"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ht="15"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ht="15"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ht="15" outlineLevel="1">
      <c r="A3132" s="2176" t="str">
        <f t="shared" si="659"/>
        <v/>
      </c>
      <c r="B3132" s="2255" t="s">
        <v>988</v>
      </c>
      <c r="C3132" s="2252"/>
      <c r="D3132" s="2146">
        <v>0</v>
      </c>
      <c r="E3132" s="2188" t="s">
        <v>5269</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ht="15" outlineLevel="1">
      <c r="A3133" s="2176" t="str">
        <f t="shared" si="659"/>
        <v/>
      </c>
      <c r="B3133" s="2255" t="s">
        <v>1995</v>
      </c>
      <c r="C3133" s="2252"/>
      <c r="D3133" s="2146" t="s">
        <v>2265</v>
      </c>
      <c r="E3133" s="2188" t="s">
        <v>5378</v>
      </c>
      <c r="F3133" s="2146" t="s">
        <v>2385</v>
      </c>
      <c r="G3133" s="2263">
        <f>G3126</f>
        <v>0</v>
      </c>
      <c r="H3133" s="2258">
        <v>0</v>
      </c>
      <c r="I3133" s="2258"/>
      <c r="J3133" s="2258" t="s">
        <v>6343</v>
      </c>
      <c r="K3133" s="2258"/>
      <c r="L3133" s="2258">
        <f t="shared" si="653"/>
        <v>0</v>
      </c>
      <c r="M3133" s="2258"/>
      <c r="N3133" s="2258">
        <v>0</v>
      </c>
      <c r="O3133" s="2258"/>
      <c r="P3133" s="2259"/>
      <c r="Q3133" s="2260"/>
      <c r="R3133" s="2260"/>
      <c r="S3133" s="2260"/>
    </row>
    <row r="3134" spans="1:19" s="2099" customFormat="1" ht="15" outlineLevel="1">
      <c r="A3134" s="2176" t="str">
        <f t="shared" si="659"/>
        <v/>
      </c>
      <c r="B3134" s="2255"/>
      <c r="C3134" s="2252">
        <f>IF(G3134&gt;0,C3126+1,C3126)</f>
        <v>0</v>
      </c>
      <c r="D3134" s="2253"/>
      <c r="E3134" s="2411" t="s">
        <v>4376</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5" outlineLevel="1">
      <c r="A3135" s="2176" t="str">
        <f>A3134</f>
        <v/>
      </c>
      <c r="B3135" s="2412"/>
      <c r="C3135" s="2252"/>
      <c r="D3135" s="2253"/>
      <c r="E3135" s="2261" t="s">
        <v>6289</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ht="15"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ht="15" outlineLevel="1">
      <c r="A3137" s="2176" t="str">
        <f t="shared" si="661"/>
        <v/>
      </c>
      <c r="B3137" s="2246" t="s">
        <v>1508</v>
      </c>
      <c r="C3137" s="2252"/>
      <c r="D3137" s="2146">
        <v>0</v>
      </c>
      <c r="E3137" s="2188" t="s">
        <v>5162</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ht="15" outlineLevel="1">
      <c r="A3138" s="2176" t="str">
        <f>IF(G3138&lt;&gt;0,1,"")</f>
        <v/>
      </c>
      <c r="B3138" s="2246" t="s">
        <v>1585</v>
      </c>
      <c r="C3138" s="2252"/>
      <c r="D3138" s="2146">
        <v>0</v>
      </c>
      <c r="E3138" s="2188" t="s">
        <v>5712</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ht="15"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ht="15"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ht="15" outlineLevel="1">
      <c r="A3141" s="2176" t="str">
        <f t="shared" si="661"/>
        <v/>
      </c>
      <c r="B3141" s="2246" t="s">
        <v>525</v>
      </c>
      <c r="C3141" s="2252"/>
      <c r="D3141" s="2146">
        <v>0</v>
      </c>
      <c r="E3141" s="2188" t="s">
        <v>5251</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ht="15"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ht="15" outlineLevel="1">
      <c r="A3143" s="2176">
        <f>IF(G3143=0,0,1)</f>
        <v>0</v>
      </c>
      <c r="B3143" s="2246" t="s">
        <v>794</v>
      </c>
      <c r="C3143" s="2262"/>
      <c r="D3143" s="2146" t="s">
        <v>5335</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ht="15" outlineLevel="1">
      <c r="A3144" s="2176">
        <f>IF(G3144=0,0,1)</f>
        <v>0</v>
      </c>
      <c r="B3144" s="2246" t="s">
        <v>798</v>
      </c>
      <c r="C3144" s="2262"/>
      <c r="D3144" s="2146" t="s">
        <v>5324</v>
      </c>
      <c r="E3144" s="2188" t="s">
        <v>5336</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ht="15" outlineLevel="1">
      <c r="A3145" s="2176">
        <f>IF(G3145=0,0,1)</f>
        <v>0</v>
      </c>
      <c r="B3145" s="2246" t="s">
        <v>902</v>
      </c>
      <c r="C3145" s="2262"/>
      <c r="D3145" s="2146" t="s">
        <v>5350</v>
      </c>
      <c r="E3145" s="2188" t="s">
        <v>5351</v>
      </c>
      <c r="F3145" s="2495" t="s">
        <v>856</v>
      </c>
      <c r="G3145" s="2414">
        <f>G3137</f>
        <v>0</v>
      </c>
      <c r="H3145" s="2258">
        <v>0</v>
      </c>
      <c r="I3145" s="2258"/>
      <c r="J3145" s="2258" t="s">
        <v>6311</v>
      </c>
      <c r="K3145" s="2258">
        <v>0</v>
      </c>
      <c r="L3145" s="2258">
        <f>H3145*$G3145</f>
        <v>0</v>
      </c>
      <c r="M3145" s="2258">
        <f>I3145*$G3145</f>
        <v>0</v>
      </c>
      <c r="N3145" s="2258">
        <v>0</v>
      </c>
      <c r="O3145" s="2258">
        <f>K3145*$G3145</f>
        <v>0</v>
      </c>
      <c r="P3145" s="2259"/>
      <c r="Q3145" s="2260"/>
      <c r="R3145" s="2260"/>
      <c r="S3145" s="2260"/>
    </row>
    <row r="3146" spans="1:19" s="2099" customFormat="1" ht="15" outlineLevel="1">
      <c r="A3146" s="2176" t="str">
        <f>IF(G3146&lt;&gt;0,1,"")</f>
        <v/>
      </c>
      <c r="B3146" s="2246" t="s">
        <v>1437</v>
      </c>
      <c r="C3146" s="2252"/>
      <c r="D3146" s="2146" t="s">
        <v>5345</v>
      </c>
      <c r="E3146" s="2188" t="s">
        <v>5346</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ht="15" outlineLevel="1">
      <c r="A3147" s="2176" t="str">
        <f>IF(G3147&lt;&gt;0,1,"")</f>
        <v/>
      </c>
      <c r="B3147" s="2255"/>
      <c r="C3147" s="2252">
        <f>IF(G3147&gt;0,C3134+1,C3134)</f>
        <v>0</v>
      </c>
      <c r="D3147" s="2253"/>
      <c r="E3147" s="2370" t="s">
        <v>6290</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5" outlineLevel="1">
      <c r="A3148" s="2176" t="str">
        <f>A3147</f>
        <v/>
      </c>
      <c r="B3148" s="2255"/>
      <c r="C3148" s="2252"/>
      <c r="D3148" s="2253"/>
      <c r="E3148" s="2261" t="s">
        <v>6132</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ht="15" outlineLevel="1">
      <c r="A3149" s="2176" t="str">
        <f>IF(G3149&lt;&gt;0,1,"")</f>
        <v/>
      </c>
      <c r="B3149" s="2255" t="s">
        <v>6296</v>
      </c>
      <c r="C3149" s="2262"/>
      <c r="D3149" s="2146" t="s">
        <v>5632</v>
      </c>
      <c r="E3149" s="2188" t="s">
        <v>5638</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ht="15" outlineLevel="1">
      <c r="A3150" s="2176" t="str">
        <f>IF(G3150&lt;&gt;0,1,"")</f>
        <v/>
      </c>
      <c r="B3150" s="2255" t="s">
        <v>289</v>
      </c>
      <c r="C3150" s="2262"/>
      <c r="D3150" s="2146">
        <v>0</v>
      </c>
      <c r="E3150" s="2188" t="s">
        <v>5711</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ht="15"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5" outlineLevel="1">
      <c r="A3152" s="2176" t="str">
        <f>A3151</f>
        <v/>
      </c>
      <c r="B3152" s="2255"/>
      <c r="C3152" s="2252"/>
      <c r="D3152" s="2253"/>
      <c r="E3152" s="2261" t="s">
        <v>6132</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ht="15" outlineLevel="1">
      <c r="A3153" s="2176" t="str">
        <f t="shared" ref="A3153:A3161" si="667">IF(G3153&lt;&gt;0,1,"")</f>
        <v/>
      </c>
      <c r="B3153" s="2548" t="s">
        <v>752</v>
      </c>
      <c r="C3153" s="2262"/>
      <c r="D3153" s="2146">
        <v>0</v>
      </c>
      <c r="E3153" s="2353" t="s">
        <v>6391</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ht="15" outlineLevel="1">
      <c r="A3154" s="2176" t="str">
        <f t="shared" si="667"/>
        <v/>
      </c>
      <c r="B3154" s="2548" t="s">
        <v>867</v>
      </c>
      <c r="C3154" s="2262"/>
      <c r="D3154" s="2146">
        <v>0</v>
      </c>
      <c r="E3154" s="2353" t="s">
        <v>6392</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ht="15" outlineLevel="1">
      <c r="A3155" s="2176" t="str">
        <f t="shared" si="667"/>
        <v/>
      </c>
      <c r="B3155" s="2548" t="s">
        <v>1675</v>
      </c>
      <c r="C3155" s="2262"/>
      <c r="D3155" s="2146">
        <v>0</v>
      </c>
      <c r="E3155" s="2353" t="s">
        <v>6376</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ht="15" outlineLevel="1">
      <c r="A3156" s="2176" t="str">
        <f t="shared" si="667"/>
        <v/>
      </c>
      <c r="B3156" s="2548" t="s">
        <v>1676</v>
      </c>
      <c r="C3156" s="2262"/>
      <c r="D3156" s="2146" t="s">
        <v>5289</v>
      </c>
      <c r="E3156" s="2353" t="s">
        <v>6377</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ht="15"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ht="15" outlineLevel="1">
      <c r="A3158" s="2176" t="str">
        <f t="shared" si="667"/>
        <v/>
      </c>
      <c r="B3158" s="2548" t="s">
        <v>1678</v>
      </c>
      <c r="C3158" s="2262"/>
      <c r="D3158" s="2146" t="s">
        <v>5332</v>
      </c>
      <c r="E3158" s="2353" t="s">
        <v>5333</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ht="15" outlineLevel="1">
      <c r="A3159" s="2176" t="str">
        <f t="shared" si="667"/>
        <v/>
      </c>
      <c r="B3159" s="2548" t="s">
        <v>144</v>
      </c>
      <c r="C3159" s="2262"/>
      <c r="D3159" s="2146" t="s">
        <v>5326</v>
      </c>
      <c r="E3159" s="2353" t="s">
        <v>6379</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ht="15" outlineLevel="1">
      <c r="A3160" s="2176" t="str">
        <f t="shared" si="667"/>
        <v/>
      </c>
      <c r="B3160" s="2548" t="s">
        <v>529</v>
      </c>
      <c r="C3160" s="2262"/>
      <c r="D3160" s="2146" t="s">
        <v>5331</v>
      </c>
      <c r="E3160" s="2353" t="s">
        <v>6393</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ht="15"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5" outlineLevel="1">
      <c r="A3162" s="2176" t="str">
        <f>A3161</f>
        <v/>
      </c>
      <c r="B3162" s="2255"/>
      <c r="C3162" s="2252"/>
      <c r="D3162" s="2253"/>
      <c r="E3162" s="2261" t="s">
        <v>6132</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ht="15" outlineLevel="1">
      <c r="A3163" s="2176" t="str">
        <f t="shared" ref="A3163:A3170" si="668">IF(G3163&lt;&gt;0,1,"")</f>
        <v/>
      </c>
      <c r="B3163" s="2255" t="s">
        <v>623</v>
      </c>
      <c r="C3163" s="2262"/>
      <c r="D3163" s="2146" t="s">
        <v>5304</v>
      </c>
      <c r="E3163" s="2188" t="s">
        <v>5305</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ht="15"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ht="15"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ht="15"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ht="15"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ht="15" outlineLevel="1">
      <c r="A3168" s="2176" t="str">
        <f t="shared" si="668"/>
        <v/>
      </c>
      <c r="B3168" s="2255" t="s">
        <v>1410</v>
      </c>
      <c r="C3168" s="2252"/>
      <c r="D3168" s="2146" t="s">
        <v>5340</v>
      </c>
      <c r="E3168" s="2188" t="s">
        <v>5341</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ht="15" outlineLevel="1">
      <c r="A3169" s="2176" t="str">
        <f t="shared" si="668"/>
        <v/>
      </c>
      <c r="B3169" s="2255" t="s">
        <v>289</v>
      </c>
      <c r="C3169" s="2262"/>
      <c r="D3169" s="2146">
        <v>0</v>
      </c>
      <c r="E3169" s="2188" t="s">
        <v>5711</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ht="15"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5" outlineLevel="1">
      <c r="A3171" s="2176" t="str">
        <f>A3170</f>
        <v/>
      </c>
      <c r="B3171" s="2255"/>
      <c r="C3171" s="2252"/>
      <c r="D3171" s="2253"/>
      <c r="E3171" s="2268" t="s">
        <v>6132</v>
      </c>
      <c r="F3171" s="2252"/>
      <c r="G3171" s="2257"/>
      <c r="H3171" s="2258"/>
      <c r="I3171" s="2258"/>
      <c r="J3171" s="2258"/>
      <c r="K3171" s="2258"/>
      <c r="L3171" s="2258"/>
      <c r="M3171" s="2258"/>
      <c r="N3171" s="2258"/>
      <c r="O3171" s="2258"/>
      <c r="P3171" s="2259"/>
      <c r="Q3171" s="2260"/>
      <c r="R3171" s="2260"/>
      <c r="S3171" s="2260"/>
    </row>
    <row r="3172" spans="1:19" s="2099" customFormat="1" ht="15"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ht="15"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ht="15"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ht="15"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ht="15"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ht="15"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ht="15" outlineLevel="1">
      <c r="A3178" s="2176" t="str">
        <f t="shared" si="669"/>
        <v/>
      </c>
      <c r="B3178" s="2246" t="s">
        <v>1674</v>
      </c>
      <c r="C3178" s="2262"/>
      <c r="D3178" s="2146" t="s">
        <v>5458</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ht="15" outlineLevel="1">
      <c r="A3179" s="2176" t="str">
        <f t="shared" si="669"/>
        <v/>
      </c>
      <c r="B3179" s="2246" t="s">
        <v>1182</v>
      </c>
      <c r="C3179" s="2262"/>
      <c r="D3179" s="2146" t="s">
        <v>5551</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ht="15" outlineLevel="1">
      <c r="A3180" s="2176" t="str">
        <f t="shared" si="669"/>
        <v/>
      </c>
      <c r="B3180" s="2246" t="s">
        <v>1525</v>
      </c>
      <c r="C3180" s="2262"/>
      <c r="D3180" s="2146" t="s">
        <v>5570</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ht="15"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ht="15"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5" outlineLevel="1">
      <c r="A3183" s="2176" t="str">
        <f>A3182</f>
        <v/>
      </c>
      <c r="B3183" s="2255"/>
      <c r="C3183" s="2252"/>
      <c r="D3183" s="2253"/>
      <c r="E3183" s="2268" t="s">
        <v>6132</v>
      </c>
      <c r="F3183" s="2252"/>
      <c r="G3183" s="2257"/>
      <c r="H3183" s="2258"/>
      <c r="I3183" s="2258"/>
      <c r="J3183" s="2258"/>
      <c r="K3183" s="2258"/>
      <c r="L3183" s="2258"/>
      <c r="M3183" s="2258"/>
      <c r="N3183" s="2258"/>
      <c r="O3183" s="2258"/>
      <c r="P3183" s="2259"/>
      <c r="Q3183" s="2260"/>
      <c r="R3183" s="2260"/>
      <c r="S3183" s="2260"/>
    </row>
    <row r="3184" spans="1:19" s="2099" customFormat="1" ht="15" outlineLevel="1">
      <c r="A3184" s="2176" t="str">
        <f t="shared" ref="A3184:A3189" si="674">IF(G3184&lt;&gt;0,1,"")</f>
        <v/>
      </c>
      <c r="B3184" s="2246" t="s">
        <v>697</v>
      </c>
      <c r="C3184" s="2262"/>
      <c r="D3184" s="2146">
        <v>0</v>
      </c>
      <c r="E3184" s="2188" t="s">
        <v>5086</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ht="15"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ht="15"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ht="15" outlineLevel="1">
      <c r="A3187" s="2176" t="str">
        <f t="shared" si="674"/>
        <v/>
      </c>
      <c r="B3187" s="2351" t="s">
        <v>1477</v>
      </c>
      <c r="C3187" s="2262"/>
      <c r="D3187" s="2146">
        <v>0</v>
      </c>
      <c r="E3187" s="2188" t="s">
        <v>6345</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ht="15"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ht="15"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ht="15" outlineLevel="1">
      <c r="A3190" s="2176" t="str">
        <f>IF(G3190&lt;&gt;0,1,"")</f>
        <v/>
      </c>
      <c r="B3190" s="2246" t="s">
        <v>347</v>
      </c>
      <c r="C3190" s="2262"/>
      <c r="D3190" s="2146" t="s">
        <v>5559</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ht="15" outlineLevel="1">
      <c r="A3191" s="2176" t="str">
        <f>IF(G3191&lt;&gt;0,1,"")</f>
        <v/>
      </c>
      <c r="B3191" s="2246"/>
      <c r="C3191" s="2252">
        <f>IF(G3191&gt;0,C3182+1,C3182)</f>
        <v>0</v>
      </c>
      <c r="D3191" s="2253"/>
      <c r="E3191" s="2254" t="s">
        <v>6292</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5" outlineLevel="1">
      <c r="A3192" s="2176" t="str">
        <f>A3191</f>
        <v/>
      </c>
      <c r="B3192" s="2246"/>
      <c r="C3192" s="2252"/>
      <c r="D3192" s="2253"/>
      <c r="E3192" s="2268" t="s">
        <v>6132</v>
      </c>
      <c r="F3192" s="2252"/>
      <c r="G3192" s="2263"/>
      <c r="H3192" s="2258"/>
      <c r="I3192" s="2258"/>
      <c r="J3192" s="2258"/>
      <c r="K3192" s="2258"/>
      <c r="L3192" s="2258"/>
      <c r="M3192" s="2258"/>
      <c r="N3192" s="2258"/>
      <c r="O3192" s="2258"/>
      <c r="P3192" s="2259"/>
      <c r="Q3192" s="2260"/>
      <c r="R3192" s="2260"/>
      <c r="S3192" s="2260"/>
    </row>
    <row r="3193" spans="1:19" s="2099" customFormat="1" ht="15"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ht="15" outlineLevel="1">
      <c r="A3194" s="2176" t="str">
        <f t="shared" si="678"/>
        <v/>
      </c>
      <c r="B3194" s="2255" t="s">
        <v>448</v>
      </c>
      <c r="C3194" s="2262"/>
      <c r="D3194" s="2146" t="s">
        <v>5731</v>
      </c>
      <c r="E3194" s="2188" t="s">
        <v>6396</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ht="15" outlineLevel="1">
      <c r="A3195" s="2176" t="str">
        <f t="shared" si="678"/>
        <v/>
      </c>
      <c r="B3195" s="2255" t="s">
        <v>1072</v>
      </c>
      <c r="C3195" s="2262"/>
      <c r="D3195" s="2146">
        <v>0</v>
      </c>
      <c r="E3195" s="2188" t="s">
        <v>6397</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ht="15"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ht="15" outlineLevel="1">
      <c r="A3197" s="2176" t="str">
        <f t="shared" si="678"/>
        <v/>
      </c>
      <c r="B3197" s="2246" t="s">
        <v>731</v>
      </c>
      <c r="C3197" s="2262"/>
      <c r="D3197" s="2146">
        <v>0</v>
      </c>
      <c r="E3197" s="2188" t="s">
        <v>5257</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ht="15" outlineLevel="1">
      <c r="A3198" s="2176" t="str">
        <f t="shared" si="678"/>
        <v/>
      </c>
      <c r="B3198" s="2255" t="s">
        <v>1043</v>
      </c>
      <c r="C3198" s="2262"/>
      <c r="D3198" s="2146">
        <v>0</v>
      </c>
      <c r="E3198" s="2188" t="s">
        <v>5797</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ht="15"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ht="15" outlineLevel="1">
      <c r="A3200" s="2176" t="str">
        <f t="shared" si="678"/>
        <v/>
      </c>
      <c r="B3200" s="2255" t="s">
        <v>2168</v>
      </c>
      <c r="C3200" s="2262"/>
      <c r="D3200" s="2146">
        <v>0</v>
      </c>
      <c r="E3200" s="2188" t="s">
        <v>6398</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ht="15" outlineLevel="1">
      <c r="A3201" s="2176" t="str">
        <f t="shared" si="678"/>
        <v/>
      </c>
      <c r="B3201" s="2255" t="s">
        <v>726</v>
      </c>
      <c r="C3201" s="2262"/>
      <c r="D3201" s="2146">
        <v>0</v>
      </c>
      <c r="E3201" s="2188" t="s">
        <v>6399</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ht="15" outlineLevel="1">
      <c r="A3202" s="2176" t="str">
        <f>IF(G3202&lt;&gt;0,1,"")</f>
        <v/>
      </c>
      <c r="B3202" s="2246" t="s">
        <v>6</v>
      </c>
      <c r="C3202" s="2262"/>
      <c r="D3202" s="2146"/>
      <c r="E3202" s="2188" t="s">
        <v>6400</v>
      </c>
      <c r="F3202" s="2146" t="s">
        <v>5805</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ht="15"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ht="15" outlineLevel="1">
      <c r="A3204" s="2176" t="str">
        <f>IF(G3204&lt;&gt;0,1,"")</f>
        <v/>
      </c>
      <c r="B3204" s="2246" t="s">
        <v>672</v>
      </c>
      <c r="C3204" s="2262"/>
      <c r="D3204" s="2146">
        <v>0</v>
      </c>
      <c r="E3204" s="2188" t="s">
        <v>5800</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ht="15" outlineLevel="1">
      <c r="A3205" s="2176" t="str">
        <f>IF(G3205&lt;&gt;0,1,"")</f>
        <v/>
      </c>
      <c r="B3205" s="2246" t="s">
        <v>247</v>
      </c>
      <c r="C3205" s="2565"/>
      <c r="D3205" s="2146" t="s">
        <v>5572</v>
      </c>
      <c r="E3205" s="2188" t="s">
        <v>6401</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ht="15" outlineLevel="1">
      <c r="A3206" s="2176" t="str">
        <f>IF(G3206&lt;&gt;0,1,"")</f>
        <v/>
      </c>
      <c r="B3206" s="2246"/>
      <c r="C3206" s="2252">
        <f>IF(G3206&gt;0,C3191+1,C3191)</f>
        <v>0</v>
      </c>
      <c r="D3206" s="2253"/>
      <c r="E3206" s="2254" t="s">
        <v>6252</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5" outlineLevel="1">
      <c r="A3207" s="2176" t="str">
        <f>A3206</f>
        <v/>
      </c>
      <c r="B3207" s="2494"/>
      <c r="C3207" s="2252"/>
      <c r="D3207" s="2253"/>
      <c r="E3207" s="2268" t="s">
        <v>6132</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ht="15"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ht="15" outlineLevel="1">
      <c r="A3209" s="2176">
        <f>IF(G3209=0,0,1)</f>
        <v>0</v>
      </c>
      <c r="B3209" s="2246" t="s">
        <v>6253</v>
      </c>
      <c r="C3209" s="2262"/>
      <c r="D3209" s="2146">
        <v>0</v>
      </c>
      <c r="E3209" s="2353" t="s">
        <v>5052</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ht="15" outlineLevel="1">
      <c r="A3210" s="2176">
        <f>IF(G3210=0,0,1)</f>
        <v>0</v>
      </c>
      <c r="B3210" s="2246" t="s">
        <v>6254</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ht="15" outlineLevel="1">
      <c r="A3211" s="2176">
        <f t="shared" si="683"/>
        <v>0</v>
      </c>
      <c r="B3211" s="2255" t="s">
        <v>246</v>
      </c>
      <c r="C3211" s="2383"/>
      <c r="D3211" s="2146">
        <v>0</v>
      </c>
      <c r="E3211" s="2353" t="s">
        <v>5868</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ht="15"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ht="15"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ht="15"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ht="15"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ht="15"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ht="15"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ht="15"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ht="15"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ht="15" outlineLevel="1">
      <c r="A3220" s="2176">
        <f t="shared" si="683"/>
        <v>0</v>
      </c>
      <c r="B3220" s="2246" t="s">
        <v>672</v>
      </c>
      <c r="C3220" s="2262"/>
      <c r="D3220" s="2146">
        <v>0</v>
      </c>
      <c r="E3220" s="2353" t="s">
        <v>5800</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ht="15"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ht="15"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ht="15" outlineLevel="1">
      <c r="A3223" s="2176">
        <f t="shared" si="683"/>
        <v>0</v>
      </c>
      <c r="B3223" s="2246" t="s">
        <v>319</v>
      </c>
      <c r="C3223" s="2262"/>
      <c r="D3223" s="2146">
        <v>0</v>
      </c>
      <c r="E3223" s="2353" t="s">
        <v>5268</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ht="15" outlineLevel="1">
      <c r="A3224" s="2176">
        <f t="shared" si="683"/>
        <v>0</v>
      </c>
      <c r="B3224" s="2246" t="s">
        <v>1915</v>
      </c>
      <c r="C3224" s="2262"/>
      <c r="D3224" s="2146" t="s">
        <v>5654</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ht="15" outlineLevel="1">
      <c r="A3225" s="2176">
        <f t="shared" si="683"/>
        <v>0</v>
      </c>
      <c r="B3225" s="2246" t="s">
        <v>6</v>
      </c>
      <c r="C3225" s="2262"/>
      <c r="D3225" s="2146">
        <v>0</v>
      </c>
      <c r="E3225" s="2353" t="s">
        <v>3567</v>
      </c>
      <c r="F3225" s="2495" t="s">
        <v>5805</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ht="15"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ht="15" outlineLevel="1">
      <c r="A3227" s="2176">
        <f t="shared" si="683"/>
        <v>0</v>
      </c>
      <c r="B3227" s="2246" t="s">
        <v>1035</v>
      </c>
      <c r="C3227" s="2262"/>
      <c r="D3227" s="2146">
        <v>0</v>
      </c>
      <c r="E3227" s="2353" t="s">
        <v>6388</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ht="15" outlineLevel="1">
      <c r="A3228" s="2176">
        <f t="shared" si="683"/>
        <v>0</v>
      </c>
      <c r="B3228" s="2246" t="s">
        <v>6254</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ht="15" outlineLevel="1">
      <c r="A3229" s="2176">
        <f>A3079</f>
        <v>0</v>
      </c>
      <c r="B3229" s="2351"/>
      <c r="C3229" s="2566"/>
      <c r="D3229" s="2418"/>
      <c r="E3229" s="2393"/>
      <c r="F3229" s="2631"/>
      <c r="G3229" s="2632"/>
      <c r="H3229" s="2631"/>
      <c r="I3229" s="2631"/>
      <c r="J3229" s="2641" t="s">
        <v>6130</v>
      </c>
      <c r="K3229" s="2641"/>
      <c r="L3229" s="2419">
        <f>SUM(L3098:L3228)</f>
        <v>0</v>
      </c>
      <c r="M3229" s="2419">
        <f>SUM(M3098:M3228)</f>
        <v>0</v>
      </c>
      <c r="N3229" s="2419">
        <f>SUM(N3098:N3228)</f>
        <v>0</v>
      </c>
      <c r="O3229" s="2419">
        <f>SUM(O3098:O3228)</f>
        <v>0</v>
      </c>
      <c r="P3229" s="2562"/>
      <c r="Q3229" s="2260"/>
      <c r="R3229" s="2260"/>
      <c r="S3229" s="2260"/>
    </row>
    <row r="3230" spans="1:19" s="2099" customFormat="1" ht="15"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ht="15"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ht="15" outlineLevel="1">
      <c r="A3233" s="2176">
        <f>A3231</f>
        <v>0</v>
      </c>
      <c r="B3233" s="2255" t="s">
        <v>6111</v>
      </c>
      <c r="C3233" s="2642" t="s">
        <v>1708</v>
      </c>
      <c r="D3233" s="2643" t="s">
        <v>2597</v>
      </c>
      <c r="E3233" s="2645" t="s">
        <v>2598</v>
      </c>
      <c r="F3233" s="2642" t="s">
        <v>2593</v>
      </c>
      <c r="G3233" s="2103" t="s">
        <v>6112</v>
      </c>
      <c r="H3233" s="2106" t="s">
        <v>6113</v>
      </c>
      <c r="I3233" s="2613"/>
      <c r="J3233" s="2613"/>
      <c r="K3233" s="2614"/>
      <c r="L3233" s="2106" t="s">
        <v>6114</v>
      </c>
      <c r="M3233" s="2613"/>
      <c r="N3233" s="2613"/>
      <c r="O3233" s="2614"/>
      <c r="P3233" s="2642" t="s">
        <v>2599</v>
      </c>
      <c r="Q3233" s="2260"/>
      <c r="R3233" s="2260"/>
      <c r="S3233" s="2260"/>
    </row>
    <row r="3234" spans="1:19" s="2099" customFormat="1" ht="15" outlineLevel="1">
      <c r="A3234" s="2176">
        <f>A3233</f>
        <v>0</v>
      </c>
      <c r="B3234" s="2255"/>
      <c r="C3234" s="2642"/>
      <c r="D3234" s="2644"/>
      <c r="E3234" s="2646"/>
      <c r="F3234" s="2642"/>
      <c r="G3234" s="2105" t="s">
        <v>2286</v>
      </c>
      <c r="H3234" s="2106" t="s">
        <v>6115</v>
      </c>
      <c r="I3234" s="2106" t="s">
        <v>6116</v>
      </c>
      <c r="J3234" s="2106" t="s">
        <v>6117</v>
      </c>
      <c r="K3234" s="2106" t="s">
        <v>6118</v>
      </c>
      <c r="L3234" s="2106" t="s">
        <v>6115</v>
      </c>
      <c r="M3234" s="2106" t="s">
        <v>6116</v>
      </c>
      <c r="N3234" s="2106" t="s">
        <v>6117</v>
      </c>
      <c r="O3234" s="2106" t="s">
        <v>6118</v>
      </c>
      <c r="P3234" s="2642"/>
      <c r="Q3234" s="2260"/>
      <c r="R3234" s="2260"/>
      <c r="S3234" s="2260"/>
    </row>
    <row r="3235" spans="1:19" s="2099" customFormat="1" ht="15"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ht="15" outlineLevel="1">
      <c r="A3236" s="2176" t="str">
        <f t="shared" ref="A3236:A3246" si="685">IF(G3236&lt;&gt;0,1,"")</f>
        <v/>
      </c>
      <c r="B3236" s="2246" t="str">
        <f>IF($F$8=15,"tr1600","tr16001")</f>
        <v>tr16001</v>
      </c>
      <c r="C3236" s="2262">
        <f>IF(G3236&gt;0,1,0)</f>
        <v>0</v>
      </c>
      <c r="D3236" s="2146" t="s">
        <v>5593</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ht="15" outlineLevel="1">
      <c r="A3237" s="2176" t="str">
        <f t="shared" si="685"/>
        <v/>
      </c>
      <c r="B3237" s="2351" t="s">
        <v>393</v>
      </c>
      <c r="C3237" s="2262">
        <f>IF(G3237&gt;0,C3236+1,C3236)</f>
        <v>0</v>
      </c>
      <c r="D3237" s="2146" t="s">
        <v>5599</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ht="15"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6284</v>
      </c>
      <c r="Q3238" s="2260"/>
      <c r="R3238" s="2260"/>
      <c r="S3238" s="2260"/>
    </row>
    <row r="3239" spans="1:19" s="2099" customFormat="1" ht="15" outlineLevel="1">
      <c r="A3239" s="2176" t="str">
        <f t="shared" si="685"/>
        <v/>
      </c>
      <c r="B3239" s="2112" t="str">
        <f>"FCO200-"&amp;$F$8</f>
        <v>FCO200-22</v>
      </c>
      <c r="C3239" s="2262">
        <f t="shared" si="690"/>
        <v>0</v>
      </c>
      <c r="D3239" s="2146" t="s">
        <v>5597</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ht="15"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ht="15" outlineLevel="1">
      <c r="A3241" s="2176" t="str">
        <f t="shared" si="685"/>
        <v/>
      </c>
      <c r="B3241" s="2255" t="str">
        <f>"LA"&amp;$F$6</f>
        <v>LA18</v>
      </c>
      <c r="C3241" s="2262">
        <f t="shared" si="690"/>
        <v>0</v>
      </c>
      <c r="D3241" s="2146" t="s">
        <v>5601</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ht="15"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ht="15" outlineLevel="1">
      <c r="A3243" s="2176" t="str">
        <f t="shared" si="685"/>
        <v/>
      </c>
      <c r="B3243" s="2351" t="s">
        <v>6293</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ht="15"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ht="15" outlineLevel="1">
      <c r="A3245" s="2176" t="str">
        <f t="shared" si="685"/>
        <v/>
      </c>
      <c r="B3245" s="2246" t="str">
        <f>IF($F$8=15,"TU15","TU22")</f>
        <v>TU22</v>
      </c>
      <c r="C3245" s="2262">
        <f>IF(G3245&gt;0,C3244+1,C3244)</f>
        <v>0</v>
      </c>
      <c r="D3245" s="2146">
        <v>0</v>
      </c>
      <c r="E3245" s="2188" t="s">
        <v>5610</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ht="15" outlineLevel="1">
      <c r="A3246" s="2176" t="str">
        <f t="shared" si="685"/>
        <v/>
      </c>
      <c r="B3246" s="2561" t="s">
        <v>1837</v>
      </c>
      <c r="C3246" s="2262">
        <f>IF(G3246&gt;0,C3245+1,C3245)</f>
        <v>0</v>
      </c>
      <c r="D3246" s="2146">
        <v>0</v>
      </c>
      <c r="E3246" s="2188" t="s">
        <v>5708</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ht="15" outlineLevel="1">
      <c r="A3247" s="2176">
        <f>A3231</f>
        <v>0</v>
      </c>
      <c r="B3247" s="2255"/>
      <c r="C3247" s="2387"/>
      <c r="D3247" s="2388"/>
      <c r="E3247" s="2389"/>
      <c r="F3247" s="2387"/>
      <c r="G3247" s="2630"/>
      <c r="H3247" s="2387"/>
      <c r="I3247" s="2387"/>
      <c r="J3247" s="2111" t="s">
        <v>6120</v>
      </c>
      <c r="K3247" s="2387"/>
      <c r="L3247" s="2389">
        <f>SUM(L3236:L3246)</f>
        <v>0</v>
      </c>
      <c r="M3247" s="2389">
        <f>SUM(M3236:M3246)</f>
        <v>0</v>
      </c>
      <c r="N3247" s="2389">
        <f>SUM(N3236:N3246)</f>
        <v>0</v>
      </c>
      <c r="O3247" s="2389">
        <f>SUM(O3236:O3246)</f>
        <v>0</v>
      </c>
      <c r="P3247" s="2562"/>
      <c r="Q3247" s="2260"/>
      <c r="R3247" s="2260"/>
      <c r="S3247" s="2260"/>
    </row>
    <row r="3248" spans="1:19" s="2099" customFormat="1" ht="15"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ht="15" outlineLevel="1">
      <c r="A3249" s="2176" t="str">
        <f t="shared" ref="A3249:A3263" si="691">IF(G3249&lt;&gt;0,1,"")</f>
        <v/>
      </c>
      <c r="B3249" s="2395"/>
      <c r="C3249" s="2396">
        <f>IF(G3249&gt;0,1,0)</f>
        <v>0</v>
      </c>
      <c r="D3249" s="2146"/>
      <c r="E3249" s="2397" t="s">
        <v>6216</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ht="15"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ht="15"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ht="15" outlineLevel="1">
      <c r="A3252" s="2176" t="str">
        <f t="shared" si="691"/>
        <v/>
      </c>
      <c r="B3252" s="2351" t="s">
        <v>1612</v>
      </c>
      <c r="C3252" s="2401"/>
      <c r="D3252" s="2146" t="s">
        <v>5356</v>
      </c>
      <c r="E3252" s="2402" t="s">
        <v>5357</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ht="15" outlineLevel="1">
      <c r="A3253" s="2176" t="str">
        <f t="shared" si="691"/>
        <v/>
      </c>
      <c r="B3253" s="2351" t="s">
        <v>2234</v>
      </c>
      <c r="C3253" s="2401"/>
      <c r="D3253" s="2146"/>
      <c r="E3253" s="2402" t="s">
        <v>5323</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ht="15" outlineLevel="1">
      <c r="A3254" s="2176" t="str">
        <f t="shared" si="691"/>
        <v/>
      </c>
      <c r="B3254" s="2351" t="s">
        <v>21</v>
      </c>
      <c r="C3254" s="2401"/>
      <c r="D3254" s="2146" t="s">
        <v>5324</v>
      </c>
      <c r="E3254" s="2402" t="s">
        <v>5325</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ht="15" outlineLevel="1">
      <c r="A3255" s="2176" t="str">
        <f t="shared" si="691"/>
        <v/>
      </c>
      <c r="B3255" s="2351"/>
      <c r="C3255" s="2252">
        <f>IF(G3255&gt;0,C3249+1,C3249)</f>
        <v>0</v>
      </c>
      <c r="D3255" s="2146"/>
      <c r="E3255" s="2397" t="s">
        <v>6294</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ht="15" outlineLevel="1">
      <c r="A3256" s="2176" t="str">
        <f t="shared" si="691"/>
        <v/>
      </c>
      <c r="B3256" s="2351" t="s">
        <v>751</v>
      </c>
      <c r="C3256" s="2401"/>
      <c r="D3256" s="2146">
        <v>0</v>
      </c>
      <c r="E3256" s="2402" t="s">
        <v>5288</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ht="15"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ht="15"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ht="15" outlineLevel="1">
      <c r="A3259" s="2176" t="str">
        <f t="shared" si="691"/>
        <v/>
      </c>
      <c r="B3259" s="2351" t="s">
        <v>2008</v>
      </c>
      <c r="C3259" s="2401"/>
      <c r="D3259" s="2146"/>
      <c r="E3259" s="2402" t="s">
        <v>5246</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ht="15"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ht="15" outlineLevel="1">
      <c r="A3261" s="2176" t="str">
        <f t="shared" si="691"/>
        <v/>
      </c>
      <c r="B3261" s="2351" t="s">
        <v>639</v>
      </c>
      <c r="C3261" s="2401"/>
      <c r="D3261" s="2146" t="s">
        <v>1747</v>
      </c>
      <c r="E3261" s="2402" t="s">
        <v>5323</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ht="15" outlineLevel="1">
      <c r="A3262" s="2176" t="str">
        <f t="shared" si="691"/>
        <v/>
      </c>
      <c r="B3262" s="2563" t="s">
        <v>1835</v>
      </c>
      <c r="C3262" s="2401"/>
      <c r="D3262" s="2146" t="s">
        <v>5470</v>
      </c>
      <c r="E3262" s="2402" t="s">
        <v>5472</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ht="15" outlineLevel="1">
      <c r="A3263" s="2176" t="str">
        <f t="shared" si="691"/>
        <v/>
      </c>
      <c r="B3263" s="2255"/>
      <c r="C3263" s="2252">
        <f>IF(G3263&gt;0,C3255+1,C3255)</f>
        <v>0</v>
      </c>
      <c r="D3263" s="2253"/>
      <c r="E3263" s="2411" t="s">
        <v>6270</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5" outlineLevel="1">
      <c r="A3264" s="2176" t="str">
        <f>A3263</f>
        <v/>
      </c>
      <c r="B3264" s="2255"/>
      <c r="C3264" s="2252"/>
      <c r="D3264" s="2253"/>
      <c r="E3264" s="2261" t="s">
        <v>6132</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ht="15"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ht="15"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ht="15"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ht="15"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ht="15" outlineLevel="1">
      <c r="A3269" s="2176" t="str">
        <f t="shared" si="696"/>
        <v/>
      </c>
      <c r="B3269" s="2255" t="s">
        <v>2242</v>
      </c>
      <c r="C3269" s="2252"/>
      <c r="D3269" s="2146" t="s">
        <v>730</v>
      </c>
      <c r="E3269" s="2188" t="s">
        <v>2440</v>
      </c>
      <c r="F3269" s="2146" t="s">
        <v>2385</v>
      </c>
      <c r="G3269" s="2263">
        <f>G3263</f>
        <v>0</v>
      </c>
      <c r="H3269" s="2353">
        <v>0</v>
      </c>
      <c r="I3269" s="2353"/>
      <c r="J3269" s="2353" t="s">
        <v>6344</v>
      </c>
      <c r="K3269" s="2353"/>
      <c r="L3269" s="2354">
        <f t="shared" si="692"/>
        <v>0</v>
      </c>
      <c r="M3269" s="2354"/>
      <c r="N3269" s="2353">
        <v>0</v>
      </c>
      <c r="O3269" s="2354"/>
      <c r="P3269" s="2259"/>
      <c r="Q3269" s="2260"/>
      <c r="R3269" s="2260"/>
      <c r="S3269" s="2260"/>
    </row>
    <row r="3270" spans="1:19" s="2099" customFormat="1" ht="15" outlineLevel="1" collapsed="1">
      <c r="A3270" s="2176" t="str">
        <f t="shared" si="696"/>
        <v/>
      </c>
      <c r="B3270" s="2255"/>
      <c r="C3270" s="2252">
        <f>IF(G3270&gt;0,C3263+1,C3263)</f>
        <v>0</v>
      </c>
      <c r="D3270" s="2253"/>
      <c r="E3270" s="2411" t="s">
        <v>6297</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5" outlineLevel="1">
      <c r="A3271" s="2176" t="str">
        <f>A3270</f>
        <v/>
      </c>
      <c r="B3271" s="2255"/>
      <c r="C3271" s="2252"/>
      <c r="D3271" s="2253"/>
      <c r="E3271" s="2261" t="s">
        <v>6132</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ht="15"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ht="15"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ht="15"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ht="15"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ht="15"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ht="15" outlineLevel="1">
      <c r="A3277" s="2176" t="str">
        <f t="shared" si="697"/>
        <v/>
      </c>
      <c r="B3277" s="2255" t="s">
        <v>516</v>
      </c>
      <c r="C3277" s="2252"/>
      <c r="D3277" s="2146" t="s">
        <v>1457</v>
      </c>
      <c r="E3277" s="2188" t="s">
        <v>5421</v>
      </c>
      <c r="F3277" s="2146" t="s">
        <v>2385</v>
      </c>
      <c r="G3277" s="2263">
        <f>G3270</f>
        <v>0</v>
      </c>
      <c r="H3277" s="2258"/>
      <c r="I3277" s="2258"/>
      <c r="J3277" s="2258" t="s">
        <v>6390</v>
      </c>
      <c r="K3277" s="2258"/>
      <c r="L3277" s="2258">
        <f t="shared" si="692"/>
        <v>0</v>
      </c>
      <c r="M3277" s="2258"/>
      <c r="N3277" s="2258">
        <v>0</v>
      </c>
      <c r="O3277" s="2258"/>
      <c r="P3277" s="2259"/>
      <c r="Q3277" s="2260"/>
      <c r="R3277" s="2260"/>
      <c r="S3277" s="2260"/>
    </row>
    <row r="3278" spans="1:19" s="2099" customFormat="1" ht="15" outlineLevel="1">
      <c r="A3278" s="2176" t="str">
        <f t="shared" si="697"/>
        <v/>
      </c>
      <c r="B3278" s="2255"/>
      <c r="C3278" s="2252">
        <f>IF(G3278&gt;0,C3270+1,C3270)</f>
        <v>0</v>
      </c>
      <c r="D3278" s="2253"/>
      <c r="E3278" s="2411" t="s">
        <v>6288</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5" outlineLevel="1">
      <c r="A3279" s="2176" t="str">
        <f>A3278</f>
        <v/>
      </c>
      <c r="B3279" s="2255"/>
      <c r="C3279" s="2252"/>
      <c r="D3279" s="2253"/>
      <c r="E3279" s="2261" t="s">
        <v>6132</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ht="15"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ht="15"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ht="15"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ht="15"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ht="15" outlineLevel="1">
      <c r="A3284" s="2176" t="str">
        <f t="shared" si="698"/>
        <v/>
      </c>
      <c r="B3284" s="2255" t="s">
        <v>988</v>
      </c>
      <c r="C3284" s="2252"/>
      <c r="D3284" s="2146">
        <v>0</v>
      </c>
      <c r="E3284" s="2188" t="s">
        <v>5269</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ht="15" outlineLevel="1">
      <c r="A3285" s="2176" t="str">
        <f t="shared" si="698"/>
        <v/>
      </c>
      <c r="B3285" s="2255" t="s">
        <v>1995</v>
      </c>
      <c r="C3285" s="2252"/>
      <c r="D3285" s="2146" t="s">
        <v>2265</v>
      </c>
      <c r="E3285" s="2188" t="s">
        <v>5378</v>
      </c>
      <c r="F3285" s="2146" t="s">
        <v>2385</v>
      </c>
      <c r="G3285" s="2263">
        <f>G3278</f>
        <v>0</v>
      </c>
      <c r="H3285" s="2258"/>
      <c r="I3285" s="2258"/>
      <c r="J3285" s="2258" t="s">
        <v>6343</v>
      </c>
      <c r="K3285" s="2258"/>
      <c r="L3285" s="2258">
        <f t="shared" si="692"/>
        <v>0</v>
      </c>
      <c r="M3285" s="2258"/>
      <c r="N3285" s="2258">
        <v>0</v>
      </c>
      <c r="O3285" s="2258"/>
      <c r="P3285" s="2259"/>
      <c r="Q3285" s="2260"/>
      <c r="R3285" s="2260"/>
      <c r="S3285" s="2260"/>
    </row>
    <row r="3286" spans="1:19" s="2099" customFormat="1" ht="15" outlineLevel="1">
      <c r="A3286" s="2176" t="str">
        <f t="shared" si="698"/>
        <v/>
      </c>
      <c r="B3286" s="2255"/>
      <c r="C3286" s="2252">
        <f>IF(G3286&gt;0,C3278+1,C3278)</f>
        <v>0</v>
      </c>
      <c r="D3286" s="2253"/>
      <c r="E3286" s="2411" t="s">
        <v>4376</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5" outlineLevel="1">
      <c r="A3287" s="2176" t="str">
        <f>A3286</f>
        <v/>
      </c>
      <c r="B3287" s="2412"/>
      <c r="C3287" s="2252"/>
      <c r="D3287" s="2253"/>
      <c r="E3287" s="2261" t="s">
        <v>6289</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ht="15"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ht="15" outlineLevel="1">
      <c r="A3289" s="2176" t="str">
        <f t="shared" si="700"/>
        <v/>
      </c>
      <c r="B3289" s="2246" t="s">
        <v>1508</v>
      </c>
      <c r="C3289" s="2252"/>
      <c r="D3289" s="2146">
        <v>0</v>
      </c>
      <c r="E3289" s="2188" t="s">
        <v>5162</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ht="15" outlineLevel="1">
      <c r="A3290" s="2176" t="str">
        <f t="shared" si="700"/>
        <v/>
      </c>
      <c r="B3290" s="2246" t="s">
        <v>1585</v>
      </c>
      <c r="C3290" s="2252"/>
      <c r="D3290" s="2146">
        <v>0</v>
      </c>
      <c r="E3290" s="2188" t="s">
        <v>5712</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ht="15"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ht="15"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ht="15" outlineLevel="1">
      <c r="A3293" s="2176" t="str">
        <f t="shared" si="700"/>
        <v/>
      </c>
      <c r="B3293" s="2246" t="s">
        <v>525</v>
      </c>
      <c r="C3293" s="2252"/>
      <c r="D3293" s="2146">
        <v>0</v>
      </c>
      <c r="E3293" s="2188" t="s">
        <v>5251</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ht="15"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ht="15" outlineLevel="1">
      <c r="A3295" s="2176">
        <f>IF(G3295=0,0,1)</f>
        <v>0</v>
      </c>
      <c r="B3295" s="2246" t="s">
        <v>794</v>
      </c>
      <c r="C3295" s="2262"/>
      <c r="D3295" s="2146" t="s">
        <v>5335</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ht="15" outlineLevel="1">
      <c r="A3296" s="2176">
        <f>IF(G3296=0,0,1)</f>
        <v>0</v>
      </c>
      <c r="B3296" s="2246" t="s">
        <v>798</v>
      </c>
      <c r="C3296" s="2262"/>
      <c r="D3296" s="2146" t="s">
        <v>5324</v>
      </c>
      <c r="E3296" s="2188" t="s">
        <v>5336</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ht="15" outlineLevel="1">
      <c r="A3297" s="2176">
        <f>IF(G3297=0,0,1)</f>
        <v>0</v>
      </c>
      <c r="B3297" s="2246" t="s">
        <v>902</v>
      </c>
      <c r="C3297" s="2262"/>
      <c r="D3297" s="2146" t="s">
        <v>5350</v>
      </c>
      <c r="E3297" s="2188" t="s">
        <v>5351</v>
      </c>
      <c r="F3297" s="2495" t="s">
        <v>856</v>
      </c>
      <c r="G3297" s="2383">
        <f>G3289+G3290</f>
        <v>0</v>
      </c>
      <c r="H3297" s="2258">
        <v>0</v>
      </c>
      <c r="I3297" s="2258"/>
      <c r="J3297" s="2258" t="s">
        <v>6311</v>
      </c>
      <c r="K3297" s="2258">
        <v>0</v>
      </c>
      <c r="L3297" s="2258">
        <f>H3297*$G3297</f>
        <v>0</v>
      </c>
      <c r="M3297" s="2258">
        <f>I3297*$G3297</f>
        <v>0</v>
      </c>
      <c r="N3297" s="2258">
        <v>0</v>
      </c>
      <c r="O3297" s="2258">
        <f>K3297*$G3297</f>
        <v>0</v>
      </c>
      <c r="P3297" s="2259"/>
      <c r="Q3297" s="2260"/>
      <c r="R3297" s="2260"/>
      <c r="S3297" s="2260"/>
    </row>
    <row r="3298" spans="1:19" s="2099" customFormat="1" ht="15" outlineLevel="1">
      <c r="A3298" s="2176" t="str">
        <f>IF(G3298&lt;&gt;0,1,"")</f>
        <v/>
      </c>
      <c r="B3298" s="2246" t="s">
        <v>1437</v>
      </c>
      <c r="C3298" s="2252"/>
      <c r="D3298" s="2146" t="s">
        <v>5345</v>
      </c>
      <c r="E3298" s="2188" t="s">
        <v>5346</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ht="15" outlineLevel="1">
      <c r="A3299" s="2176" t="str">
        <f>IF(G3299&lt;&gt;0,1,"")</f>
        <v/>
      </c>
      <c r="B3299" s="2255"/>
      <c r="C3299" s="2252">
        <f>IF(G3299&gt;0,C3286+1,C3286)</f>
        <v>0</v>
      </c>
      <c r="D3299" s="2253"/>
      <c r="E3299" s="2370" t="s">
        <v>6290</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5" outlineLevel="1">
      <c r="A3300" s="2176" t="str">
        <f>A3299</f>
        <v/>
      </c>
      <c r="B3300" s="2255"/>
      <c r="C3300" s="2252"/>
      <c r="D3300" s="2253"/>
      <c r="E3300" s="2261" t="s">
        <v>6132</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ht="15" outlineLevel="1">
      <c r="A3301" s="2176" t="str">
        <f>IF(G3301&lt;&gt;0,1,"")</f>
        <v/>
      </c>
      <c r="B3301" s="2255" t="s">
        <v>6296</v>
      </c>
      <c r="C3301" s="2262"/>
      <c r="D3301" s="2146" t="s">
        <v>5632</v>
      </c>
      <c r="E3301" s="2188" t="s">
        <v>5638</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ht="15" outlineLevel="1">
      <c r="A3302" s="2176" t="str">
        <f>IF(G3302&lt;&gt;0,1,"")</f>
        <v/>
      </c>
      <c r="B3302" s="2255" t="s">
        <v>289</v>
      </c>
      <c r="C3302" s="2262"/>
      <c r="D3302" s="2146">
        <v>0</v>
      </c>
      <c r="E3302" s="2188" t="s">
        <v>5711</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ht="15"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5" outlineLevel="1">
      <c r="A3304" s="2176" t="str">
        <f>A3303</f>
        <v/>
      </c>
      <c r="B3304" s="2255"/>
      <c r="C3304" s="2252"/>
      <c r="D3304" s="2253"/>
      <c r="E3304" s="2261" t="s">
        <v>6132</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ht="15" outlineLevel="1">
      <c r="A3305" s="2176" t="str">
        <f t="shared" ref="A3305:A3313" si="706">IF(G3305&lt;&gt;0,1,"")</f>
        <v/>
      </c>
      <c r="B3305" s="2548" t="s">
        <v>752</v>
      </c>
      <c r="C3305" s="2262"/>
      <c r="D3305" s="2146">
        <v>0</v>
      </c>
      <c r="E3305" s="2353" t="s">
        <v>6391</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ht="15" outlineLevel="1">
      <c r="A3306" s="2176" t="str">
        <f t="shared" si="706"/>
        <v/>
      </c>
      <c r="B3306" s="2548" t="s">
        <v>867</v>
      </c>
      <c r="C3306" s="2262"/>
      <c r="D3306" s="2146">
        <v>0</v>
      </c>
      <c r="E3306" s="2353" t="s">
        <v>6392</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ht="15" outlineLevel="1">
      <c r="A3307" s="2176" t="str">
        <f t="shared" si="706"/>
        <v/>
      </c>
      <c r="B3307" s="2548" t="s">
        <v>1675</v>
      </c>
      <c r="C3307" s="2262"/>
      <c r="D3307" s="2146">
        <v>0</v>
      </c>
      <c r="E3307" s="2353" t="s">
        <v>6376</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ht="15" outlineLevel="1">
      <c r="A3308" s="2176" t="str">
        <f t="shared" si="706"/>
        <v/>
      </c>
      <c r="B3308" s="2548" t="s">
        <v>1676</v>
      </c>
      <c r="C3308" s="2262"/>
      <c r="D3308" s="2146" t="s">
        <v>5289</v>
      </c>
      <c r="E3308" s="2353" t="s">
        <v>6377</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ht="15"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ht="15" outlineLevel="1">
      <c r="A3310" s="2176" t="str">
        <f t="shared" si="706"/>
        <v/>
      </c>
      <c r="B3310" s="2548" t="s">
        <v>1678</v>
      </c>
      <c r="C3310" s="2262"/>
      <c r="D3310" s="2146" t="s">
        <v>5332</v>
      </c>
      <c r="E3310" s="2353" t="s">
        <v>6378</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ht="15" outlineLevel="1">
      <c r="A3311" s="2176" t="str">
        <f t="shared" si="706"/>
        <v/>
      </c>
      <c r="B3311" s="2548" t="s">
        <v>144</v>
      </c>
      <c r="C3311" s="2262"/>
      <c r="D3311" s="2146" t="s">
        <v>5326</v>
      </c>
      <c r="E3311" s="2353" t="s">
        <v>6379</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ht="15" outlineLevel="1">
      <c r="A3312" s="2176" t="str">
        <f t="shared" si="706"/>
        <v/>
      </c>
      <c r="B3312" s="2548" t="s">
        <v>529</v>
      </c>
      <c r="C3312" s="2262"/>
      <c r="D3312" s="2146" t="s">
        <v>5331</v>
      </c>
      <c r="E3312" s="2353" t="s">
        <v>6393</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ht="15"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5" outlineLevel="1">
      <c r="A3314" s="2176" t="str">
        <f>A3313</f>
        <v/>
      </c>
      <c r="B3314" s="2255"/>
      <c r="C3314" s="2252"/>
      <c r="D3314" s="2253"/>
      <c r="E3314" s="2261" t="s">
        <v>6132</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ht="15" outlineLevel="1">
      <c r="A3315" s="2176" t="str">
        <f t="shared" ref="A3315:A3322" si="707">IF(G3315&lt;&gt;0,1,"")</f>
        <v/>
      </c>
      <c r="B3315" s="2255" t="s">
        <v>623</v>
      </c>
      <c r="C3315" s="2262"/>
      <c r="D3315" s="2146" t="s">
        <v>5304</v>
      </c>
      <c r="E3315" s="2188" t="s">
        <v>5305</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ht="15"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ht="15"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ht="15"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ht="15"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ht="15" outlineLevel="1">
      <c r="A3320" s="2176" t="str">
        <f t="shared" si="707"/>
        <v/>
      </c>
      <c r="B3320" s="2255" t="s">
        <v>1410</v>
      </c>
      <c r="C3320" s="2252"/>
      <c r="D3320" s="2146" t="s">
        <v>5340</v>
      </c>
      <c r="E3320" s="2188" t="s">
        <v>5341</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ht="15" outlineLevel="1">
      <c r="A3321" s="2176" t="str">
        <f t="shared" si="707"/>
        <v/>
      </c>
      <c r="B3321" s="2255" t="s">
        <v>289</v>
      </c>
      <c r="C3321" s="2262"/>
      <c r="D3321" s="2146">
        <v>0</v>
      </c>
      <c r="E3321" s="2188" t="s">
        <v>5711</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ht="15"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5" outlineLevel="1">
      <c r="A3323" s="2176" t="str">
        <f>A3322</f>
        <v/>
      </c>
      <c r="B3323" s="2255"/>
      <c r="C3323" s="2252"/>
      <c r="D3323" s="2253"/>
      <c r="E3323" s="2268" t="s">
        <v>6132</v>
      </c>
      <c r="F3323" s="2252"/>
      <c r="G3323" s="2257"/>
      <c r="H3323" s="2258"/>
      <c r="I3323" s="2258"/>
      <c r="J3323" s="2258"/>
      <c r="K3323" s="2258"/>
      <c r="L3323" s="2258"/>
      <c r="M3323" s="2258"/>
      <c r="N3323" s="2258"/>
      <c r="O3323" s="2258"/>
      <c r="P3323" s="2259"/>
      <c r="Q3323" s="2260"/>
      <c r="R3323" s="2260"/>
      <c r="S3323" s="2260"/>
    </row>
    <row r="3324" spans="1:19" s="2099" customFormat="1" ht="15" outlineLevel="1">
      <c r="A3324" s="2176" t="str">
        <f>IF(G3324&lt;&gt;0,1,"")</f>
        <v/>
      </c>
      <c r="B3324" s="2246" t="s">
        <v>470</v>
      </c>
      <c r="C3324" s="2262"/>
      <c r="D3324" s="2146">
        <v>0</v>
      </c>
      <c r="E3324" s="2188" t="s">
        <v>6394</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ht="15" outlineLevel="1">
      <c r="A3325" s="2176" t="str">
        <f t="shared" ref="A3325:A3334" si="708">IF(G3325&lt;&gt;0,1,"")</f>
        <v/>
      </c>
      <c r="B3325" s="2246" t="s">
        <v>271</v>
      </c>
      <c r="C3325" s="2262"/>
      <c r="D3325" s="2146">
        <v>0</v>
      </c>
      <c r="E3325" s="2188" t="s">
        <v>6395</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ht="15"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ht="15" outlineLevel="1">
      <c r="A3327" s="2176" t="str">
        <f t="shared" si="708"/>
        <v/>
      </c>
      <c r="B3327" s="2246" t="s">
        <v>470</v>
      </c>
      <c r="C3327" s="2262"/>
      <c r="D3327" s="2146">
        <v>0</v>
      </c>
      <c r="E3327" s="2188" t="s">
        <v>6384</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ht="15" outlineLevel="1">
      <c r="A3328" s="2176" t="str">
        <f t="shared" si="708"/>
        <v/>
      </c>
      <c r="B3328" s="2246" t="s">
        <v>271</v>
      </c>
      <c r="C3328" s="2262"/>
      <c r="D3328" s="2146">
        <v>0</v>
      </c>
      <c r="E3328" s="2188" t="s">
        <v>6385</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ht="15"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ht="15" outlineLevel="1">
      <c r="A3330" s="2176" t="str">
        <f t="shared" si="708"/>
        <v/>
      </c>
      <c r="B3330" s="2246" t="s">
        <v>1674</v>
      </c>
      <c r="C3330" s="2262"/>
      <c r="D3330" s="2146" t="s">
        <v>5458</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ht="15" outlineLevel="1">
      <c r="A3331" s="2176" t="str">
        <f t="shared" si="708"/>
        <v/>
      </c>
      <c r="B3331" s="2246" t="s">
        <v>1182</v>
      </c>
      <c r="C3331" s="2262"/>
      <c r="D3331" s="2146" t="s">
        <v>5551</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ht="15" outlineLevel="1">
      <c r="A3332" s="2176" t="str">
        <f t="shared" si="708"/>
        <v/>
      </c>
      <c r="B3332" s="2246" t="s">
        <v>1525</v>
      </c>
      <c r="C3332" s="2262"/>
      <c r="D3332" s="2146" t="s">
        <v>5570</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ht="15"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ht="15"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5" outlineLevel="1">
      <c r="A3335" s="2176" t="str">
        <f>A3334</f>
        <v/>
      </c>
      <c r="B3335" s="2255"/>
      <c r="C3335" s="2252"/>
      <c r="D3335" s="2253"/>
      <c r="E3335" s="2268" t="s">
        <v>6132</v>
      </c>
      <c r="F3335" s="2252"/>
      <c r="G3335" s="2257"/>
      <c r="H3335" s="2258"/>
      <c r="I3335" s="2258"/>
      <c r="J3335" s="2258"/>
      <c r="K3335" s="2258"/>
      <c r="L3335" s="2258"/>
      <c r="M3335" s="2258"/>
      <c r="N3335" s="2258"/>
      <c r="O3335" s="2258"/>
      <c r="P3335" s="2259"/>
      <c r="Q3335" s="2260"/>
      <c r="R3335" s="2260"/>
      <c r="S3335" s="2260"/>
    </row>
    <row r="3336" spans="1:19" s="2099" customFormat="1" ht="15" outlineLevel="1">
      <c r="A3336" s="2176" t="str">
        <f t="shared" ref="A3336:A3342" si="713">IF(G3336&lt;&gt;0,1,"")</f>
        <v/>
      </c>
      <c r="B3336" s="2246" t="s">
        <v>697</v>
      </c>
      <c r="C3336" s="2262"/>
      <c r="D3336" s="2146">
        <v>0</v>
      </c>
      <c r="E3336" s="2188" t="s">
        <v>5086</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ht="15"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ht="15"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ht="15"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ht="15" outlineLevel="1">
      <c r="A3340" s="2176" t="str">
        <f t="shared" si="713"/>
        <v/>
      </c>
      <c r="B3340" s="2351" t="s">
        <v>1477</v>
      </c>
      <c r="C3340" s="2262"/>
      <c r="D3340" s="2146">
        <v>0</v>
      </c>
      <c r="E3340" s="2188" t="s">
        <v>6345</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ht="15"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ht="15"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ht="15" outlineLevel="1">
      <c r="A3343" s="2176" t="str">
        <f>IF(G3343&lt;&gt;0,1,"")</f>
        <v/>
      </c>
      <c r="B3343" s="2246" t="s">
        <v>347</v>
      </c>
      <c r="C3343" s="2262"/>
      <c r="D3343" s="2146" t="s">
        <v>5559</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ht="15" outlineLevel="1">
      <c r="A3344" s="2176" t="str">
        <f>IF(G3344&lt;&gt;0,1,"")</f>
        <v/>
      </c>
      <c r="B3344" s="2246"/>
      <c r="C3344" s="2252">
        <f>IF(G3344&gt;0,C3334+1,C3334)</f>
        <v>0</v>
      </c>
      <c r="D3344" s="2253"/>
      <c r="E3344" s="2254" t="s">
        <v>6292</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5" outlineLevel="1">
      <c r="A3345" s="2176" t="str">
        <f>A3344</f>
        <v/>
      </c>
      <c r="B3345" s="2246"/>
      <c r="C3345" s="2252"/>
      <c r="D3345" s="2253"/>
      <c r="E3345" s="2268" t="s">
        <v>6132</v>
      </c>
      <c r="F3345" s="2252"/>
      <c r="G3345" s="2263"/>
      <c r="H3345" s="2258"/>
      <c r="I3345" s="2258"/>
      <c r="J3345" s="2258"/>
      <c r="K3345" s="2258"/>
      <c r="L3345" s="2258"/>
      <c r="M3345" s="2258"/>
      <c r="N3345" s="2258"/>
      <c r="O3345" s="2258"/>
      <c r="P3345" s="2259"/>
      <c r="Q3345" s="2260"/>
      <c r="R3345" s="2260"/>
      <c r="S3345" s="2260"/>
    </row>
    <row r="3346" spans="1:19" s="2099" customFormat="1" ht="15"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ht="15" outlineLevel="1">
      <c r="A3347" s="2176" t="str">
        <f t="shared" si="717"/>
        <v/>
      </c>
      <c r="B3347" s="2255" t="s">
        <v>448</v>
      </c>
      <c r="C3347" s="2262"/>
      <c r="D3347" s="2146" t="s">
        <v>5731</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ht="15"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ht="15"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ht="15" outlineLevel="1">
      <c r="A3350" s="2176" t="str">
        <f t="shared" si="717"/>
        <v/>
      </c>
      <c r="B3350" s="2246" t="s">
        <v>731</v>
      </c>
      <c r="C3350" s="2262"/>
      <c r="D3350" s="2146">
        <v>0</v>
      </c>
      <c r="E3350" s="2188" t="s">
        <v>5257</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ht="15" outlineLevel="1">
      <c r="A3351" s="2176" t="str">
        <f t="shared" si="717"/>
        <v/>
      </c>
      <c r="B3351" s="2255" t="s">
        <v>1043</v>
      </c>
      <c r="C3351" s="2262"/>
      <c r="D3351" s="2146">
        <v>0</v>
      </c>
      <c r="E3351" s="2188" t="s">
        <v>5797</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ht="15"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ht="15"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ht="15"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ht="15" outlineLevel="1">
      <c r="A3355" s="2176" t="str">
        <f>IF(G3355&lt;&gt;0,1,"")</f>
        <v/>
      </c>
      <c r="B3355" s="2246" t="s">
        <v>6</v>
      </c>
      <c r="C3355" s="2262"/>
      <c r="D3355" s="2146"/>
      <c r="E3355" s="2188" t="s">
        <v>3567</v>
      </c>
      <c r="F3355" s="2146" t="s">
        <v>5805</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ht="15"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ht="15" outlineLevel="1">
      <c r="A3357" s="2176" t="str">
        <f>IF(G3357&lt;&gt;0,1,"")</f>
        <v/>
      </c>
      <c r="B3357" s="2246" t="s">
        <v>672</v>
      </c>
      <c r="C3357" s="2262"/>
      <c r="D3357" s="2146">
        <v>0</v>
      </c>
      <c r="E3357" s="2188" t="s">
        <v>5800</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ht="15" outlineLevel="1">
      <c r="A3358" s="2176" t="str">
        <f>IF(G3358&lt;&gt;0,1,"")</f>
        <v/>
      </c>
      <c r="B3358" s="2246" t="s">
        <v>247</v>
      </c>
      <c r="C3358" s="2565"/>
      <c r="D3358" s="2146" t="s">
        <v>5572</v>
      </c>
      <c r="E3358" s="2188" t="s">
        <v>5573</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ht="15" outlineLevel="1">
      <c r="A3359" s="2176" t="str">
        <f>IF(G3359&lt;&gt;0,1,"")</f>
        <v/>
      </c>
      <c r="B3359" s="2246"/>
      <c r="C3359" s="2252">
        <f>IF(G3359&gt;0,C3344+1,C3344)</f>
        <v>0</v>
      </c>
      <c r="D3359" s="2253"/>
      <c r="E3359" s="2254" t="s">
        <v>6252</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5" outlineLevel="1">
      <c r="A3360" s="2176" t="str">
        <f>A3359</f>
        <v/>
      </c>
      <c r="B3360" s="2494"/>
      <c r="C3360" s="2252"/>
      <c r="D3360" s="2253"/>
      <c r="E3360" s="2268" t="s">
        <v>6132</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ht="15"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ht="15" outlineLevel="1">
      <c r="A3362" s="2176">
        <f>IF(G3362=0,0,1)</f>
        <v>0</v>
      </c>
      <c r="B3362" s="2246" t="s">
        <v>6253</v>
      </c>
      <c r="C3362" s="2262"/>
      <c r="D3362" s="2146">
        <v>0</v>
      </c>
      <c r="E3362" s="2353" t="s">
        <v>5052</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ht="15" outlineLevel="1">
      <c r="A3363" s="2176">
        <f>IF(G3363=0,0,1)</f>
        <v>0</v>
      </c>
      <c r="B3363" s="2246" t="s">
        <v>6254</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ht="15" outlineLevel="1">
      <c r="A3364" s="2176">
        <f t="shared" ref="A3364:A3381" si="723">IF(G3364=0,0,1)</f>
        <v>0</v>
      </c>
      <c r="B3364" s="2255" t="s">
        <v>246</v>
      </c>
      <c r="C3364" s="2383"/>
      <c r="D3364" s="2146">
        <v>0</v>
      </c>
      <c r="E3364" s="2353" t="s">
        <v>5868</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ht="15"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ht="15"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ht="15"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ht="15"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ht="15"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ht="15"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ht="15"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ht="15"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ht="15" outlineLevel="1">
      <c r="A3373" s="2176">
        <f t="shared" si="723"/>
        <v>0</v>
      </c>
      <c r="B3373" s="2246" t="s">
        <v>672</v>
      </c>
      <c r="C3373" s="2262"/>
      <c r="D3373" s="2146">
        <v>0</v>
      </c>
      <c r="E3373" s="2353" t="s">
        <v>5800</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ht="15"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ht="15"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ht="15" outlineLevel="1">
      <c r="A3376" s="2176">
        <f t="shared" si="723"/>
        <v>0</v>
      </c>
      <c r="B3376" s="2246" t="s">
        <v>319</v>
      </c>
      <c r="C3376" s="2262"/>
      <c r="D3376" s="2146">
        <v>0</v>
      </c>
      <c r="E3376" s="2353" t="s">
        <v>5268</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ht="15" outlineLevel="1">
      <c r="A3377" s="2176">
        <f t="shared" si="723"/>
        <v>0</v>
      </c>
      <c r="B3377" s="2246" t="s">
        <v>1915</v>
      </c>
      <c r="C3377" s="2262"/>
      <c r="D3377" s="2146" t="s">
        <v>5654</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ht="15" outlineLevel="1">
      <c r="A3378" s="2176">
        <f t="shared" si="723"/>
        <v>0</v>
      </c>
      <c r="B3378" s="2246" t="s">
        <v>6</v>
      </c>
      <c r="C3378" s="2262"/>
      <c r="D3378" s="2146">
        <v>0</v>
      </c>
      <c r="E3378" s="2353" t="s">
        <v>3567</v>
      </c>
      <c r="F3378" s="2495" t="s">
        <v>5805</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ht="15"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ht="15" outlineLevel="1">
      <c r="A3380" s="2176">
        <f t="shared" si="723"/>
        <v>0</v>
      </c>
      <c r="B3380" s="2246" t="s">
        <v>1035</v>
      </c>
      <c r="C3380" s="2262"/>
      <c r="D3380" s="2146">
        <v>0</v>
      </c>
      <c r="E3380" s="2353" t="s">
        <v>6388</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ht="15" outlineLevel="1">
      <c r="A3381" s="2176">
        <f t="shared" si="723"/>
        <v>0</v>
      </c>
      <c r="B3381" s="2246" t="s">
        <v>6254</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ht="15" outlineLevel="1">
      <c r="A3382" s="2176">
        <f>A3231</f>
        <v>0</v>
      </c>
      <c r="B3382" s="2351"/>
      <c r="C3382" s="2566"/>
      <c r="D3382" s="2418"/>
      <c r="E3382" s="2393"/>
      <c r="F3382" s="2631"/>
      <c r="G3382" s="2632"/>
      <c r="H3382" s="2631"/>
      <c r="I3382" s="2631"/>
      <c r="J3382" s="2641" t="s">
        <v>6130</v>
      </c>
      <c r="K3382" s="2641"/>
      <c r="L3382" s="2419">
        <f>SUM(L3250:L3381)</f>
        <v>0</v>
      </c>
      <c r="M3382" s="2419">
        <f>SUM(M3250:M3381)</f>
        <v>0</v>
      </c>
      <c r="N3382" s="2419">
        <f>SUM(N3250:N3381)</f>
        <v>0</v>
      </c>
      <c r="O3382" s="2419">
        <f>SUM(O3250:O3381)</f>
        <v>0</v>
      </c>
      <c r="P3382" s="2562"/>
      <c r="Q3382" s="2260"/>
      <c r="R3382" s="2260"/>
      <c r="S3382" s="2260"/>
    </row>
    <row r="3383" spans="1:19" s="2099" customFormat="1" ht="15"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ht="15"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ht="15" outlineLevel="1">
      <c r="A3386" s="2176">
        <f>A3384</f>
        <v>0</v>
      </c>
      <c r="B3386" s="2255" t="s">
        <v>6111</v>
      </c>
      <c r="C3386" s="2642" t="s">
        <v>1708</v>
      </c>
      <c r="D3386" s="2643" t="s">
        <v>2597</v>
      </c>
      <c r="E3386" s="2645" t="s">
        <v>2598</v>
      </c>
      <c r="F3386" s="2642" t="s">
        <v>2593</v>
      </c>
      <c r="G3386" s="2103" t="s">
        <v>6112</v>
      </c>
      <c r="H3386" s="2106" t="s">
        <v>6113</v>
      </c>
      <c r="I3386" s="2613"/>
      <c r="J3386" s="2613"/>
      <c r="K3386" s="2614"/>
      <c r="L3386" s="2106" t="s">
        <v>6114</v>
      </c>
      <c r="M3386" s="2613"/>
      <c r="N3386" s="2613"/>
      <c r="O3386" s="2614"/>
      <c r="P3386" s="2642" t="s">
        <v>2599</v>
      </c>
      <c r="Q3386" s="2260"/>
      <c r="R3386" s="2260"/>
      <c r="S3386" s="2260"/>
    </row>
    <row r="3387" spans="1:19" s="2099" customFormat="1" ht="15" outlineLevel="1">
      <c r="A3387" s="2176">
        <f>A3386</f>
        <v>0</v>
      </c>
      <c r="B3387" s="2255"/>
      <c r="C3387" s="2642"/>
      <c r="D3387" s="2644"/>
      <c r="E3387" s="2646"/>
      <c r="F3387" s="2642"/>
      <c r="G3387" s="2105" t="s">
        <v>2286</v>
      </c>
      <c r="H3387" s="2106" t="s">
        <v>6115</v>
      </c>
      <c r="I3387" s="2106" t="s">
        <v>6116</v>
      </c>
      <c r="J3387" s="2106" t="s">
        <v>6117</v>
      </c>
      <c r="K3387" s="2106" t="s">
        <v>6118</v>
      </c>
      <c r="L3387" s="2106" t="s">
        <v>6115</v>
      </c>
      <c r="M3387" s="2106" t="s">
        <v>6116</v>
      </c>
      <c r="N3387" s="2106" t="s">
        <v>6117</v>
      </c>
      <c r="O3387" s="2106" t="s">
        <v>6118</v>
      </c>
      <c r="P3387" s="2642"/>
      <c r="Q3387" s="2260"/>
      <c r="R3387" s="2260"/>
      <c r="S3387" s="2260"/>
    </row>
    <row r="3388" spans="1:19" s="2099" customFormat="1" ht="15"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ht="15" outlineLevel="1">
      <c r="A3389" s="2176" t="str">
        <f t="shared" ref="A3389:A3399" si="724">IF(G3389&lt;&gt;0,1,"")</f>
        <v/>
      </c>
      <c r="B3389" s="2246" t="str">
        <f>IF($F$8=15,"tr2000","tr20001")</f>
        <v>tr20001</v>
      </c>
      <c r="C3389" s="2262">
        <f>IF(G3389&gt;0,1,0)</f>
        <v>0</v>
      </c>
      <c r="D3389" s="2146" t="s">
        <v>5593</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ht="15" outlineLevel="1">
      <c r="A3390" s="2176" t="str">
        <f t="shared" si="724"/>
        <v/>
      </c>
      <c r="B3390" s="2351" t="s">
        <v>393</v>
      </c>
      <c r="C3390" s="2262">
        <f t="shared" ref="C3390:C3396" si="729">IF(G3390&gt;0,C3389+1,C3389)</f>
        <v>0</v>
      </c>
      <c r="D3390" s="2146" t="s">
        <v>5599</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ht="15"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6284</v>
      </c>
      <c r="Q3391" s="2260"/>
      <c r="R3391" s="2260"/>
      <c r="S3391" s="2260"/>
    </row>
    <row r="3392" spans="1:19" s="2099" customFormat="1" ht="15" outlineLevel="1">
      <c r="A3392" s="2176" t="str">
        <f t="shared" si="724"/>
        <v/>
      </c>
      <c r="B3392" s="2112" t="str">
        <f>"FCO200-"&amp;$F$8</f>
        <v>FCO200-22</v>
      </c>
      <c r="C3392" s="2262">
        <f t="shared" si="729"/>
        <v>0</v>
      </c>
      <c r="D3392" s="2146" t="s">
        <v>5597</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ht="15"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ht="15" outlineLevel="1">
      <c r="A3394" s="2176" t="str">
        <f t="shared" si="724"/>
        <v/>
      </c>
      <c r="B3394" s="2255" t="str">
        <f>"LA"&amp;$F$6</f>
        <v>LA18</v>
      </c>
      <c r="C3394" s="2262">
        <f t="shared" si="729"/>
        <v>0</v>
      </c>
      <c r="D3394" s="2146" t="s">
        <v>5601</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ht="15"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ht="15" outlineLevel="1">
      <c r="A3396" s="2176" t="str">
        <f t="shared" si="724"/>
        <v/>
      </c>
      <c r="B3396" s="2351" t="s">
        <v>6298</v>
      </c>
      <c r="C3396" s="2262">
        <f t="shared" si="729"/>
        <v>0</v>
      </c>
      <c r="D3396" s="2146" t="s">
        <v>1025</v>
      </c>
      <c r="E3396" s="2188" t="s">
        <v>5615</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ht="15"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ht="15" outlineLevel="1">
      <c r="A3398" s="2176" t="str">
        <f t="shared" si="724"/>
        <v/>
      </c>
      <c r="B3398" s="2246" t="s">
        <v>2187</v>
      </c>
      <c r="C3398" s="2262">
        <f>IF(G3398&gt;0,C3396+1,C3396)</f>
        <v>0</v>
      </c>
      <c r="D3398" s="2146">
        <v>0</v>
      </c>
      <c r="E3398" s="2188" t="s">
        <v>5610</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ht="15" outlineLevel="1">
      <c r="A3399" s="2176" t="str">
        <f t="shared" si="724"/>
        <v/>
      </c>
      <c r="B3399" s="2561" t="s">
        <v>1837</v>
      </c>
      <c r="C3399" s="2262">
        <f>IF(G3399&gt;0,C3397+1,C3397)</f>
        <v>0</v>
      </c>
      <c r="D3399" s="2146">
        <v>0</v>
      </c>
      <c r="E3399" s="2188" t="s">
        <v>5708</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ht="15" outlineLevel="1">
      <c r="A3400" s="2176">
        <f>A3384</f>
        <v>0</v>
      </c>
      <c r="B3400" s="2255"/>
      <c r="C3400" s="2387"/>
      <c r="D3400" s="2388"/>
      <c r="E3400" s="2389"/>
      <c r="F3400" s="2387"/>
      <c r="G3400" s="2630"/>
      <c r="H3400" s="2387"/>
      <c r="I3400" s="2387"/>
      <c r="J3400" s="2111" t="s">
        <v>6120</v>
      </c>
      <c r="K3400" s="2387"/>
      <c r="L3400" s="2389">
        <f>SUM(L3389:L3399)</f>
        <v>0</v>
      </c>
      <c r="M3400" s="2389">
        <f>SUM(M3389:M3399)</f>
        <v>0</v>
      </c>
      <c r="N3400" s="2389">
        <f>SUM(N3389:N3399)</f>
        <v>0</v>
      </c>
      <c r="O3400" s="2389">
        <f>SUM(O3389:O3399)</f>
        <v>0</v>
      </c>
      <c r="P3400" s="2562"/>
      <c r="Q3400" s="2260"/>
      <c r="R3400" s="2260"/>
      <c r="S3400" s="2260"/>
    </row>
    <row r="3401" spans="1:19" s="2099" customFormat="1" ht="15"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ht="15" outlineLevel="1">
      <c r="A3402" s="2176" t="str">
        <f t="shared" ref="A3402:A3413" si="730">IF(G3402&lt;&gt;0,1,"")</f>
        <v/>
      </c>
      <c r="B3402" s="2395"/>
      <c r="C3402" s="2396">
        <f>IF(G3402&gt;0,1,0)</f>
        <v>0</v>
      </c>
      <c r="D3402" s="2146"/>
      <c r="E3402" s="2397" t="s">
        <v>6216</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ht="15"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ht="15"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ht="15" outlineLevel="1">
      <c r="A3405" s="2176" t="str">
        <f t="shared" si="730"/>
        <v/>
      </c>
      <c r="B3405" s="2351" t="s">
        <v>1612</v>
      </c>
      <c r="C3405" s="2401"/>
      <c r="D3405" s="2146" t="s">
        <v>5356</v>
      </c>
      <c r="E3405" s="2402" t="s">
        <v>5357</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ht="15" outlineLevel="1">
      <c r="A3406" s="2176" t="str">
        <f t="shared" si="730"/>
        <v/>
      </c>
      <c r="B3406" s="2351" t="s">
        <v>2234</v>
      </c>
      <c r="C3406" s="2401"/>
      <c r="D3406" s="2146"/>
      <c r="E3406" s="2402" t="s">
        <v>5323</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ht="15" outlineLevel="1">
      <c r="A3407" s="2176" t="str">
        <f t="shared" si="730"/>
        <v/>
      </c>
      <c r="B3407" s="2351" t="s">
        <v>21</v>
      </c>
      <c r="C3407" s="2401"/>
      <c r="D3407" s="2146" t="s">
        <v>5324</v>
      </c>
      <c r="E3407" s="2402" t="s">
        <v>5325</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ht="15"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ht="15" outlineLevel="1">
      <c r="A3409" s="2176" t="str">
        <f t="shared" si="730"/>
        <v/>
      </c>
      <c r="B3409" s="2351" t="s">
        <v>636</v>
      </c>
      <c r="C3409" s="2401"/>
      <c r="D3409" s="2146" t="s">
        <v>5046</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ht="15" outlineLevel="1">
      <c r="A3410" s="2176" t="str">
        <f t="shared" si="730"/>
        <v/>
      </c>
      <c r="B3410" s="2351" t="s">
        <v>566</v>
      </c>
      <c r="C3410" s="2401"/>
      <c r="D3410" s="2146"/>
      <c r="E3410" s="2402" t="s">
        <v>5071</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ht="15" outlineLevel="1">
      <c r="A3411" s="2176" t="str">
        <f t="shared" si="730"/>
        <v/>
      </c>
      <c r="B3411" s="2351" t="s">
        <v>639</v>
      </c>
      <c r="C3411" s="2401"/>
      <c r="D3411" s="2146" t="s">
        <v>1747</v>
      </c>
      <c r="E3411" s="2402" t="s">
        <v>5323</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ht="15" outlineLevel="1">
      <c r="A3412" s="2176" t="str">
        <f t="shared" si="730"/>
        <v/>
      </c>
      <c r="B3412" s="2351" t="s">
        <v>21</v>
      </c>
      <c r="C3412" s="2401"/>
      <c r="D3412" s="2146" t="s">
        <v>5324</v>
      </c>
      <c r="E3412" s="2402" t="s">
        <v>5325</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ht="15"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5" outlineLevel="1">
      <c r="A3414" s="2176" t="str">
        <f>A3413</f>
        <v/>
      </c>
      <c r="B3414" s="2255"/>
      <c r="C3414" s="2252"/>
      <c r="D3414" s="2408"/>
      <c r="E3414" s="2261" t="s">
        <v>6132</v>
      </c>
      <c r="F3414" s="2262"/>
      <c r="G3414" s="2263"/>
      <c r="H3414" s="2409"/>
      <c r="I3414" s="2409"/>
      <c r="J3414" s="2409"/>
      <c r="K3414" s="2409"/>
      <c r="L3414" s="2409"/>
      <c r="M3414" s="2409"/>
      <c r="N3414" s="2409"/>
      <c r="O3414" s="2409"/>
      <c r="P3414" s="2259"/>
      <c r="Q3414" s="2260"/>
      <c r="R3414" s="2260"/>
      <c r="S3414" s="2260"/>
    </row>
    <row r="3415" spans="1:19" s="2099" customFormat="1" ht="15" outlineLevel="1">
      <c r="A3415" s="2176" t="str">
        <f t="shared" ref="A3415:A3421" si="731">IF(G3415&lt;&gt;0,1,"")</f>
        <v/>
      </c>
      <c r="B3415" s="2246" t="s">
        <v>1136</v>
      </c>
      <c r="C3415" s="2252"/>
      <c r="D3415" s="2146">
        <v>0</v>
      </c>
      <c r="E3415" s="2188" t="s">
        <v>4456</v>
      </c>
      <c r="F3415" s="2146" t="s">
        <v>2248</v>
      </c>
      <c r="G3415" s="2263">
        <f>2*G3413</f>
        <v>0</v>
      </c>
      <c r="H3415" s="2353">
        <v>31625</v>
      </c>
      <c r="I3415" s="2410"/>
      <c r="J3415" s="2353" t="s">
        <v>6402</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ht="15" outlineLevel="1">
      <c r="A3416" s="2176" t="str">
        <f t="shared" si="731"/>
        <v/>
      </c>
      <c r="B3416" s="2246" t="s">
        <v>1137</v>
      </c>
      <c r="C3416" s="2252"/>
      <c r="D3416" s="2146">
        <v>0</v>
      </c>
      <c r="E3416" s="2188" t="s">
        <v>5837</v>
      </c>
      <c r="F3416" s="2146" t="s">
        <v>2248</v>
      </c>
      <c r="G3416" s="2263">
        <f>G3413*4</f>
        <v>0</v>
      </c>
      <c r="H3416" s="2353">
        <v>31625</v>
      </c>
      <c r="I3416" s="2410"/>
      <c r="J3416" s="2353" t="s">
        <v>6403</v>
      </c>
      <c r="K3416" s="2353">
        <v>0</v>
      </c>
      <c r="L3416" s="2354">
        <f t="shared" si="732"/>
        <v>0</v>
      </c>
      <c r="M3416" s="2354">
        <f t="shared" si="733"/>
        <v>0</v>
      </c>
      <c r="N3416" s="2353">
        <v>0</v>
      </c>
      <c r="O3416" s="2354">
        <f t="shared" si="734"/>
        <v>0</v>
      </c>
      <c r="P3416" s="2259"/>
      <c r="Q3416" s="2260"/>
      <c r="R3416" s="2260"/>
      <c r="S3416" s="2260"/>
    </row>
    <row r="3417" spans="1:19" s="2099" customFormat="1" ht="15" outlineLevel="1">
      <c r="A3417" s="2176" t="str">
        <f t="shared" si="731"/>
        <v/>
      </c>
      <c r="B3417" s="2246" t="s">
        <v>1138</v>
      </c>
      <c r="C3417" s="2252"/>
      <c r="D3417" s="2146">
        <v>0</v>
      </c>
      <c r="E3417" s="2188" t="s">
        <v>5836</v>
      </c>
      <c r="F3417" s="2146" t="s">
        <v>2248</v>
      </c>
      <c r="G3417" s="2263">
        <f>G3413*2</f>
        <v>0</v>
      </c>
      <c r="H3417" s="2353">
        <v>31625</v>
      </c>
      <c r="I3417" s="2410"/>
      <c r="J3417" s="2353" t="s">
        <v>6403</v>
      </c>
      <c r="K3417" s="2353">
        <v>0</v>
      </c>
      <c r="L3417" s="2354">
        <f t="shared" si="732"/>
        <v>0</v>
      </c>
      <c r="M3417" s="2354">
        <f t="shared" si="733"/>
        <v>0</v>
      </c>
      <c r="N3417" s="2353">
        <v>0</v>
      </c>
      <c r="O3417" s="2354">
        <f t="shared" si="734"/>
        <v>0</v>
      </c>
      <c r="P3417" s="2259"/>
      <c r="Q3417" s="2260"/>
      <c r="R3417" s="2260"/>
      <c r="S3417" s="2260"/>
    </row>
    <row r="3418" spans="1:19" s="2099" customFormat="1" ht="15"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ht="15"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ht="15"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ht="15" outlineLevel="1">
      <c r="A3421" s="2176" t="str">
        <f t="shared" si="731"/>
        <v/>
      </c>
      <c r="B3421" s="2255"/>
      <c r="C3421" s="2252">
        <f>IF(G3421&gt;0,C3413+1,C3413)</f>
        <v>0</v>
      </c>
      <c r="D3421" s="2253"/>
      <c r="E3421" s="2411" t="s">
        <v>6270</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5" outlineLevel="1">
      <c r="A3422" s="2176" t="str">
        <f>A3421</f>
        <v/>
      </c>
      <c r="B3422" s="2255"/>
      <c r="C3422" s="2252"/>
      <c r="D3422" s="2253"/>
      <c r="E3422" s="2261" t="s">
        <v>6132</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ht="15"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ht="15"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ht="15"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ht="15"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ht="15" outlineLevel="1">
      <c r="A3427" s="2176" t="str">
        <f t="shared" si="736"/>
        <v/>
      </c>
      <c r="B3427" s="2255" t="s">
        <v>2242</v>
      </c>
      <c r="C3427" s="2252"/>
      <c r="D3427" s="2146" t="s">
        <v>730</v>
      </c>
      <c r="E3427" s="2188" t="s">
        <v>2440</v>
      </c>
      <c r="F3427" s="2146" t="s">
        <v>2385</v>
      </c>
      <c r="G3427" s="2263">
        <f>G3421</f>
        <v>0</v>
      </c>
      <c r="H3427" s="2353">
        <v>0</v>
      </c>
      <c r="I3427" s="2353"/>
      <c r="J3427" s="2353" t="s">
        <v>6344</v>
      </c>
      <c r="K3427" s="2353"/>
      <c r="L3427" s="2354">
        <f t="shared" si="732"/>
        <v>0</v>
      </c>
      <c r="M3427" s="2354"/>
      <c r="N3427" s="2353">
        <v>0</v>
      </c>
      <c r="O3427" s="2354"/>
      <c r="P3427" s="2259"/>
      <c r="Q3427" s="2260"/>
      <c r="R3427" s="2260"/>
      <c r="S3427" s="2260"/>
    </row>
    <row r="3428" spans="1:19" s="2099" customFormat="1" ht="15" outlineLevel="1">
      <c r="A3428" s="2176" t="str">
        <f t="shared" si="736"/>
        <v/>
      </c>
      <c r="B3428" s="2255"/>
      <c r="C3428" s="2252">
        <f>IF(G3428&gt;0,C3421+1,C3421)</f>
        <v>0</v>
      </c>
      <c r="D3428" s="2253"/>
      <c r="E3428" s="2411" t="s">
        <v>6299</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5" outlineLevel="1">
      <c r="A3429" s="2176" t="str">
        <f>A3428</f>
        <v/>
      </c>
      <c r="B3429" s="2255"/>
      <c r="C3429" s="2252"/>
      <c r="D3429" s="2253"/>
      <c r="E3429" s="2261" t="s">
        <v>6132</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ht="15"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ht="15"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ht="15"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ht="15" outlineLevel="1">
      <c r="A3433" s="2176" t="str">
        <f t="shared" si="737"/>
        <v/>
      </c>
      <c r="B3433" s="2246" t="s">
        <v>2271</v>
      </c>
      <c r="C3433" s="2252"/>
      <c r="D3433" s="2146">
        <v>0</v>
      </c>
      <c r="E3433" s="2188" t="s">
        <v>5077</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ht="15" outlineLevel="1">
      <c r="A3434" s="2176" t="str">
        <f t="shared" si="737"/>
        <v/>
      </c>
      <c r="B3434" s="2255" t="s">
        <v>2242</v>
      </c>
      <c r="C3434" s="2252"/>
      <c r="D3434" s="2146" t="s">
        <v>730</v>
      </c>
      <c r="E3434" s="2188" t="s">
        <v>2440</v>
      </c>
      <c r="F3434" s="2146" t="s">
        <v>2385</v>
      </c>
      <c r="G3434" s="2263">
        <f>G3428</f>
        <v>0</v>
      </c>
      <c r="H3434" s="2353">
        <v>0</v>
      </c>
      <c r="I3434" s="2353"/>
      <c r="J3434" s="2353" t="s">
        <v>6344</v>
      </c>
      <c r="K3434" s="2353"/>
      <c r="L3434" s="2354">
        <f t="shared" ref="L3434:L3461" si="738">H3434*G3434</f>
        <v>0</v>
      </c>
      <c r="M3434" s="2354"/>
      <c r="N3434" s="2353">
        <v>0</v>
      </c>
      <c r="O3434" s="2354"/>
      <c r="P3434" s="2259"/>
      <c r="Q3434" s="2260"/>
      <c r="R3434" s="2260"/>
      <c r="S3434" s="2260"/>
    </row>
    <row r="3435" spans="1:19" s="2099" customFormat="1" ht="15" outlineLevel="1">
      <c r="A3435" s="2176" t="str">
        <f t="shared" si="737"/>
        <v/>
      </c>
      <c r="B3435" s="2255"/>
      <c r="C3435" s="2252">
        <f>IF(G3435&gt;0,C3428+1,C3428)</f>
        <v>0</v>
      </c>
      <c r="D3435" s="2253"/>
      <c r="E3435" s="2411" t="s">
        <v>6220</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5" outlineLevel="1">
      <c r="A3436" s="2176" t="str">
        <f>A3435</f>
        <v/>
      </c>
      <c r="B3436" s="2255"/>
      <c r="C3436" s="2252"/>
      <c r="D3436" s="2253"/>
      <c r="E3436" s="2261" t="s">
        <v>6132</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ht="15"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ht="15"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ht="15" outlineLevel="1">
      <c r="A3439" s="2176" t="str">
        <f t="shared" si="739"/>
        <v/>
      </c>
      <c r="B3439" s="2255" t="s">
        <v>2242</v>
      </c>
      <c r="C3439" s="2252"/>
      <c r="D3439" s="2146" t="s">
        <v>730</v>
      </c>
      <c r="E3439" s="2188" t="s">
        <v>2440</v>
      </c>
      <c r="F3439" s="2146" t="s">
        <v>2385</v>
      </c>
      <c r="G3439" s="2263">
        <f>G3435</f>
        <v>0</v>
      </c>
      <c r="H3439" s="2353">
        <v>0</v>
      </c>
      <c r="I3439" s="2353"/>
      <c r="J3439" s="2353" t="s">
        <v>6344</v>
      </c>
      <c r="K3439" s="2353"/>
      <c r="L3439" s="2354">
        <f t="shared" si="738"/>
        <v>0</v>
      </c>
      <c r="M3439" s="2354"/>
      <c r="N3439" s="2353">
        <v>0</v>
      </c>
      <c r="O3439" s="2354"/>
      <c r="P3439" s="2259"/>
      <c r="Q3439" s="2260"/>
      <c r="R3439" s="2260"/>
      <c r="S3439" s="2260"/>
    </row>
    <row r="3440" spans="1:19" s="2099" customFormat="1" ht="15"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ht="15"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ht="15" outlineLevel="1" collapsed="1">
      <c r="A3442" s="2176" t="str">
        <f t="shared" si="739"/>
        <v/>
      </c>
      <c r="B3442" s="2255"/>
      <c r="C3442" s="2252">
        <f>IF(G3442&gt;0,C3435+1,C3435)</f>
        <v>0</v>
      </c>
      <c r="D3442" s="2253"/>
      <c r="E3442" s="2411" t="s">
        <v>6297</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5" outlineLevel="1">
      <c r="A3443" s="2176" t="str">
        <f>A3442</f>
        <v/>
      </c>
      <c r="B3443" s="2255"/>
      <c r="C3443" s="2252"/>
      <c r="D3443" s="2253"/>
      <c r="E3443" s="2261" t="s">
        <v>6132</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ht="15"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ht="15" outlineLevel="1">
      <c r="A3445" s="2176" t="str">
        <f t="shared" si="740"/>
        <v/>
      </c>
      <c r="B3445" s="2255" t="s">
        <v>1035</v>
      </c>
      <c r="C3445" s="2252"/>
      <c r="D3445" s="2146" t="s">
        <v>554</v>
      </c>
      <c r="E3445" s="2188" t="s">
        <v>6404</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ht="15"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ht="15"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ht="15"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ht="15" outlineLevel="1">
      <c r="A3449" s="2176" t="str">
        <f t="shared" si="740"/>
        <v/>
      </c>
      <c r="B3449" s="2255" t="s">
        <v>517</v>
      </c>
      <c r="C3449" s="2252"/>
      <c r="D3449" s="2146" t="s">
        <v>1457</v>
      </c>
      <c r="E3449" s="2188" t="s">
        <v>3173</v>
      </c>
      <c r="F3449" s="2146" t="s">
        <v>2385</v>
      </c>
      <c r="G3449" s="2263">
        <f>G3442</f>
        <v>0</v>
      </c>
      <c r="H3449" s="2258"/>
      <c r="I3449" s="2258"/>
      <c r="J3449" s="2258" t="s">
        <v>6390</v>
      </c>
      <c r="K3449" s="2258"/>
      <c r="L3449" s="2258">
        <f t="shared" si="738"/>
        <v>0</v>
      </c>
      <c r="M3449" s="2258"/>
      <c r="N3449" s="2258">
        <v>0</v>
      </c>
      <c r="O3449" s="2258"/>
      <c r="P3449" s="2259"/>
      <c r="Q3449" s="2260"/>
      <c r="R3449" s="2260"/>
      <c r="S3449" s="2260"/>
    </row>
    <row r="3450" spans="1:19" s="2099" customFormat="1" ht="15" outlineLevel="1">
      <c r="A3450" s="2176" t="str">
        <f t="shared" si="740"/>
        <v/>
      </c>
      <c r="B3450" s="2255"/>
      <c r="C3450" s="2252">
        <f>IF(G3450&gt;0,C3442+1,C3442)</f>
        <v>0</v>
      </c>
      <c r="D3450" s="2253"/>
      <c r="E3450" s="2411" t="s">
        <v>6288</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5" outlineLevel="1">
      <c r="A3451" s="2176" t="str">
        <f>A3450</f>
        <v/>
      </c>
      <c r="B3451" s="2255"/>
      <c r="C3451" s="2252"/>
      <c r="D3451" s="2253"/>
      <c r="E3451" s="2261" t="s">
        <v>6132</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ht="15"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ht="15" outlineLevel="1">
      <c r="A3453" s="2176" t="str">
        <f t="shared" si="741"/>
        <v/>
      </c>
      <c r="B3453" s="2255" t="s">
        <v>1035</v>
      </c>
      <c r="C3453" s="2252"/>
      <c r="D3453" s="2146">
        <v>0</v>
      </c>
      <c r="E3453" s="2188" t="s">
        <v>6404</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ht="15"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ht="15"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ht="15" outlineLevel="1">
      <c r="A3456" s="2176" t="str">
        <f t="shared" si="741"/>
        <v/>
      </c>
      <c r="B3456" s="2255" t="s">
        <v>988</v>
      </c>
      <c r="C3456" s="2252"/>
      <c r="D3456" s="2146">
        <v>0</v>
      </c>
      <c r="E3456" s="2188" t="s">
        <v>5269</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ht="15" outlineLevel="1">
      <c r="A3457" s="2176" t="str">
        <f t="shared" si="741"/>
        <v/>
      </c>
      <c r="B3457" s="2255" t="s">
        <v>1998</v>
      </c>
      <c r="C3457" s="2252"/>
      <c r="D3457" s="2146" t="s">
        <v>2265</v>
      </c>
      <c r="E3457" s="2188" t="s">
        <v>5428</v>
      </c>
      <c r="F3457" s="2146" t="s">
        <v>2385</v>
      </c>
      <c r="G3457" s="2263">
        <f>G3450</f>
        <v>0</v>
      </c>
      <c r="H3457" s="2258"/>
      <c r="I3457" s="2258"/>
      <c r="J3457" s="2258" t="s">
        <v>6328</v>
      </c>
      <c r="K3457" s="2258"/>
      <c r="L3457" s="2258">
        <f t="shared" si="738"/>
        <v>0</v>
      </c>
      <c r="M3457" s="2258"/>
      <c r="N3457" s="2258">
        <v>0</v>
      </c>
      <c r="O3457" s="2258"/>
      <c r="P3457" s="2259"/>
      <c r="Q3457" s="2260"/>
      <c r="R3457" s="2260"/>
      <c r="S3457" s="2260"/>
    </row>
    <row r="3458" spans="1:19" s="2099" customFormat="1" ht="15" outlineLevel="1">
      <c r="A3458" s="2176" t="str">
        <f t="shared" si="741"/>
        <v/>
      </c>
      <c r="B3458" s="2255"/>
      <c r="C3458" s="2252">
        <f>IF(G3458&gt;0,C3450+1,C3450)</f>
        <v>0</v>
      </c>
      <c r="D3458" s="2253"/>
      <c r="E3458" s="2411" t="s">
        <v>4376</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5" outlineLevel="1">
      <c r="A3459" s="2176"/>
      <c r="B3459" s="2412"/>
      <c r="C3459" s="2252"/>
      <c r="D3459" s="2253"/>
      <c r="E3459" s="2261" t="s">
        <v>6289</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ht="15"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ht="15" outlineLevel="1">
      <c r="A3461" s="2176" t="str">
        <f t="shared" si="743"/>
        <v/>
      </c>
      <c r="B3461" s="2246" t="s">
        <v>1508</v>
      </c>
      <c r="C3461" s="2252"/>
      <c r="D3461" s="2146">
        <v>0</v>
      </c>
      <c r="E3461" s="2188" t="s">
        <v>5162</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ht="15" outlineLevel="1">
      <c r="A3462" s="2176" t="str">
        <f t="shared" si="743"/>
        <v/>
      </c>
      <c r="B3462" s="2246" t="s">
        <v>1585</v>
      </c>
      <c r="C3462" s="2252"/>
      <c r="D3462" s="2146">
        <v>0</v>
      </c>
      <c r="E3462" s="2188" t="s">
        <v>5712</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ht="15"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ht="15"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ht="15" outlineLevel="1">
      <c r="A3465" s="2176" t="str">
        <f t="shared" si="743"/>
        <v/>
      </c>
      <c r="B3465" s="2246" t="s">
        <v>525</v>
      </c>
      <c r="C3465" s="2252"/>
      <c r="D3465" s="2146">
        <v>0</v>
      </c>
      <c r="E3465" s="2188" t="s">
        <v>5251</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ht="15"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ht="15" outlineLevel="1">
      <c r="A3467" s="2176">
        <f>IF(G3467=0,0,1)</f>
        <v>0</v>
      </c>
      <c r="B3467" s="2246" t="s">
        <v>794</v>
      </c>
      <c r="C3467" s="2262"/>
      <c r="D3467" s="2146" t="s">
        <v>5335</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ht="15" outlineLevel="1">
      <c r="A3468" s="2176">
        <f>IF(G3468=0,0,1)</f>
        <v>0</v>
      </c>
      <c r="B3468" s="2246" t="s">
        <v>798</v>
      </c>
      <c r="C3468" s="2262"/>
      <c r="D3468" s="2146" t="s">
        <v>5324</v>
      </c>
      <c r="E3468" s="2188" t="s">
        <v>5336</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ht="15" outlineLevel="1">
      <c r="A3469" s="2176">
        <f>IF(G3469=0,0,1)</f>
        <v>0</v>
      </c>
      <c r="B3469" s="2246" t="s">
        <v>902</v>
      </c>
      <c r="C3469" s="2262"/>
      <c r="D3469" s="2146" t="s">
        <v>5350</v>
      </c>
      <c r="E3469" s="2188" t="s">
        <v>5351</v>
      </c>
      <c r="F3469" s="2495" t="s">
        <v>856</v>
      </c>
      <c r="G3469" s="2383">
        <f>G3461+G3462</f>
        <v>0</v>
      </c>
      <c r="H3469" s="2258">
        <v>0</v>
      </c>
      <c r="I3469" s="2258"/>
      <c r="J3469" s="2258" t="s">
        <v>6311</v>
      </c>
      <c r="K3469" s="2258">
        <v>0</v>
      </c>
      <c r="L3469" s="2258">
        <f>H3469*$G3469</f>
        <v>0</v>
      </c>
      <c r="M3469" s="2258">
        <f>I3469*$G3469</f>
        <v>0</v>
      </c>
      <c r="N3469" s="2258">
        <v>0</v>
      </c>
      <c r="O3469" s="2258">
        <f>K3469*$G3469</f>
        <v>0</v>
      </c>
      <c r="P3469" s="2259"/>
      <c r="Q3469" s="2260"/>
      <c r="R3469" s="2260"/>
      <c r="S3469" s="2260"/>
    </row>
    <row r="3470" spans="1:19" s="2099" customFormat="1" ht="15" outlineLevel="1">
      <c r="A3470" s="2176" t="str">
        <f>IF(G3470&lt;&gt;0,1,"")</f>
        <v/>
      </c>
      <c r="B3470" s="2246" t="s">
        <v>1437</v>
      </c>
      <c r="C3470" s="2252"/>
      <c r="D3470" s="2146" t="s">
        <v>5345</v>
      </c>
      <c r="E3470" s="2188" t="s">
        <v>5346</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ht="15" outlineLevel="1">
      <c r="A3471" s="2176" t="str">
        <f>IF(G3471&lt;&gt;0,1,"")</f>
        <v/>
      </c>
      <c r="B3471" s="2255"/>
      <c r="C3471" s="2252">
        <f>IF(G3471&gt;0,C3458+1,C3458)</f>
        <v>0</v>
      </c>
      <c r="D3471" s="2253"/>
      <c r="E3471" s="2370" t="s">
        <v>6300</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5" outlineLevel="1">
      <c r="A3472" s="2176" t="str">
        <f>A3471</f>
        <v/>
      </c>
      <c r="B3472" s="2255"/>
      <c r="C3472" s="2252"/>
      <c r="D3472" s="2253"/>
      <c r="E3472" s="2261" t="s">
        <v>6132</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ht="15" outlineLevel="1">
      <c r="A3473" s="2176" t="str">
        <f>IF(G3473&lt;&gt;0,1,"")</f>
        <v/>
      </c>
      <c r="B3473" s="2255" t="s">
        <v>6301</v>
      </c>
      <c r="C3473" s="2262"/>
      <c r="D3473" s="2146" t="s">
        <v>5632</v>
      </c>
      <c r="E3473" s="2188" t="s">
        <v>5639</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ht="15" outlineLevel="1">
      <c r="A3474" s="2176" t="str">
        <f>IF(G3474&lt;&gt;0,1,"")</f>
        <v/>
      </c>
      <c r="B3474" s="2255" t="s">
        <v>289</v>
      </c>
      <c r="C3474" s="2262"/>
      <c r="D3474" s="2146">
        <v>0</v>
      </c>
      <c r="E3474" s="2188" t="s">
        <v>5711</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ht="15"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5" outlineLevel="1">
      <c r="A3476" s="2176" t="str">
        <f>A3475</f>
        <v/>
      </c>
      <c r="B3476" s="2255"/>
      <c r="C3476" s="2252"/>
      <c r="D3476" s="2253"/>
      <c r="E3476" s="2261" t="s">
        <v>6132</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ht="15" outlineLevel="1">
      <c r="A3477" s="2176" t="str">
        <f t="shared" ref="A3477:A3485" si="749">IF(G3477&lt;&gt;0,1,"")</f>
        <v/>
      </c>
      <c r="B3477" s="2548" t="s">
        <v>752</v>
      </c>
      <c r="C3477" s="2262"/>
      <c r="D3477" s="2146">
        <v>0</v>
      </c>
      <c r="E3477" s="2353" t="s">
        <v>6391</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ht="15" outlineLevel="1">
      <c r="A3478" s="2176" t="str">
        <f t="shared" si="749"/>
        <v/>
      </c>
      <c r="B3478" s="2548" t="s">
        <v>867</v>
      </c>
      <c r="C3478" s="2262"/>
      <c r="D3478" s="2146">
        <v>0</v>
      </c>
      <c r="E3478" s="2353" t="s">
        <v>6392</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ht="15" outlineLevel="1">
      <c r="A3479" s="2176" t="str">
        <f t="shared" si="749"/>
        <v/>
      </c>
      <c r="B3479" s="2548" t="s">
        <v>1675</v>
      </c>
      <c r="C3479" s="2262"/>
      <c r="D3479" s="2146">
        <v>0</v>
      </c>
      <c r="E3479" s="2353" t="s">
        <v>6376</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ht="15" outlineLevel="1">
      <c r="A3480" s="2176" t="str">
        <f t="shared" si="749"/>
        <v/>
      </c>
      <c r="B3480" s="2548" t="s">
        <v>1676</v>
      </c>
      <c r="C3480" s="2262"/>
      <c r="D3480" s="2146" t="s">
        <v>5289</v>
      </c>
      <c r="E3480" s="2353" t="s">
        <v>6377</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ht="15"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ht="15" outlineLevel="1">
      <c r="A3482" s="2176" t="str">
        <f t="shared" si="749"/>
        <v/>
      </c>
      <c r="B3482" s="2548" t="s">
        <v>1678</v>
      </c>
      <c r="C3482" s="2262"/>
      <c r="D3482" s="2146" t="s">
        <v>5332</v>
      </c>
      <c r="E3482" s="2353" t="s">
        <v>6378</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ht="15" outlineLevel="1">
      <c r="A3483" s="2176" t="str">
        <f t="shared" si="749"/>
        <v/>
      </c>
      <c r="B3483" s="2548" t="s">
        <v>144</v>
      </c>
      <c r="C3483" s="2262"/>
      <c r="D3483" s="2146" t="s">
        <v>5326</v>
      </c>
      <c r="E3483" s="2353" t="s">
        <v>6379</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ht="15" outlineLevel="1">
      <c r="A3484" s="2176" t="str">
        <f t="shared" si="749"/>
        <v/>
      </c>
      <c r="B3484" s="2548" t="s">
        <v>529</v>
      </c>
      <c r="C3484" s="2262"/>
      <c r="D3484" s="2146" t="s">
        <v>5331</v>
      </c>
      <c r="E3484" s="2353" t="s">
        <v>6393</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ht="15"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5" outlineLevel="1">
      <c r="A3486" s="2176" t="str">
        <f>A3485</f>
        <v/>
      </c>
      <c r="B3486" s="2255"/>
      <c r="C3486" s="2252"/>
      <c r="D3486" s="2253"/>
      <c r="E3486" s="2261" t="s">
        <v>6132</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ht="15" outlineLevel="1">
      <c r="A3487" s="2176" t="str">
        <f t="shared" ref="A3487:A3494" si="750">IF(G3487&lt;&gt;0,1,"")</f>
        <v/>
      </c>
      <c r="B3487" s="2255" t="s">
        <v>623</v>
      </c>
      <c r="C3487" s="2262"/>
      <c r="D3487" s="2146" t="s">
        <v>5304</v>
      </c>
      <c r="E3487" s="2188" t="s">
        <v>5305</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ht="15"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ht="15"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ht="15"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ht="15"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ht="15" outlineLevel="1">
      <c r="A3492" s="2176" t="str">
        <f t="shared" si="750"/>
        <v/>
      </c>
      <c r="B3492" s="2255" t="s">
        <v>1410</v>
      </c>
      <c r="C3492" s="2252"/>
      <c r="D3492" s="2146" t="s">
        <v>5340</v>
      </c>
      <c r="E3492" s="2188" t="s">
        <v>5341</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ht="15" outlineLevel="1">
      <c r="A3493" s="2176" t="str">
        <f t="shared" si="750"/>
        <v/>
      </c>
      <c r="B3493" s="2255" t="s">
        <v>289</v>
      </c>
      <c r="C3493" s="2262"/>
      <c r="D3493" s="2146">
        <v>0</v>
      </c>
      <c r="E3493" s="2188" t="s">
        <v>5711</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ht="15"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5" outlineLevel="1">
      <c r="A3495" s="2176" t="str">
        <f>A3494</f>
        <v/>
      </c>
      <c r="B3495" s="2255"/>
      <c r="C3495" s="2252"/>
      <c r="D3495" s="2253"/>
      <c r="E3495" s="2268" t="s">
        <v>6132</v>
      </c>
      <c r="F3495" s="2252"/>
      <c r="G3495" s="2257"/>
      <c r="H3495" s="2258"/>
      <c r="I3495" s="2258"/>
      <c r="J3495" s="2258"/>
      <c r="K3495" s="2258"/>
      <c r="L3495" s="2258"/>
      <c r="M3495" s="2258"/>
      <c r="N3495" s="2258"/>
      <c r="O3495" s="2258"/>
      <c r="P3495" s="2259"/>
      <c r="Q3495" s="2260"/>
      <c r="R3495" s="2260"/>
      <c r="S3495" s="2260"/>
    </row>
    <row r="3496" spans="1:19" s="2099" customFormat="1" ht="15" outlineLevel="1">
      <c r="A3496" s="2176" t="str">
        <f>IF(G3496&lt;&gt;0,1,"")</f>
        <v/>
      </c>
      <c r="B3496" s="2246" t="s">
        <v>470</v>
      </c>
      <c r="C3496" s="2262"/>
      <c r="D3496" s="2146">
        <v>0</v>
      </c>
      <c r="E3496" s="2188" t="s">
        <v>6394</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ht="15" outlineLevel="1">
      <c r="A3497" s="2176" t="str">
        <f t="shared" ref="A3497:A3506" si="751">IF(G3497&lt;&gt;0,1,"")</f>
        <v/>
      </c>
      <c r="B3497" s="2246" t="s">
        <v>271</v>
      </c>
      <c r="C3497" s="2262"/>
      <c r="D3497" s="2146">
        <v>0</v>
      </c>
      <c r="E3497" s="2188" t="s">
        <v>6395</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ht="15"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ht="15" outlineLevel="1">
      <c r="A3499" s="2176" t="str">
        <f t="shared" si="751"/>
        <v/>
      </c>
      <c r="B3499" s="2246" t="s">
        <v>470</v>
      </c>
      <c r="C3499" s="2262"/>
      <c r="D3499" s="2146">
        <v>0</v>
      </c>
      <c r="E3499" s="2188" t="s">
        <v>6384</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ht="15" outlineLevel="1">
      <c r="A3500" s="2176" t="str">
        <f t="shared" si="751"/>
        <v/>
      </c>
      <c r="B3500" s="2246" t="s">
        <v>271</v>
      </c>
      <c r="C3500" s="2262"/>
      <c r="D3500" s="2146">
        <v>0</v>
      </c>
      <c r="E3500" s="2188" t="s">
        <v>6385</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ht="15"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ht="15" outlineLevel="1">
      <c r="A3502" s="2176" t="str">
        <f t="shared" si="751"/>
        <v/>
      </c>
      <c r="B3502" s="2246" t="s">
        <v>1674</v>
      </c>
      <c r="C3502" s="2262"/>
      <c r="D3502" s="2146" t="s">
        <v>5458</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ht="15" outlineLevel="1">
      <c r="A3503" s="2176" t="str">
        <f t="shared" si="751"/>
        <v/>
      </c>
      <c r="B3503" s="2246" t="s">
        <v>1182</v>
      </c>
      <c r="C3503" s="2262"/>
      <c r="D3503" s="2146" t="s">
        <v>5551</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ht="15" outlineLevel="1">
      <c r="A3504" s="2176" t="str">
        <f t="shared" si="751"/>
        <v/>
      </c>
      <c r="B3504" s="2246" t="s">
        <v>1525</v>
      </c>
      <c r="C3504" s="2262"/>
      <c r="D3504" s="2146" t="s">
        <v>5570</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ht="15"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ht="15"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5" outlineLevel="1">
      <c r="A3507" s="2176" t="str">
        <f>A3506</f>
        <v/>
      </c>
      <c r="B3507" s="2255"/>
      <c r="C3507" s="2252"/>
      <c r="D3507" s="2253"/>
      <c r="E3507" s="2268" t="s">
        <v>6132</v>
      </c>
      <c r="F3507" s="2252"/>
      <c r="G3507" s="2257"/>
      <c r="H3507" s="2258"/>
      <c r="I3507" s="2258"/>
      <c r="J3507" s="2258"/>
      <c r="K3507" s="2258"/>
      <c r="L3507" s="2258"/>
      <c r="M3507" s="2258"/>
      <c r="N3507" s="2258"/>
      <c r="O3507" s="2258"/>
      <c r="P3507" s="2259"/>
      <c r="Q3507" s="2260"/>
      <c r="R3507" s="2260"/>
      <c r="S3507" s="2260"/>
    </row>
    <row r="3508" spans="1:19" s="2099" customFormat="1" ht="15" outlineLevel="1">
      <c r="A3508" s="2176" t="str">
        <f t="shared" ref="A3508:A3514" si="756">IF(G3508&lt;&gt;0,1,"")</f>
        <v/>
      </c>
      <c r="B3508" s="2246" t="s">
        <v>697</v>
      </c>
      <c r="C3508" s="2262"/>
      <c r="D3508" s="2146">
        <v>0</v>
      </c>
      <c r="E3508" s="2188" t="s">
        <v>5086</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ht="15"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ht="15"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ht="15"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ht="15" outlineLevel="1">
      <c r="A3512" s="2176" t="str">
        <f t="shared" si="756"/>
        <v/>
      </c>
      <c r="B3512" s="2351" t="s">
        <v>1477</v>
      </c>
      <c r="C3512" s="2262"/>
      <c r="D3512" s="2146">
        <v>0</v>
      </c>
      <c r="E3512" s="2188" t="s">
        <v>6345</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ht="15"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ht="15"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ht="15" outlineLevel="1">
      <c r="A3515" s="2176" t="str">
        <f>IF(G3515&lt;&gt;0,1,"")</f>
        <v/>
      </c>
      <c r="B3515" s="2246" t="s">
        <v>347</v>
      </c>
      <c r="C3515" s="2262"/>
      <c r="D3515" s="2146" t="s">
        <v>5559</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ht="15"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5" outlineLevel="1">
      <c r="A3517" s="2176" t="str">
        <f>A3516</f>
        <v/>
      </c>
      <c r="B3517" s="2255"/>
      <c r="C3517" s="2252"/>
      <c r="D3517" s="2253"/>
      <c r="E3517" s="2268" t="s">
        <v>6132</v>
      </c>
      <c r="F3517" s="2252"/>
      <c r="G3517" s="2257"/>
      <c r="H3517" s="2258"/>
      <c r="I3517" s="2258"/>
      <c r="J3517" s="2258"/>
      <c r="K3517" s="2258"/>
      <c r="L3517" s="2258"/>
      <c r="M3517" s="2258"/>
      <c r="N3517" s="2258"/>
      <c r="O3517" s="2258"/>
      <c r="P3517" s="2259"/>
      <c r="Q3517" s="2260"/>
      <c r="R3517" s="2260"/>
      <c r="S3517" s="2260"/>
    </row>
    <row r="3518" spans="1:19" s="2099" customFormat="1" ht="15"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ht="15" outlineLevel="1">
      <c r="A3519" s="2176" t="str">
        <f>IF(G3519&lt;&gt;0,1,"")</f>
        <v/>
      </c>
      <c r="B3519" s="2255" t="s">
        <v>1410</v>
      </c>
      <c r="C3519" s="2262"/>
      <c r="D3519" s="2146" t="s">
        <v>5340</v>
      </c>
      <c r="E3519" s="2188" t="s">
        <v>5341</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ht="15"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5" outlineLevel="1">
      <c r="A3521" s="2176" t="str">
        <f>A3520</f>
        <v/>
      </c>
      <c r="B3521" s="2246"/>
      <c r="C3521" s="2252"/>
      <c r="D3521" s="2253"/>
      <c r="E3521" s="2268" t="s">
        <v>6132</v>
      </c>
      <c r="F3521" s="2252"/>
      <c r="G3521" s="2263"/>
      <c r="H3521" s="2258"/>
      <c r="I3521" s="2258"/>
      <c r="J3521" s="2258"/>
      <c r="K3521" s="2258"/>
      <c r="L3521" s="2258"/>
      <c r="M3521" s="2258"/>
      <c r="N3521" s="2258"/>
      <c r="O3521" s="2258"/>
      <c r="P3521" s="2259"/>
      <c r="Q3521" s="2260"/>
      <c r="R3521" s="2260"/>
      <c r="S3521" s="2260"/>
    </row>
    <row r="3522" spans="1:19" s="2099" customFormat="1" ht="15"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ht="15" outlineLevel="1">
      <c r="A3523" s="2176" t="str">
        <f t="shared" si="760"/>
        <v/>
      </c>
      <c r="B3523" s="2255" t="s">
        <v>448</v>
      </c>
      <c r="C3523" s="2262"/>
      <c r="D3523" s="2146" t="s">
        <v>5731</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ht="15"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ht="15"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ht="15" outlineLevel="1">
      <c r="A3526" s="2176" t="str">
        <f t="shared" si="760"/>
        <v/>
      </c>
      <c r="B3526" s="2246" t="s">
        <v>731</v>
      </c>
      <c r="C3526" s="2262"/>
      <c r="D3526" s="2146">
        <v>0</v>
      </c>
      <c r="E3526" s="2188" t="s">
        <v>5257</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ht="15" outlineLevel="1">
      <c r="A3527" s="2176" t="str">
        <f t="shared" si="760"/>
        <v/>
      </c>
      <c r="B3527" s="2255" t="s">
        <v>1043</v>
      </c>
      <c r="C3527" s="2262"/>
      <c r="D3527" s="2146">
        <v>0</v>
      </c>
      <c r="E3527" s="2188" t="s">
        <v>5797</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ht="15"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ht="15"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ht="15"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ht="15" outlineLevel="1">
      <c r="A3531" s="2176" t="str">
        <f>IF(G3531&lt;&gt;0,1,"")</f>
        <v/>
      </c>
      <c r="B3531" s="2246" t="s">
        <v>6</v>
      </c>
      <c r="C3531" s="2262"/>
      <c r="D3531" s="2146"/>
      <c r="E3531" s="2188" t="s">
        <v>3567</v>
      </c>
      <c r="F3531" s="2146" t="s">
        <v>5805</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ht="15"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ht="15" outlineLevel="1">
      <c r="A3533" s="2176" t="str">
        <f>IF(G3533&lt;&gt;0,1,"")</f>
        <v/>
      </c>
      <c r="B3533" s="2246" t="s">
        <v>672</v>
      </c>
      <c r="C3533" s="2262"/>
      <c r="D3533" s="2146">
        <v>0</v>
      </c>
      <c r="E3533" s="2188" t="s">
        <v>5800</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ht="15" outlineLevel="1">
      <c r="A3534" s="2176" t="str">
        <f>IF(G3534&lt;&gt;0,1,"")</f>
        <v/>
      </c>
      <c r="B3534" s="2246" t="s">
        <v>247</v>
      </c>
      <c r="C3534" s="2565"/>
      <c r="D3534" s="2146" t="s">
        <v>5572</v>
      </c>
      <c r="E3534" s="2188" t="s">
        <v>5573</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ht="15" outlineLevel="1">
      <c r="A3535" s="2176" t="str">
        <f>IF(G3535&lt;&gt;0,1,"")</f>
        <v/>
      </c>
      <c r="B3535" s="2246"/>
      <c r="C3535" s="2252">
        <f>IF(G3535&gt;0,C3520+1,C3520)</f>
        <v>0</v>
      </c>
      <c r="D3535" s="2253"/>
      <c r="E3535" s="2254" t="s">
        <v>6252</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5" outlineLevel="1">
      <c r="A3536" s="2176" t="str">
        <f>A3535</f>
        <v/>
      </c>
      <c r="B3536" s="2494"/>
      <c r="C3536" s="2252"/>
      <c r="D3536" s="2253"/>
      <c r="E3536" s="2268" t="s">
        <v>6132</v>
      </c>
      <c r="F3536" s="2252"/>
      <c r="G3536" s="2257"/>
      <c r="H3536" s="2258"/>
      <c r="I3536" s="2258"/>
      <c r="J3536" s="2258"/>
      <c r="K3536" s="2258"/>
      <c r="L3536" s="2258"/>
      <c r="M3536" s="2258"/>
      <c r="N3536" s="2258"/>
      <c r="O3536" s="2258"/>
      <c r="P3536" s="2259"/>
      <c r="Q3536" s="2427"/>
      <c r="R3536" s="2427"/>
      <c r="S3536" s="2427"/>
    </row>
    <row r="3537" spans="1:19" s="2099" customFormat="1" ht="15"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ht="15" outlineLevel="1">
      <c r="A3538" s="2176">
        <f>IF(G3538=0,0,1)</f>
        <v>0</v>
      </c>
      <c r="B3538" s="2246" t="s">
        <v>6253</v>
      </c>
      <c r="C3538" s="2262"/>
      <c r="D3538" s="2146">
        <v>0</v>
      </c>
      <c r="E3538" s="2353" t="s">
        <v>5052</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ht="15" outlineLevel="1">
      <c r="A3539" s="2176">
        <f>IF(G3539=0,0,1)</f>
        <v>0</v>
      </c>
      <c r="B3539" s="2246" t="s">
        <v>6254</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ht="15" outlineLevel="1">
      <c r="A3540" s="2176">
        <f t="shared" ref="A3540:A3557" si="766">IF(G3540=0,0,1)</f>
        <v>0</v>
      </c>
      <c r="B3540" s="2255" t="s">
        <v>246</v>
      </c>
      <c r="C3540" s="2383"/>
      <c r="D3540" s="2146">
        <v>0</v>
      </c>
      <c r="E3540" s="2353" t="s">
        <v>5868</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ht="15"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ht="15"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ht="15"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ht="15"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ht="15"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ht="15"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ht="15"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ht="15"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ht="15" outlineLevel="1">
      <c r="A3549" s="2176">
        <f t="shared" si="766"/>
        <v>0</v>
      </c>
      <c r="B3549" s="2246" t="s">
        <v>672</v>
      </c>
      <c r="C3549" s="2262"/>
      <c r="D3549" s="2146">
        <v>0</v>
      </c>
      <c r="E3549" s="2353" t="s">
        <v>5800</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ht="15"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ht="15"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ht="15" outlineLevel="1">
      <c r="A3552" s="2176">
        <f t="shared" si="766"/>
        <v>0</v>
      </c>
      <c r="B3552" s="2246" t="s">
        <v>319</v>
      </c>
      <c r="C3552" s="2262"/>
      <c r="D3552" s="2146">
        <v>0</v>
      </c>
      <c r="E3552" s="2353" t="s">
        <v>5268</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ht="15" outlineLevel="1">
      <c r="A3553" s="2176">
        <f t="shared" si="766"/>
        <v>0</v>
      </c>
      <c r="B3553" s="2246" t="s">
        <v>1915</v>
      </c>
      <c r="C3553" s="2262"/>
      <c r="D3553" s="2146" t="s">
        <v>5654</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ht="15" outlineLevel="1">
      <c r="A3554" s="2176">
        <f t="shared" si="766"/>
        <v>0</v>
      </c>
      <c r="B3554" s="2246" t="s">
        <v>6</v>
      </c>
      <c r="C3554" s="2262"/>
      <c r="D3554" s="2146">
        <v>0</v>
      </c>
      <c r="E3554" s="2353" t="s">
        <v>3567</v>
      </c>
      <c r="F3554" s="2495" t="s">
        <v>5805</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ht="15"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ht="15"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ht="15" outlineLevel="1">
      <c r="A3557" s="2176">
        <f t="shared" si="766"/>
        <v>0</v>
      </c>
      <c r="B3557" s="2246" t="s">
        <v>6254</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ht="15" outlineLevel="1">
      <c r="A3558" s="2176">
        <f>A3384</f>
        <v>0</v>
      </c>
      <c r="B3558" s="2351"/>
      <c r="C3558" s="2566"/>
      <c r="D3558" s="2418"/>
      <c r="E3558" s="2393"/>
      <c r="F3558" s="2631"/>
      <c r="G3558" s="2632"/>
      <c r="H3558" s="2631"/>
      <c r="I3558" s="2631"/>
      <c r="J3558" s="2641" t="s">
        <v>6130</v>
      </c>
      <c r="K3558" s="2641"/>
      <c r="L3558" s="2419">
        <f>SUM(L3403:L3557)</f>
        <v>0</v>
      </c>
      <c r="M3558" s="2419">
        <f>SUM(M3403:M3557)</f>
        <v>0</v>
      </c>
      <c r="N3558" s="2419">
        <f>SUM(N3403:N3557)</f>
        <v>0</v>
      </c>
      <c r="O3558" s="2419">
        <f>SUM(O3403:O3557)</f>
        <v>0</v>
      </c>
      <c r="P3558" s="2562"/>
      <c r="Q3558" s="2260"/>
      <c r="R3558" s="2260"/>
      <c r="S3558" s="226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3109" zoomScaleNormal="100" workbookViewId="0">
      <selection activeCell="F3110" sqref="F3110"/>
    </sheetView>
  </sheetViews>
  <sheetFormatPr defaultColWidth="8.88671875" defaultRowHeight="15.75" outlineLevelRow="1"/>
  <cols>
    <col min="1" max="1" width="6.33203125" style="931" customWidth="1"/>
    <col min="2" max="2" width="9.109375" style="1008" customWidth="1"/>
    <col min="3" max="3" width="7.44140625" style="2832" customWidth="1"/>
    <col min="4" max="4" width="5.33203125" style="931" customWidth="1"/>
    <col min="5" max="5" width="8.77734375" style="931" customWidth="1"/>
    <col min="6" max="6" width="44.88671875" style="2696" customWidth="1"/>
    <col min="7" max="7" width="7.33203125" style="931" customWidth="1"/>
    <col min="8" max="8" width="9.5546875" style="2697" customWidth="1"/>
    <col min="9" max="9" width="10.21875" style="1735" customWidth="1"/>
    <col min="10" max="11" width="9" style="931" customWidth="1"/>
    <col min="12" max="12" width="11.109375" style="2698" customWidth="1"/>
    <col min="13" max="13" width="11.44140625" style="934" customWidth="1"/>
    <col min="14" max="14" width="12.44140625" style="931" customWidth="1"/>
    <col min="15" max="16" width="10.44140625" style="931" customWidth="1"/>
    <col min="17" max="17" width="15.109375" style="931" customWidth="1"/>
    <col min="18" max="19" width="10.44140625" style="931" customWidth="1"/>
    <col min="20" max="20" width="11.88671875" style="931" customWidth="1"/>
    <col min="21" max="21" width="14.33203125" style="931" customWidth="1"/>
    <col min="22" max="22" width="8.88671875" style="931"/>
    <col min="23" max="23" width="13.109375" style="931" customWidth="1"/>
    <col min="24" max="16384" width="8.88671875" style="931"/>
  </cols>
  <sheetData>
    <row r="1" spans="3:16" hidden="1" outlineLevel="1">
      <c r="C1" s="2830"/>
      <c r="I1" s="2697"/>
      <c r="L1" s="931"/>
      <c r="M1" s="2698"/>
    </row>
    <row r="2" spans="3:16" hidden="1" outlineLevel="1">
      <c r="C2" s="2830"/>
      <c r="F2" s="2699" t="s">
        <v>4414</v>
      </c>
      <c r="G2" s="2700" t="s">
        <v>4415</v>
      </c>
      <c r="H2" s="1703"/>
      <c r="I2" s="2701">
        <v>9</v>
      </c>
      <c r="J2" s="2702" t="s">
        <v>4408</v>
      </c>
      <c r="K2" s="2700" t="s">
        <v>4416</v>
      </c>
      <c r="L2" s="2700"/>
      <c r="M2" s="2702">
        <v>1</v>
      </c>
      <c r="N2" s="2702" t="s">
        <v>4417</v>
      </c>
      <c r="O2" s="2702">
        <v>1</v>
      </c>
      <c r="P2" s="2702" t="s">
        <v>4418</v>
      </c>
    </row>
    <row r="3" spans="3:16" hidden="1" outlineLevel="1">
      <c r="C3" s="2830"/>
      <c r="F3" s="2703">
        <v>36</v>
      </c>
      <c r="G3" s="2704" t="s">
        <v>4419</v>
      </c>
      <c r="H3" s="1703"/>
      <c r="I3" s="2705">
        <v>54</v>
      </c>
      <c r="J3" s="2702" t="s">
        <v>1823</v>
      </c>
      <c r="K3" s="2700" t="s">
        <v>4420</v>
      </c>
      <c r="L3" s="2700"/>
      <c r="M3" s="2702">
        <v>0</v>
      </c>
      <c r="N3" s="2702" t="s">
        <v>4421</v>
      </c>
      <c r="O3" s="2706"/>
    </row>
    <row r="4" spans="3:16" hidden="1" outlineLevel="1">
      <c r="C4" s="2830"/>
      <c r="F4" s="2703"/>
      <c r="G4" s="2704" t="s">
        <v>4422</v>
      </c>
      <c r="H4" s="1703"/>
      <c r="I4" s="2701">
        <v>3</v>
      </c>
      <c r="J4" s="2702" t="s">
        <v>856</v>
      </c>
      <c r="K4" s="2707" t="s">
        <v>4423</v>
      </c>
      <c r="L4" s="2700"/>
      <c r="M4" s="2702">
        <v>0</v>
      </c>
      <c r="N4" s="2708"/>
      <c r="O4" s="2706"/>
    </row>
    <row r="5" spans="3:16" hidden="1" outlineLevel="1">
      <c r="C5" s="2830"/>
      <c r="F5" s="2703"/>
      <c r="G5" s="2709" t="s">
        <v>4424</v>
      </c>
      <c r="H5" s="2701" t="s">
        <v>4425</v>
      </c>
      <c r="I5" s="2701" t="s">
        <v>4426</v>
      </c>
      <c r="J5" s="2709" t="s">
        <v>4427</v>
      </c>
      <c r="K5" s="2709" t="s">
        <v>4428</v>
      </c>
      <c r="L5" s="2702" t="s">
        <v>4426</v>
      </c>
      <c r="M5" s="2709" t="s">
        <v>4429</v>
      </c>
      <c r="N5" s="2710" t="s">
        <v>4430</v>
      </c>
      <c r="O5" s="2706"/>
    </row>
    <row r="6" spans="3:16" hidden="1" outlineLevel="1">
      <c r="C6" s="2830"/>
      <c r="F6" s="2711"/>
      <c r="G6" s="1220">
        <v>18</v>
      </c>
      <c r="H6" s="1703" t="s">
        <v>2051</v>
      </c>
      <c r="I6" s="1703">
        <v>0</v>
      </c>
      <c r="J6" s="1220">
        <f>I6*15</f>
        <v>0</v>
      </c>
      <c r="K6" s="2712" t="s">
        <v>4431</v>
      </c>
      <c r="L6" s="1220">
        <v>0</v>
      </c>
      <c r="M6" s="2713">
        <f>L6*3*15</f>
        <v>0</v>
      </c>
      <c r="N6" s="3200">
        <f>I17+L17</f>
        <v>0</v>
      </c>
      <c r="O6" s="2706"/>
    </row>
    <row r="7" spans="3:16" hidden="1" outlineLevel="1">
      <c r="C7" s="2830"/>
      <c r="D7" s="2714"/>
      <c r="F7" s="2715"/>
      <c r="G7" s="1220" t="s">
        <v>4432</v>
      </c>
      <c r="H7" s="2716" t="s">
        <v>2052</v>
      </c>
      <c r="I7" s="1703"/>
      <c r="J7" s="1220">
        <f>I7*25</f>
        <v>0</v>
      </c>
      <c r="K7" s="2712" t="s">
        <v>4433</v>
      </c>
      <c r="L7" s="1220">
        <v>0</v>
      </c>
      <c r="M7" s="2713">
        <f>L7*3*25</f>
        <v>0</v>
      </c>
      <c r="N7" s="3201"/>
      <c r="O7" s="2706"/>
      <c r="P7" s="2717"/>
    </row>
    <row r="8" spans="3:16" hidden="1" outlineLevel="1">
      <c r="C8" s="2830"/>
      <c r="E8" s="2718"/>
      <c r="F8" s="2703"/>
      <c r="G8" s="1220">
        <v>22</v>
      </c>
      <c r="H8" s="2716" t="s">
        <v>4434</v>
      </c>
      <c r="I8" s="1703">
        <v>0</v>
      </c>
      <c r="J8" s="1220">
        <f>I8*37.5</f>
        <v>0</v>
      </c>
      <c r="K8" s="2712" t="s">
        <v>4435</v>
      </c>
      <c r="L8" s="1220">
        <v>0</v>
      </c>
      <c r="M8" s="2713">
        <f>L8*3*37.5</f>
        <v>0</v>
      </c>
      <c r="N8" s="2710" t="s">
        <v>4436</v>
      </c>
      <c r="O8" s="2706"/>
    </row>
    <row r="9" spans="3:16" hidden="1" outlineLevel="1">
      <c r="C9" s="2830"/>
      <c r="E9" s="2714"/>
      <c r="F9" s="2703"/>
      <c r="G9" s="2719"/>
      <c r="H9" s="2716" t="s">
        <v>2053</v>
      </c>
      <c r="I9" s="1703"/>
      <c r="J9" s="1220">
        <f>I9*50</f>
        <v>0</v>
      </c>
      <c r="K9" s="2712" t="s">
        <v>4437</v>
      </c>
      <c r="L9" s="1220"/>
      <c r="M9" s="2713">
        <f>L9*3*50</f>
        <v>0</v>
      </c>
      <c r="N9" s="3200">
        <f>J18+M18</f>
        <v>560</v>
      </c>
      <c r="O9" s="2706"/>
    </row>
    <row r="10" spans="3:16" hidden="1" outlineLevel="1">
      <c r="C10" s="2830"/>
      <c r="E10" s="2714"/>
      <c r="F10" s="2703"/>
      <c r="G10" s="2720"/>
      <c r="H10" s="2721" t="s">
        <v>2054</v>
      </c>
      <c r="I10" s="1703"/>
      <c r="J10" s="1220">
        <f>I10*75</f>
        <v>0</v>
      </c>
      <c r="K10" s="2722" t="s">
        <v>4438</v>
      </c>
      <c r="L10" s="1220"/>
      <c r="M10" s="2713">
        <f>L10*160</f>
        <v>0</v>
      </c>
      <c r="N10" s="3202"/>
      <c r="O10" s="2706"/>
    </row>
    <row r="11" spans="3:16" hidden="1" outlineLevel="1">
      <c r="C11" s="2830"/>
      <c r="E11" s="2714"/>
      <c r="F11" s="2703"/>
      <c r="G11" s="2720"/>
      <c r="H11" s="2721" t="s">
        <v>2055</v>
      </c>
      <c r="I11" s="1703"/>
      <c r="J11" s="1220">
        <f>I11*100</f>
        <v>0</v>
      </c>
      <c r="K11" s="2722" t="s">
        <v>4439</v>
      </c>
      <c r="L11" s="1220"/>
      <c r="M11" s="2713">
        <f>L11*250</f>
        <v>0</v>
      </c>
      <c r="N11" s="3202"/>
      <c r="O11" s="2706"/>
    </row>
    <row r="12" spans="3:16" hidden="1" outlineLevel="1">
      <c r="C12" s="2830"/>
      <c r="E12" s="2714"/>
      <c r="F12" s="2703"/>
      <c r="G12" s="2720"/>
      <c r="H12" s="2723"/>
      <c r="I12" s="1703"/>
      <c r="J12" s="2724"/>
      <c r="K12" s="2722" t="s">
        <v>4440</v>
      </c>
      <c r="L12" s="1220"/>
      <c r="M12" s="2713">
        <f>L12*320</f>
        <v>0</v>
      </c>
      <c r="N12" s="3202"/>
      <c r="O12" s="2706"/>
    </row>
    <row r="13" spans="3:16" hidden="1" outlineLevel="1">
      <c r="C13" s="2830"/>
      <c r="E13" s="2714"/>
      <c r="F13" s="2703"/>
      <c r="G13" s="2720"/>
      <c r="H13" s="2723"/>
      <c r="I13" s="1703"/>
      <c r="J13" s="2724"/>
      <c r="K13" s="2722" t="s">
        <v>4441</v>
      </c>
      <c r="L13" s="1220">
        <v>0</v>
      </c>
      <c r="M13" s="2713">
        <f>L13*400</f>
        <v>0</v>
      </c>
      <c r="N13" s="3202"/>
      <c r="O13" s="2706"/>
    </row>
    <row r="14" spans="3:16" hidden="1" outlineLevel="1">
      <c r="C14" s="2830"/>
      <c r="E14" s="2714"/>
      <c r="F14" s="2703"/>
      <c r="G14" s="2720"/>
      <c r="H14" s="2723"/>
      <c r="I14" s="1703"/>
      <c r="J14" s="2724"/>
      <c r="K14" s="2722" t="s">
        <v>4442</v>
      </c>
      <c r="L14" s="1220">
        <v>1</v>
      </c>
      <c r="M14" s="2713">
        <f>L14*560</f>
        <v>560</v>
      </c>
      <c r="N14" s="3202"/>
      <c r="O14" s="2706"/>
    </row>
    <row r="15" spans="3:16" hidden="1" outlineLevel="1">
      <c r="C15" s="2830"/>
      <c r="E15" s="2714"/>
      <c r="F15" s="2703"/>
      <c r="G15" s="2720"/>
      <c r="H15" s="2723"/>
      <c r="I15" s="1703"/>
      <c r="J15" s="2724"/>
      <c r="K15" s="2722" t="s">
        <v>4443</v>
      </c>
      <c r="L15" s="1220">
        <v>0</v>
      </c>
      <c r="M15" s="2713">
        <f>L15*630</f>
        <v>0</v>
      </c>
      <c r="N15" s="3202"/>
      <c r="O15" s="2706"/>
    </row>
    <row r="16" spans="3:16" hidden="1" outlineLevel="1">
      <c r="C16" s="2830"/>
      <c r="E16" s="2714"/>
      <c r="F16" s="2703"/>
      <c r="G16" s="2725"/>
      <c r="H16" s="2721"/>
      <c r="I16" s="1703"/>
      <c r="J16" s="2724"/>
      <c r="K16" s="2726">
        <v>1000</v>
      </c>
      <c r="L16" s="1220">
        <v>0</v>
      </c>
      <c r="M16" s="2713">
        <f>L16*1000</f>
        <v>0</v>
      </c>
      <c r="N16" s="3203"/>
      <c r="O16" s="2706"/>
    </row>
    <row r="17" spans="1:23" hidden="1" outlineLevel="1">
      <c r="C17" s="2830"/>
      <c r="E17" s="931">
        <f>chitiet!G5</f>
        <v>3</v>
      </c>
      <c r="F17" s="2703"/>
      <c r="G17" s="2727"/>
      <c r="H17" s="2721"/>
      <c r="I17" s="1703"/>
      <c r="J17" s="2728"/>
      <c r="K17" s="2729">
        <v>2000</v>
      </c>
      <c r="L17" s="1220">
        <v>0</v>
      </c>
      <c r="M17" s="2713">
        <f>L17*2000</f>
        <v>0</v>
      </c>
      <c r="N17" s="3201"/>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4808</v>
      </c>
      <c r="E19" s="940"/>
      <c r="F19" s="940"/>
      <c r="G19" s="933"/>
      <c r="H19" s="1704"/>
      <c r="I19" s="1704"/>
      <c r="J19" s="933"/>
      <c r="K19" s="933"/>
      <c r="L19" s="940"/>
      <c r="M19" s="934"/>
    </row>
    <row r="20" spans="1:23" ht="24" customHeight="1">
      <c r="A20" s="931">
        <v>1</v>
      </c>
      <c r="D20" s="1213" t="str">
        <f>"Công trình: "&amp;WORD!AB2</f>
        <v>Công trình: Xây Dựng mới TBA 3P-1000kVA Công ty TNHH MTV Kỹ thuật điện Việt Anh</v>
      </c>
      <c r="E20" s="932"/>
      <c r="F20" s="932"/>
      <c r="G20" s="932"/>
      <c r="H20" s="1705"/>
      <c r="I20" s="1705"/>
      <c r="J20" s="932"/>
      <c r="K20" s="932"/>
      <c r="L20" s="932"/>
    </row>
    <row r="21" spans="1:23" ht="21" customHeight="1">
      <c r="A21" s="935"/>
      <c r="D21" s="1214" t="str">
        <f>"Địa điểm: "&amp;WORD!AD2</f>
        <v>Địa điểm: Xã Xuân Hòa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4" t="s">
        <v>1708</v>
      </c>
      <c r="E22" s="3204" t="s">
        <v>2597</v>
      </c>
      <c r="F22" s="3204" t="s">
        <v>2598</v>
      </c>
      <c r="G22" s="3204" t="s">
        <v>2593</v>
      </c>
      <c r="H22" s="2915" t="s">
        <v>4285</v>
      </c>
      <c r="I22" s="2916"/>
      <c r="J22" s="2917"/>
      <c r="K22" s="2917"/>
      <c r="L22" s="3205" t="s">
        <v>2599</v>
      </c>
      <c r="M22" s="934"/>
    </row>
    <row r="23" spans="1:23" s="1016" customFormat="1" ht="27" customHeight="1">
      <c r="A23" s="1086"/>
      <c r="B23" s="1221"/>
      <c r="C23" s="2831"/>
      <c r="D23" s="3204"/>
      <c r="E23" s="3204"/>
      <c r="F23" s="3204"/>
      <c r="G23" s="3204"/>
      <c r="H23" s="2918" t="s">
        <v>4284</v>
      </c>
      <c r="I23" s="2918" t="s">
        <v>4281</v>
      </c>
      <c r="J23" s="2919" t="s">
        <v>4282</v>
      </c>
      <c r="K23" s="2919" t="s">
        <v>4283</v>
      </c>
      <c r="L23" s="3205"/>
      <c r="M23" s="934">
        <v>1000</v>
      </c>
      <c r="N23" s="1016" t="s">
        <v>512</v>
      </c>
    </row>
    <row r="24" spans="1:23" s="1016" customFormat="1" ht="25.15" customHeight="1">
      <c r="A24" s="1086" t="s">
        <v>512</v>
      </c>
      <c r="B24" s="1221"/>
      <c r="C24" s="2831"/>
      <c r="D24" s="2920"/>
      <c r="E24" s="2920"/>
      <c r="F24" s="2921" t="s">
        <v>3672</v>
      </c>
      <c r="G24" s="2920"/>
      <c r="H24" s="2922"/>
      <c r="I24" s="2922"/>
      <c r="J24" s="2920"/>
      <c r="K24" s="2920"/>
      <c r="L24" s="2923"/>
      <c r="M24" s="1002" t="s">
        <v>4351</v>
      </c>
      <c r="N24" s="1108"/>
      <c r="O24" s="1108"/>
      <c r="P24" s="1108"/>
      <c r="Q24" s="1108"/>
      <c r="R24" s="1108"/>
      <c r="S24" s="1108"/>
      <c r="T24" s="1108"/>
      <c r="U24" s="1108"/>
      <c r="V24" s="1108"/>
    </row>
    <row r="25" spans="1:23" s="1016" customFormat="1" ht="25.15"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15"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15"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15"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15"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15"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15"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15"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15"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15"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15"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15"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15"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15"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15"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15"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15"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15"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15"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15"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15"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15"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15"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15"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15"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15"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15"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15"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15"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15"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15"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15"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15"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15"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15"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15"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15"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15"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15"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15"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15"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15"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15"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15"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15"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15"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15"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15"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15"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15"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15"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15"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15"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15"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15"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15"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15" hidden="1" customHeight="1">
      <c r="A81" s="1086">
        <f t="shared" si="0"/>
        <v>0</v>
      </c>
      <c r="B81" s="1231" t="s">
        <v>4444</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15"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15"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15" hidden="1" customHeight="1">
      <c r="A84" s="1086">
        <f t="shared" si="0"/>
        <v>0</v>
      </c>
      <c r="B84" s="1231" t="s">
        <v>4445</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15"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15" hidden="1" customHeight="1">
      <c r="A86" s="1086">
        <f t="shared" si="0"/>
        <v>0</v>
      </c>
      <c r="B86" s="1231" t="s">
        <v>4446</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15" hidden="1" customHeight="1">
      <c r="A87" s="1086">
        <f t="shared" si="0"/>
        <v>0</v>
      </c>
      <c r="B87" s="1231" t="s">
        <v>4447</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15"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15"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15"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15"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15"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15"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15"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15"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15"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15"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15"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15"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15"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15"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15" hidden="1" customHeight="1">
      <c r="A102" s="1086">
        <f t="shared" si="3"/>
        <v>0</v>
      </c>
      <c r="B102" s="1221"/>
      <c r="C102" s="2838"/>
      <c r="D102" s="1094"/>
      <c r="E102" s="934"/>
      <c r="H102" s="1735"/>
      <c r="I102" s="1192">
        <f t="shared" si="4"/>
        <v>0</v>
      </c>
      <c r="M102" s="934"/>
    </row>
    <row r="103" spans="1:14" s="1016" customFormat="1" ht="25.15"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15"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15"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15"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15"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15"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15"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15"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15"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15"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15"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15"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15"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15"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15"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15"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15"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15"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15"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15"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15"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15"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15"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15"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15"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15" hidden="1" customHeight="1">
      <c r="A128" s="1086">
        <f t="shared" si="3"/>
        <v>0</v>
      </c>
      <c r="B128" s="1226"/>
      <c r="C128" s="2834"/>
      <c r="D128" s="1011">
        <f>IF(H128&gt;0,D122+1,D122)</f>
        <v>0</v>
      </c>
      <c r="E128" s="1118"/>
      <c r="F128" s="1130" t="s">
        <v>4778</v>
      </c>
      <c r="G128" s="1099" t="s">
        <v>2385</v>
      </c>
      <c r="H128" s="1707">
        <f>SUM(H105:H105)</f>
        <v>0</v>
      </c>
      <c r="I128" s="1192">
        <f t="shared" si="4"/>
        <v>0</v>
      </c>
      <c r="J128" s="1064"/>
      <c r="K128" s="1064"/>
      <c r="L128" s="1015"/>
      <c r="M128" s="934">
        <v>25</v>
      </c>
    </row>
    <row r="129" spans="1:13" s="1016" customFormat="1" ht="25.15"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15" hidden="1" customHeight="1">
      <c r="A130" s="1086">
        <f t="shared" si="3"/>
        <v>0</v>
      </c>
      <c r="B130" s="1226" t="s">
        <v>4541</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15" hidden="1" customHeight="1">
      <c r="A131" s="1086">
        <f t="shared" si="3"/>
        <v>0</v>
      </c>
      <c r="B131" s="1226" t="s">
        <v>4728</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15"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15" hidden="1" customHeight="1">
      <c r="A133" s="1086">
        <f t="shared" si="3"/>
        <v>0</v>
      </c>
      <c r="B133" s="1226" t="s">
        <v>4332</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15"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15"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15"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15"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15"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15"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15"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15"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15"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15"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15"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15"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15"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15"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15"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15"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15"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15"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15"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15"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15"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15"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15"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15"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15"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15"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15"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15"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15" hidden="1" customHeight="1">
      <c r="A162" s="1086">
        <f t="shared" si="6"/>
        <v>0</v>
      </c>
      <c r="B162" s="1229" t="s">
        <v>4448</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15"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15"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15" hidden="1" customHeight="1">
      <c r="A165" s="1086">
        <f t="shared" si="6"/>
        <v>0</v>
      </c>
      <c r="B165" s="1087" t="s">
        <v>4536</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15"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15"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15"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15"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15"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15"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15"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15"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15"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15"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15" hidden="1" customHeight="1">
      <c r="A176" s="1086">
        <f t="shared" si="6"/>
        <v>0</v>
      </c>
      <c r="B176" s="1231" t="s">
        <v>4517</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15"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15"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15"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15"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15"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15"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15"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15"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15"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15"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15"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15"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15"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15"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15"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15"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15" hidden="1" customHeight="1">
      <c r="A193" s="1086">
        <f t="shared" si="6"/>
        <v>0</v>
      </c>
      <c r="B193" s="1221"/>
      <c r="C193" s="2838"/>
      <c r="D193" s="1069"/>
      <c r="E193" s="1123"/>
      <c r="F193" s="1003"/>
      <c r="G193" s="1125"/>
      <c r="H193" s="1709"/>
      <c r="I193" s="1003"/>
      <c r="J193" s="1126"/>
      <c r="K193" s="1127"/>
      <c r="L193" s="1069"/>
      <c r="M193" s="934">
        <v>25</v>
      </c>
    </row>
    <row r="194" spans="1:14" s="1016" customFormat="1" ht="25.15" hidden="1" customHeight="1">
      <c r="A194" s="1086">
        <f t="shared" si="6"/>
        <v>0</v>
      </c>
      <c r="B194" s="1221"/>
      <c r="C194" s="2838"/>
      <c r="D194" s="1094"/>
      <c r="E194" s="934"/>
      <c r="H194" s="1735"/>
      <c r="I194" s="1192">
        <f t="shared" si="7"/>
        <v>0</v>
      </c>
      <c r="M194" s="934"/>
    </row>
    <row r="195" spans="1:14" s="1016" customFormat="1" ht="25.15"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15" hidden="1" customHeight="1">
      <c r="A196" s="1086">
        <f t="shared" si="6"/>
        <v>0</v>
      </c>
      <c r="B196" s="1226"/>
      <c r="C196" s="2834"/>
      <c r="D196" s="1089"/>
      <c r="E196" s="1090"/>
      <c r="F196" s="1003" t="s">
        <v>3672</v>
      </c>
      <c r="G196" s="1092"/>
      <c r="H196" s="1706"/>
      <c r="I196" s="1192">
        <f t="shared" si="7"/>
        <v>0</v>
      </c>
      <c r="J196" s="1092"/>
      <c r="K196" s="1092"/>
      <c r="L196" s="1069"/>
      <c r="M196" s="934" t="s">
        <v>4352</v>
      </c>
    </row>
    <row r="197" spans="1:14" s="1016" customFormat="1" ht="25.15"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4352</v>
      </c>
    </row>
    <row r="198" spans="1:14" s="1016" customFormat="1" ht="25.15"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4352</v>
      </c>
    </row>
    <row r="199" spans="1:14" s="1016" customFormat="1" ht="25.15"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4352</v>
      </c>
    </row>
    <row r="200" spans="1:14" s="1016" customFormat="1" ht="25.15"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4352</v>
      </c>
    </row>
    <row r="201" spans="1:14" s="1016" customFormat="1" ht="25.15"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4352</v>
      </c>
    </row>
    <row r="202" spans="1:14" s="1016" customFormat="1" ht="25.15"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4352</v>
      </c>
    </row>
    <row r="203" spans="1:14" s="1016" customFormat="1" ht="25.15"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4352</v>
      </c>
    </row>
    <row r="204" spans="1:14" s="1016" customFormat="1" ht="25.15" hidden="1" customHeight="1">
      <c r="A204" s="1086">
        <f t="shared" si="6"/>
        <v>0</v>
      </c>
      <c r="B204" s="1226"/>
      <c r="C204" s="2834"/>
      <c r="D204" s="1040"/>
      <c r="E204" s="1112"/>
      <c r="F204" s="1093"/>
      <c r="G204" s="1040"/>
      <c r="H204" s="1135"/>
      <c r="I204" s="1192">
        <f t="shared" si="7"/>
        <v>0</v>
      </c>
      <c r="J204" s="1093"/>
      <c r="K204" s="1040"/>
      <c r="L204" s="1069"/>
      <c r="M204" s="934" t="s">
        <v>4352</v>
      </c>
    </row>
    <row r="205" spans="1:14" s="1016" customFormat="1" ht="25.15" hidden="1" customHeight="1">
      <c r="A205" s="1086">
        <f t="shared" si="6"/>
        <v>0</v>
      </c>
      <c r="B205" s="1226"/>
      <c r="C205" s="2834"/>
      <c r="D205" s="1114"/>
      <c r="E205" s="1115"/>
      <c r="F205" s="1003" t="s">
        <v>3673</v>
      </c>
      <c r="G205" s="1003"/>
      <c r="H205" s="1706"/>
      <c r="I205" s="1192">
        <f t="shared" si="7"/>
        <v>0</v>
      </c>
      <c r="J205" s="1003"/>
      <c r="K205" s="1003"/>
      <c r="L205" s="1069"/>
      <c r="M205" s="934" t="s">
        <v>4352</v>
      </c>
    </row>
    <row r="206" spans="1:14" s="1016" customFormat="1" ht="25.15"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4352</v>
      </c>
    </row>
    <row r="207" spans="1:14" s="1016" customFormat="1" ht="25.15"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4352</v>
      </c>
    </row>
    <row r="208" spans="1:14" s="1016" customFormat="1" ht="25.15" hidden="1" customHeight="1">
      <c r="A208" s="1086">
        <f t="shared" si="6"/>
        <v>0</v>
      </c>
      <c r="B208" s="1226"/>
      <c r="C208" s="2834"/>
      <c r="D208" s="1099"/>
      <c r="E208" s="1118"/>
      <c r="F208" s="1264" t="s">
        <v>2279</v>
      </c>
      <c r="G208" s="1043"/>
      <c r="H208" s="1100"/>
      <c r="I208" s="1192">
        <f t="shared" si="7"/>
        <v>0</v>
      </c>
      <c r="J208" s="1064"/>
      <c r="K208" s="1064"/>
      <c r="L208" s="1043"/>
      <c r="M208" s="934" t="s">
        <v>4352</v>
      </c>
      <c r="N208" s="1120"/>
    </row>
    <row r="209" spans="1:14" s="1016" customFormat="1" ht="25.15"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4352</v>
      </c>
      <c r="N209" s="1120"/>
    </row>
    <row r="210" spans="1:14" s="1016" customFormat="1" ht="25.15"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4352</v>
      </c>
      <c r="N210" s="1120"/>
    </row>
    <row r="211" spans="1:14" s="1016" customFormat="1" ht="25.15"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4352</v>
      </c>
      <c r="N211" s="1120"/>
    </row>
    <row r="212" spans="1:14" s="1016" customFormat="1" ht="25.15"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4352</v>
      </c>
    </row>
    <row r="213" spans="1:14" s="1016" customFormat="1" ht="25.15" hidden="1" customHeight="1">
      <c r="A213" s="1086">
        <f t="shared" si="6"/>
        <v>0</v>
      </c>
      <c r="B213" s="1226"/>
      <c r="C213" s="2834"/>
      <c r="D213" s="1099"/>
      <c r="E213" s="1118"/>
      <c r="F213" s="1264" t="s">
        <v>2279</v>
      </c>
      <c r="G213" s="1043"/>
      <c r="H213" s="1100"/>
      <c r="I213" s="1192">
        <f t="shared" si="7"/>
        <v>0</v>
      </c>
      <c r="J213" s="1064"/>
      <c r="K213" s="1064"/>
      <c r="L213" s="1043"/>
      <c r="M213" s="934" t="s">
        <v>4352</v>
      </c>
      <c r="N213" s="1120"/>
    </row>
    <row r="214" spans="1:14" s="1016" customFormat="1" ht="25.15"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4352</v>
      </c>
      <c r="N214" s="1120"/>
    </row>
    <row r="215" spans="1:14" s="1016" customFormat="1" ht="25.15"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4352</v>
      </c>
      <c r="N215" s="1120"/>
    </row>
    <row r="216" spans="1:14" s="1016" customFormat="1" ht="25.15"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4352</v>
      </c>
      <c r="N216" s="1120"/>
    </row>
    <row r="217" spans="1:14" s="1016" customFormat="1" ht="25.15"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4352</v>
      </c>
      <c r="N217" s="1120"/>
    </row>
    <row r="218" spans="1:14" s="1016" customFormat="1" ht="25.15"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4352</v>
      </c>
    </row>
    <row r="219" spans="1:14" s="1016" customFormat="1" ht="25.15" hidden="1" customHeight="1">
      <c r="A219" s="1086">
        <f t="shared" si="9"/>
        <v>0</v>
      </c>
      <c r="B219" s="1226"/>
      <c r="C219" s="2834"/>
      <c r="D219" s="1099"/>
      <c r="E219" s="1118"/>
      <c r="F219" s="1265" t="s">
        <v>2279</v>
      </c>
      <c r="G219" s="1043"/>
      <c r="H219" s="1100"/>
      <c r="I219" s="1192">
        <f t="shared" si="7"/>
        <v>0</v>
      </c>
      <c r="J219" s="1041"/>
      <c r="K219" s="1041"/>
      <c r="L219" s="1015"/>
      <c r="M219" s="934" t="s">
        <v>4352</v>
      </c>
    </row>
    <row r="220" spans="1:14" s="1016" customFormat="1" ht="25.15"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4352</v>
      </c>
    </row>
    <row r="221" spans="1:14" s="1016" customFormat="1" ht="25.15"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4352</v>
      </c>
    </row>
    <row r="222" spans="1:14" s="1016" customFormat="1" ht="25.15"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4352</v>
      </c>
    </row>
    <row r="223" spans="1:14" s="1016" customFormat="1" ht="25.15"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4352</v>
      </c>
    </row>
    <row r="224" spans="1:14" s="1016" customFormat="1" ht="25.15" hidden="1" customHeight="1">
      <c r="A224" s="1086">
        <f t="shared" si="9"/>
        <v>0</v>
      </c>
      <c r="B224" s="1226"/>
      <c r="C224" s="2834"/>
      <c r="D224" s="1043"/>
      <c r="E224" s="1121"/>
      <c r="F224" s="1265" t="s">
        <v>2279</v>
      </c>
      <c r="G224" s="1043"/>
      <c r="H224" s="1100"/>
      <c r="I224" s="1192">
        <f t="shared" si="7"/>
        <v>0</v>
      </c>
      <c r="J224" s="1041"/>
      <c r="K224" s="1041"/>
      <c r="L224" s="1015"/>
      <c r="M224" s="934" t="s">
        <v>4352</v>
      </c>
    </row>
    <row r="225" spans="1:13" s="1016" customFormat="1" ht="25.15"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4352</v>
      </c>
    </row>
    <row r="226" spans="1:13" s="1016" customFormat="1" ht="25.15"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4352</v>
      </c>
    </row>
    <row r="227" spans="1:13" s="1016" customFormat="1" ht="25.15"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4352</v>
      </c>
    </row>
    <row r="228" spans="1:13" s="1016" customFormat="1" ht="25.15"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4352</v>
      </c>
    </row>
    <row r="229" spans="1:13" s="1016" customFormat="1" ht="25.15"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4352</v>
      </c>
    </row>
    <row r="230" spans="1:13" s="1016" customFormat="1" ht="25.15"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4352</v>
      </c>
    </row>
    <row r="231" spans="1:13" s="1016" customFormat="1" ht="25.15"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4352</v>
      </c>
    </row>
    <row r="232" spans="1:13" s="1016" customFormat="1" ht="25.15"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4352</v>
      </c>
    </row>
    <row r="233" spans="1:13" s="1016" customFormat="1" ht="25.15"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4352</v>
      </c>
    </row>
    <row r="234" spans="1:13" s="1016" customFormat="1" ht="25.15"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4352</v>
      </c>
    </row>
    <row r="235" spans="1:13" s="1016" customFormat="1" ht="25.15"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4352</v>
      </c>
    </row>
    <row r="236" spans="1:13" s="1016" customFormat="1" ht="25.15"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4352</v>
      </c>
    </row>
    <row r="237" spans="1:13" s="1016" customFormat="1" ht="25.15"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4352</v>
      </c>
    </row>
    <row r="238" spans="1:13" s="1016" customFormat="1" ht="25.15"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4352</v>
      </c>
    </row>
    <row r="239" spans="1:13" s="1016" customFormat="1" ht="25.15" hidden="1" customHeight="1">
      <c r="A239" s="1086">
        <f t="shared" si="9"/>
        <v>0</v>
      </c>
      <c r="B239" s="1231"/>
      <c r="C239" s="2837"/>
      <c r="D239" s="1099"/>
      <c r="E239" s="1012"/>
      <c r="F239" s="1265" t="s">
        <v>2279</v>
      </c>
      <c r="G239" s="1043"/>
      <c r="H239" s="1100"/>
      <c r="I239" s="1192">
        <f t="shared" si="10"/>
        <v>0</v>
      </c>
      <c r="J239" s="1041"/>
      <c r="K239" s="1041"/>
      <c r="L239" s="1015"/>
      <c r="M239" s="934" t="s">
        <v>4352</v>
      </c>
    </row>
    <row r="240" spans="1:13" s="1016" customFormat="1" ht="25.15"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4352</v>
      </c>
    </row>
    <row r="241" spans="1:13" s="1016" customFormat="1" ht="25.15"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4352</v>
      </c>
    </row>
    <row r="242" spans="1:13" s="1016" customFormat="1" ht="25.15"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4352</v>
      </c>
    </row>
    <row r="243" spans="1:13" s="1016" customFormat="1" ht="25.15"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4352</v>
      </c>
    </row>
    <row r="244" spans="1:13" s="1016" customFormat="1" ht="25.15" hidden="1" customHeight="1">
      <c r="A244" s="1086">
        <f t="shared" si="9"/>
        <v>0</v>
      </c>
      <c r="B244" s="1231"/>
      <c r="C244" s="2837"/>
      <c r="D244" s="1099"/>
      <c r="E244" s="1012"/>
      <c r="F244" s="1265" t="s">
        <v>2279</v>
      </c>
      <c r="G244" s="1043"/>
      <c r="H244" s="1100"/>
      <c r="I244" s="1192">
        <f t="shared" si="10"/>
        <v>0</v>
      </c>
      <c r="J244" s="1041"/>
      <c r="K244" s="1041"/>
      <c r="L244" s="1015"/>
      <c r="M244" s="934" t="s">
        <v>4352</v>
      </c>
    </row>
    <row r="245" spans="1:13" s="1016" customFormat="1" ht="25.15" hidden="1" customHeight="1">
      <c r="A245" s="1086">
        <f t="shared" si="9"/>
        <v>0</v>
      </c>
      <c r="B245" s="1229" t="s">
        <v>4448</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4352</v>
      </c>
    </row>
    <row r="246" spans="1:13" s="1016" customFormat="1" ht="25.15"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4352</v>
      </c>
    </row>
    <row r="247" spans="1:13" s="1016" customFormat="1" ht="25.15"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4352</v>
      </c>
    </row>
    <row r="248" spans="1:13" s="1016" customFormat="1" ht="25.15"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4352</v>
      </c>
    </row>
    <row r="249" spans="1:13" s="1016" customFormat="1" ht="25.15"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4352</v>
      </c>
    </row>
    <row r="250" spans="1:13" s="1016" customFormat="1" ht="25.15" hidden="1" customHeight="1">
      <c r="A250" s="1086">
        <f t="shared" si="9"/>
        <v>0</v>
      </c>
      <c r="B250" s="1226"/>
      <c r="C250" s="2834"/>
      <c r="D250" s="1099"/>
      <c r="E250" s="1012"/>
      <c r="F250" s="1264" t="s">
        <v>2279</v>
      </c>
      <c r="G250" s="1099"/>
      <c r="H250" s="1707"/>
      <c r="I250" s="1192">
        <f t="shared" si="10"/>
        <v>0</v>
      </c>
      <c r="J250" s="1041"/>
      <c r="K250" s="1041"/>
      <c r="L250" s="1015"/>
      <c r="M250" s="934" t="s">
        <v>4352</v>
      </c>
    </row>
    <row r="251" spans="1:13" s="1016" customFormat="1" ht="25.15"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4352</v>
      </c>
    </row>
    <row r="252" spans="1:13" s="1016" customFormat="1" ht="25.15"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4352</v>
      </c>
    </row>
    <row r="253" spans="1:13" s="1016" customFormat="1" ht="25.15"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4352</v>
      </c>
    </row>
    <row r="254" spans="1:13" s="1016" customFormat="1" ht="25.15"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4352</v>
      </c>
    </row>
    <row r="255" spans="1:13" s="1016" customFormat="1" ht="25.15"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4352</v>
      </c>
    </row>
    <row r="256" spans="1:13" s="1016" customFormat="1" ht="25.15"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4352</v>
      </c>
    </row>
    <row r="257" spans="1:13" s="1016" customFormat="1" ht="25.15"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4352</v>
      </c>
    </row>
    <row r="258" spans="1:13" s="1016" customFormat="1" ht="25.15"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4352</v>
      </c>
    </row>
    <row r="259" spans="1:13" s="1016" customFormat="1" ht="25.15"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4352</v>
      </c>
    </row>
    <row r="260" spans="1:13" s="1016" customFormat="1" ht="25.15"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4352</v>
      </c>
    </row>
    <row r="261" spans="1:13" s="1016" customFormat="1" ht="25.15"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4352</v>
      </c>
    </row>
    <row r="262" spans="1:13" s="1016" customFormat="1" ht="25.15"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4352</v>
      </c>
    </row>
    <row r="263" spans="1:13" s="1016" customFormat="1" ht="25.15"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4352</v>
      </c>
    </row>
    <row r="264" spans="1:13" s="1016" customFormat="1" ht="25.15"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4352</v>
      </c>
    </row>
    <row r="265" spans="1:13" s="1016" customFormat="1" ht="25.15"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4352</v>
      </c>
    </row>
    <row r="266" spans="1:13" s="1016" customFormat="1" ht="25.15"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4352</v>
      </c>
    </row>
    <row r="267" spans="1:13" s="1016" customFormat="1" ht="25.15"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4352</v>
      </c>
    </row>
    <row r="268" spans="1:13" s="1016" customFormat="1" ht="25.15"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15" hidden="1" customHeight="1">
      <c r="A269" s="1086">
        <f t="shared" si="9"/>
        <v>0</v>
      </c>
      <c r="B269" s="1221"/>
      <c r="C269" s="2838"/>
      <c r="D269" s="1094"/>
      <c r="E269" s="934"/>
      <c r="H269" s="1735"/>
      <c r="I269" s="1192">
        <f t="shared" si="10"/>
        <v>0</v>
      </c>
      <c r="M269" s="934"/>
    </row>
    <row r="270" spans="1:13" s="1016" customFormat="1" ht="25.15"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15"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15"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15"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15"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15"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15"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15"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15"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15"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15"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15" hidden="1" customHeight="1">
      <c r="A281" s="1086">
        <f t="shared" si="9"/>
        <v>0</v>
      </c>
      <c r="B281" s="1226"/>
      <c r="C281" s="2834"/>
      <c r="D281" s="1089"/>
      <c r="E281" s="1090"/>
      <c r="F281" s="1126" t="s">
        <v>4449</v>
      </c>
      <c r="G281" s="1092"/>
      <c r="H281" s="1706"/>
      <c r="I281" s="1192">
        <f t="shared" si="10"/>
        <v>0</v>
      </c>
      <c r="J281" s="1092"/>
      <c r="K281" s="1092"/>
      <c r="L281" s="1069"/>
      <c r="M281" s="934">
        <v>50</v>
      </c>
    </row>
    <row r="282" spans="1:13" s="1016" customFormat="1" ht="25.15"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15"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15"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15"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15"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15"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15"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15"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15"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15"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15"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15"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15"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15"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15"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15"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15"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15"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15"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15"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15"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15"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15"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15"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15"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15"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15"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15" hidden="1" customHeight="1">
      <c r="A309" s="1086">
        <f t="shared" si="12"/>
        <v>0</v>
      </c>
      <c r="B309" s="1226"/>
      <c r="C309" s="2834"/>
      <c r="D309" s="1011">
        <f>IF(H309&gt;0,D303+1,D303)</f>
        <v>0</v>
      </c>
      <c r="E309" s="1118"/>
      <c r="F309" s="1130" t="s">
        <v>4732</v>
      </c>
      <c r="G309" s="1099" t="s">
        <v>2385</v>
      </c>
      <c r="H309" s="1707">
        <f>SUM(H272:H272)</f>
        <v>0</v>
      </c>
      <c r="I309" s="1192">
        <f t="shared" si="13"/>
        <v>0</v>
      </c>
      <c r="J309" s="1041"/>
      <c r="K309" s="1041"/>
      <c r="L309" s="1015"/>
      <c r="M309" s="934">
        <v>50</v>
      </c>
    </row>
    <row r="310" spans="1:14" s="1016" customFormat="1" ht="25.15"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15" hidden="1" customHeight="1">
      <c r="A311" s="1086">
        <f t="shared" si="12"/>
        <v>0</v>
      </c>
      <c r="B311" s="1226" t="s">
        <v>4541</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15" hidden="1" customHeight="1">
      <c r="A312" s="1086">
        <f t="shared" si="12"/>
        <v>0</v>
      </c>
      <c r="B312" s="1226" t="s">
        <v>4728</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15"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15" hidden="1" customHeight="1">
      <c r="A314" s="1086">
        <f t="shared" si="12"/>
        <v>0</v>
      </c>
      <c r="B314" s="1226" t="s">
        <v>4332</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15" hidden="1" customHeight="1">
      <c r="A315" s="1086">
        <f t="shared" si="12"/>
        <v>0</v>
      </c>
      <c r="B315" s="1226"/>
      <c r="C315" s="2834"/>
      <c r="D315" s="1099">
        <f>IF(H315&gt;0,D309+1,D309)</f>
        <v>0</v>
      </c>
      <c r="E315" s="1118"/>
      <c r="F315" s="1130" t="s">
        <v>4807</v>
      </c>
      <c r="G315" s="1099" t="s">
        <v>2385</v>
      </c>
      <c r="H315" s="1707">
        <f>H309</f>
        <v>0</v>
      </c>
      <c r="I315" s="1192">
        <f t="shared" si="13"/>
        <v>0</v>
      </c>
      <c r="J315" s="1041"/>
      <c r="K315" s="1041"/>
      <c r="L315" s="1015"/>
      <c r="M315" s="934">
        <v>50</v>
      </c>
    </row>
    <row r="316" spans="1:14" s="1016" customFormat="1" ht="25.15"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15"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15"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15"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15"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15"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15"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15"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15"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15"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15"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15"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15"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15"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15"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15"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15"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15"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15"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15"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15"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15"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15"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15"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15"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15"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15"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15"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15"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15"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15"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15"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15"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15"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15"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15"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15" hidden="1" customHeight="1">
      <c r="A352" s="1086">
        <f t="shared" si="15"/>
        <v>0</v>
      </c>
      <c r="B352" s="1226" t="s">
        <v>4517</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15"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15"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15"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15"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15"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15"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15"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15"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15"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15"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15"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15"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15"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15"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15"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15" hidden="1" customHeight="1">
      <c r="A368" s="1086">
        <f t="shared" si="15"/>
        <v>0</v>
      </c>
      <c r="B368" s="1221"/>
      <c r="C368" s="2838"/>
      <c r="D368" s="1094"/>
      <c r="E368" s="934"/>
      <c r="H368" s="1735"/>
      <c r="I368" s="1192">
        <f t="shared" si="17"/>
        <v>0</v>
      </c>
      <c r="M368" s="934"/>
    </row>
    <row r="369" spans="1:14" s="1016" customFormat="1" ht="25.15"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15"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15"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15"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15"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15"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15"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15" hidden="1" customHeight="1">
      <c r="A376" s="1086">
        <f t="shared" si="15"/>
        <v>0</v>
      </c>
      <c r="B376" s="1229" t="s">
        <v>4508</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15" hidden="1" customHeight="1">
      <c r="A377" s="1086">
        <f t="shared" si="15"/>
        <v>0</v>
      </c>
      <c r="B377" s="1233" t="s">
        <v>4509</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15"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15"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15"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15"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15"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15"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15"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15"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15"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15"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15"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15"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15"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15"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15"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15"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15"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15"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15" hidden="1" customHeight="1">
      <c r="A396" s="1086">
        <f t="shared" si="15"/>
        <v>0</v>
      </c>
      <c r="B396" s="1377" t="s">
        <v>4511</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15"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15" hidden="1" customHeight="1">
      <c r="A398" s="1086">
        <f t="shared" si="15"/>
        <v>0</v>
      </c>
      <c r="B398" s="1226" t="s">
        <v>4513</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15"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15"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15"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15"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15"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15"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15"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15"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15"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15"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15"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15"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15"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15"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15"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15"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15"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15"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15"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15"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15"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15"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15" hidden="1" customHeight="1">
      <c r="A421" s="1086">
        <f t="shared" si="19"/>
        <v>0</v>
      </c>
      <c r="B421" s="1087" t="s">
        <v>4460</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15"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15" hidden="1" customHeight="1">
      <c r="A423" s="1086">
        <f t="shared" si="19"/>
        <v>0</v>
      </c>
      <c r="B423" s="1087" t="s">
        <v>4341</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15" hidden="1" customHeight="1">
      <c r="A424" s="1086">
        <f t="shared" si="19"/>
        <v>0</v>
      </c>
      <c r="B424" s="1087" t="s">
        <v>4349</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15" hidden="1" customHeight="1">
      <c r="A425" s="1086">
        <f t="shared" si="19"/>
        <v>0</v>
      </c>
      <c r="B425" s="1087" t="s">
        <v>4515</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15"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15"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15"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15" hidden="1" customHeight="1">
      <c r="A429" s="1086">
        <f t="shared" si="19"/>
        <v>0</v>
      </c>
      <c r="B429" s="1226" t="s">
        <v>4516</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15"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15" hidden="1" customHeight="1">
      <c r="A431" s="1086">
        <f t="shared" si="19"/>
        <v>0</v>
      </c>
      <c r="B431" s="1226" t="s">
        <v>4517</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15"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15"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15"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15"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15"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15"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15"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15"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15"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15"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15"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15"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15"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15"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15"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15"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15"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15"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15"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15" hidden="1" customHeight="1">
      <c r="A451" s="1086">
        <f t="shared" si="19"/>
        <v>0</v>
      </c>
      <c r="B451" s="1226"/>
      <c r="C451" s="2834"/>
      <c r="D451" s="1094"/>
      <c r="E451" s="1133"/>
      <c r="F451" s="1134"/>
      <c r="H451" s="1735"/>
      <c r="I451" s="1192">
        <f t="shared" si="20"/>
        <v>0</v>
      </c>
      <c r="M451" s="934"/>
    </row>
    <row r="452" spans="1:14" s="1016" customFormat="1" ht="25.15"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15"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15"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15"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15"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15"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15"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15"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15"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15"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15"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15"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15"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15"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15"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15"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15"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15"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15"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15"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15"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15"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15"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15"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15"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15"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15"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15"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15" hidden="1" customHeight="1">
      <c r="A480" s="1086">
        <f t="shared" si="22"/>
        <v>0</v>
      </c>
      <c r="B480" s="1226" t="s">
        <v>4728</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15"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15"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15"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15"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15"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15"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15"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15"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15"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15"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15"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15"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15"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15"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15"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15"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15"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15"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15"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15"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15"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15"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15"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15"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15"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15"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15"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15"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15"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15"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15"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15" hidden="1" customHeight="1">
      <c r="A512" s="1086">
        <f t="shared" si="22"/>
        <v>0</v>
      </c>
      <c r="B512" s="1226" t="s">
        <v>4756</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15"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15" hidden="1" customHeight="1">
      <c r="A514" s="1086">
        <f t="shared" si="22"/>
        <v>0</v>
      </c>
      <c r="B514" s="1226" t="s">
        <v>4517</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15" hidden="1" customHeight="1">
      <c r="A515" s="1086">
        <f t="shared" si="22"/>
        <v>0</v>
      </c>
      <c r="B515" s="1231" t="s">
        <v>4757</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15"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15"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15"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15"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15"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15"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15"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15"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15"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15"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15"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15"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15"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15"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15" hidden="1" customHeight="1">
      <c r="A530" s="1086">
        <f t="shared" si="22"/>
        <v>0</v>
      </c>
      <c r="B530" s="1226"/>
      <c r="C530" s="2834"/>
      <c r="D530" s="1094"/>
      <c r="E530" s="1133"/>
      <c r="F530" s="1134"/>
      <c r="H530" s="1735"/>
      <c r="I530" s="1192">
        <f t="shared" si="23"/>
        <v>0</v>
      </c>
      <c r="M530" s="934"/>
    </row>
    <row r="531" spans="1:13" s="1016" customFormat="1" ht="25.15"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15"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15"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15"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15"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15"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15"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15"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15"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15"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15"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15"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15"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15"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15"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15"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15"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15"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15"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15"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15"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15"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15"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15"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15"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15"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15"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15"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15"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15"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15"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15"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15"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15"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15"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15"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15"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15"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15"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15"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15"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15"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15"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15"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15"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15"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15"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15"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15"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15"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15"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15"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15"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15"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15"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15"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15"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15"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15"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15"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15"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15"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15"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15"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15"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15"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15"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15"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15"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15"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15"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15"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15"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15"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15"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15"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15"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15"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15"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15"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15"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15"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15"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15"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15"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15"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15"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15"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15"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15" hidden="1" customHeight="1">
      <c r="A620" s="1086">
        <f t="shared" si="26"/>
        <v>0</v>
      </c>
      <c r="B620" s="1221"/>
      <c r="C620" s="2838"/>
      <c r="D620" s="1094"/>
      <c r="E620" s="1133"/>
      <c r="H620" s="1735"/>
      <c r="I620" s="1192">
        <f t="shared" si="25"/>
        <v>0</v>
      </c>
      <c r="M620" s="934"/>
    </row>
    <row r="621" spans="1:13" s="1016" customFormat="1" ht="25.15"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15"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15"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15"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15"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15"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15"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15"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15"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15"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15"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15"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15"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15"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15"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15"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15"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15"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15"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15"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15"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15"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15"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15"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15"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15"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15"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15"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15"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15"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15"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15"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15"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15"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15"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15"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15"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15"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15"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15"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15"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15"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15"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15"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15"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15"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15"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15"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15"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15"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15"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15"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15"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15"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15"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15"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15"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15"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15" hidden="1" customHeight="1">
      <c r="A679" s="1086">
        <f t="shared" si="29"/>
        <v>0</v>
      </c>
      <c r="B679" s="1229" t="s">
        <v>4448</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15"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15"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15"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15"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15"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15"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15"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15"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15"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15"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15"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15"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15"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15"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15"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15"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15"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15"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15"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15"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15"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15"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15"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15"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15"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15"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15"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15"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15"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15"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15"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15"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15"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15"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15"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15" hidden="1" customHeight="1">
      <c r="A715" s="1086">
        <f t="shared" si="29"/>
        <v>0</v>
      </c>
      <c r="B715" s="1221" t="s">
        <v>4353</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15"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15"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15"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15"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15"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15"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15"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15"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15"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15"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15"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15"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15"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15"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15"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15"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15"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15"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15"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15"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15"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15"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15"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15"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15"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15"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15"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15"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15"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15"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15"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15"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15"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15"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15"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15" hidden="1" customHeight="1">
      <c r="A751" s="1086">
        <f t="shared" si="32"/>
        <v>0</v>
      </c>
      <c r="B751" s="1226"/>
      <c r="C751" s="2834"/>
      <c r="D751" s="1096">
        <f>IF(H751&gt;0,D745+1,D745)</f>
        <v>0</v>
      </c>
      <c r="E751" s="1101"/>
      <c r="F751" s="1102" t="s">
        <v>4343</v>
      </c>
      <c r="G751" s="1007" t="s">
        <v>2385</v>
      </c>
      <c r="H751" s="2743">
        <f>H734</f>
        <v>0</v>
      </c>
      <c r="I751" s="1193">
        <f t="shared" si="33"/>
        <v>0</v>
      </c>
      <c r="J751" s="1007"/>
      <c r="K751" s="1007"/>
      <c r="L751" s="1007"/>
      <c r="M751" s="934" t="s">
        <v>1261</v>
      </c>
    </row>
    <row r="752" spans="1:14" s="1016" customFormat="1" ht="25.15"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15" hidden="1" customHeight="1">
      <c r="A753" s="1086">
        <f t="shared" si="32"/>
        <v>0</v>
      </c>
      <c r="B753" s="1087" t="s">
        <v>4331</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15"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15"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15"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15"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15"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15" hidden="1" customHeight="1">
      <c r="A759" s="1086">
        <f t="shared" si="32"/>
        <v>0</v>
      </c>
      <c r="B759" s="1226"/>
      <c r="C759" s="2834"/>
      <c r="D759" s="1096">
        <f>IF(H759&gt;0,D751+1,D751)</f>
        <v>0</v>
      </c>
      <c r="E759" s="1097"/>
      <c r="F759" s="1098" t="s">
        <v>4376</v>
      </c>
      <c r="G759" s="1007" t="s">
        <v>2385</v>
      </c>
      <c r="H759" s="2743"/>
      <c r="I759" s="1193">
        <f t="shared" si="33"/>
        <v>0</v>
      </c>
      <c r="J759" s="1007"/>
      <c r="K759" s="1007"/>
      <c r="L759" s="1007"/>
      <c r="M759" s="934" t="s">
        <v>1261</v>
      </c>
    </row>
    <row r="760" spans="1:13" s="1016" customFormat="1" ht="25.15"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15"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15"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15"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15"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15"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15"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15"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15"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15"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15"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15"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15"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15"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15"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15"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15"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15"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15"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15"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15"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15"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15"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15"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15"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15"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15"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15"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15"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15"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15"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15"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15"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15"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15"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15"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15"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15"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15"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15"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15"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15"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15"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15"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15"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15"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15" hidden="1" customHeight="1">
      <c r="A806" s="1086">
        <f t="shared" si="34"/>
        <v>0</v>
      </c>
      <c r="B806" s="1226" t="s">
        <v>4345</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15"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15"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15"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15"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15" hidden="1" customHeight="1">
      <c r="A811" s="1086">
        <f t="shared" si="34"/>
        <v>0</v>
      </c>
      <c r="B811" s="1231" t="s">
        <v>4347</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15" hidden="1" customHeight="1">
      <c r="A812" s="1086">
        <f t="shared" si="34"/>
        <v>0</v>
      </c>
      <c r="B812" s="1231" t="s">
        <v>4341</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15" hidden="1" customHeight="1">
      <c r="A813" s="1086">
        <f t="shared" si="34"/>
        <v>0</v>
      </c>
      <c r="B813" s="1231" t="s">
        <v>4349</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15"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15"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15"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15"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15"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15" hidden="1" customHeight="1">
      <c r="A819" s="1086">
        <f t="shared" si="34"/>
        <v>0</v>
      </c>
      <c r="B819" s="1249"/>
      <c r="C819" s="2846"/>
      <c r="D819" s="1120"/>
      <c r="E819" s="1174"/>
      <c r="F819" s="1175"/>
      <c r="G819" s="1176"/>
      <c r="H819" s="1726"/>
      <c r="I819" s="1192">
        <f t="shared" si="35"/>
        <v>0</v>
      </c>
      <c r="J819" s="1175"/>
      <c r="K819" s="1175"/>
      <c r="M819" s="1120"/>
    </row>
    <row r="820" spans="1:13" s="1016" customFormat="1" ht="25.15"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15"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15" hidden="1" customHeight="1">
      <c r="A822" s="1086">
        <f t="shared" si="34"/>
        <v>0</v>
      </c>
      <c r="B822" s="1227" t="s">
        <v>4391</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15"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15"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15"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15" hidden="1" customHeight="1">
      <c r="A826" s="1086">
        <f t="shared" si="34"/>
        <v>0</v>
      </c>
      <c r="B826" s="1227" t="s">
        <v>4925</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15"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15"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15"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15"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15"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15"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15"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15"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15"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15"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15"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15" hidden="1" customHeight="1">
      <c r="A838" s="1086">
        <f t="shared" si="34"/>
        <v>0</v>
      </c>
      <c r="B838" s="1226" t="s">
        <v>4763</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15"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15"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15"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15"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15"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15"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15"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15"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15"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15"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15"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15"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15"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15" hidden="1" customHeight="1">
      <c r="A852" s="1086">
        <f t="shared" si="34"/>
        <v>0</v>
      </c>
      <c r="B852" s="1233" t="s">
        <v>4327</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15"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15"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15"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15"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15"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15"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15"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15"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15"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15"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15"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15"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15"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15"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15"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15"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15"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15"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15"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15"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15"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15"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15"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15"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15"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15"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15"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15"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15"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15"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15"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15"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15"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15"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15"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15"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15"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15"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15"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15"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15"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15"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15"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15"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15" hidden="1" customHeight="1">
      <c r="A897" s="1086">
        <f t="shared" si="37"/>
        <v>0</v>
      </c>
      <c r="B897" s="1226" t="s">
        <v>4926</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15"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15"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15"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15"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15"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15"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15"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15"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15"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15"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15"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15"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15"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15"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15"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15"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15"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15"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15"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15"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15"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15" hidden="1" customHeight="1">
      <c r="A919" s="1086">
        <f t="shared" si="37"/>
        <v>0</v>
      </c>
      <c r="B919" s="1226" t="s">
        <v>289</v>
      </c>
      <c r="C919" s="2834"/>
      <c r="D919" s="1187">
        <v>8</v>
      </c>
      <c r="E919" s="1188"/>
      <c r="F919" s="1948" t="s">
        <v>4767</v>
      </c>
      <c r="G919" s="1949" t="str">
        <f>VLOOKUP($B919,DG!A:D,DG!$D$2,)</f>
        <v>bộ</v>
      </c>
      <c r="H919" s="1732"/>
      <c r="I919" s="1192">
        <f t="shared" si="39"/>
        <v>0</v>
      </c>
      <c r="J919" s="1041"/>
      <c r="K919" s="1041"/>
      <c r="L919" s="1015"/>
      <c r="M919" s="934" t="s">
        <v>1262</v>
      </c>
    </row>
    <row r="920" spans="1:13" s="1016" customFormat="1" ht="25.15"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15"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15"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15"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15"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15"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15"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15"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15"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15"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15"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15"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15"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15"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15"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15"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15"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15"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15" hidden="1" customHeight="1">
      <c r="A938" s="1086">
        <f t="shared" si="40"/>
        <v>0</v>
      </c>
      <c r="B938" s="1226"/>
      <c r="C938" s="2834"/>
      <c r="D938" s="1082"/>
      <c r="E938" s="1071"/>
      <c r="F938" s="1038"/>
      <c r="G938" s="1072"/>
      <c r="H938" s="1733"/>
      <c r="I938" s="1733"/>
      <c r="J938" s="1733"/>
      <c r="K938" s="1733"/>
      <c r="L938" s="1733"/>
      <c r="M938" s="934"/>
    </row>
    <row r="939" spans="1:13" s="1016" customFormat="1" ht="25.15"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15" hidden="1" customHeight="1">
      <c r="A940" s="1086">
        <f t="shared" si="40"/>
        <v>0</v>
      </c>
      <c r="B940" s="1221"/>
      <c r="C940" s="2838"/>
      <c r="D940" s="1033"/>
      <c r="E940" s="934"/>
      <c r="F940" s="1034"/>
      <c r="G940" s="934"/>
      <c r="H940" s="1735"/>
      <c r="I940" s="1192">
        <f t="shared" si="38"/>
        <v>0</v>
      </c>
      <c r="L940" s="934"/>
      <c r="M940" s="934"/>
    </row>
    <row r="941" spans="1:13" s="1016" customFormat="1" ht="25.15"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15"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15"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15"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15"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15"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15"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15"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15"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15"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15"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15"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15"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15"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15"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15"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15"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15"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15"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15"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15"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15"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15"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15"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15"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15"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15"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15"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15"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15"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15" hidden="1" customHeight="1">
      <c r="A971" s="1086">
        <f t="shared" si="40"/>
        <v>0</v>
      </c>
      <c r="B971" s="1226"/>
      <c r="C971" s="2834"/>
      <c r="D971" s="1017">
        <f>IF(H971&gt;0,D961+1,D961)</f>
        <v>0</v>
      </c>
      <c r="E971" s="1059"/>
      <c r="F971" s="1052" t="s">
        <v>4824</v>
      </c>
      <c r="G971" s="1050" t="s">
        <v>2385</v>
      </c>
      <c r="H971" s="1742"/>
      <c r="I971" s="1192">
        <f t="shared" si="38"/>
        <v>0</v>
      </c>
      <c r="J971" s="1060"/>
      <c r="K971" s="1060"/>
      <c r="L971" s="1015"/>
      <c r="M971" s="934">
        <v>160</v>
      </c>
    </row>
    <row r="972" spans="1:13" s="1016" customFormat="1" ht="25.15"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15"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15"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15"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15"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15"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15"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15" hidden="1" customHeight="1">
      <c r="A979" s="1086">
        <f t="shared" si="40"/>
        <v>0</v>
      </c>
      <c r="B979" s="1226"/>
      <c r="C979" s="2834"/>
      <c r="D979" s="1017">
        <f>IF(H979&gt;0,D969+1,D969)</f>
        <v>1</v>
      </c>
      <c r="E979" s="1059"/>
      <c r="F979" s="1052" t="s">
        <v>4825</v>
      </c>
      <c r="G979" s="1050" t="s">
        <v>2385</v>
      </c>
      <c r="H979" s="1742">
        <v>1</v>
      </c>
      <c r="I979" s="1192">
        <f t="shared" si="42"/>
        <v>0</v>
      </c>
      <c r="J979" s="1060"/>
      <c r="K979" s="1060"/>
      <c r="L979" s="1015"/>
      <c r="M979" s="934">
        <v>160</v>
      </c>
    </row>
    <row r="980" spans="1:13" s="1016" customFormat="1" ht="25.15"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15" hidden="1" customHeight="1">
      <c r="A981" s="1086">
        <f t="shared" si="40"/>
        <v>0</v>
      </c>
      <c r="B981" s="1087" t="s">
        <v>4828</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15" hidden="1" customHeight="1">
      <c r="A982" s="1086">
        <f t="shared" si="40"/>
        <v>0</v>
      </c>
      <c r="B982" s="1087" t="s">
        <v>4829</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15" hidden="1" customHeight="1">
      <c r="A983" s="1086">
        <f t="shared" si="40"/>
        <v>0</v>
      </c>
      <c r="B983" s="1087" t="s">
        <v>4830</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15" hidden="1" customHeight="1">
      <c r="A984" s="1086">
        <f t="shared" si="40"/>
        <v>0</v>
      </c>
      <c r="B984" s="1087" t="s">
        <v>4831</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15" hidden="1" customHeight="1">
      <c r="A985" s="1086">
        <f t="shared" si="40"/>
        <v>0</v>
      </c>
      <c r="B985" s="1087" t="s">
        <v>4832</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15" hidden="1" customHeight="1">
      <c r="A986" s="1086">
        <f t="shared" ref="A986:A1049" si="44">IF(AND(M986=$M$23,I986&gt;0),1,0)</f>
        <v>0</v>
      </c>
      <c r="B986" s="1087" t="s">
        <v>4833</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15" hidden="1" customHeight="1">
      <c r="A987" s="1086">
        <f t="shared" si="44"/>
        <v>0</v>
      </c>
      <c r="B987" s="1087" t="s">
        <v>4834</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15"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15"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15" hidden="1" customHeight="1">
      <c r="A990" s="1086">
        <f t="shared" si="44"/>
        <v>0</v>
      </c>
      <c r="B990" s="1226" t="s">
        <v>4836</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15" hidden="1" customHeight="1">
      <c r="A991" s="1086">
        <f t="shared" si="44"/>
        <v>0</v>
      </c>
      <c r="B991" s="1226" t="s">
        <v>4835</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15" hidden="1" customHeight="1">
      <c r="A992" s="1086">
        <f t="shared" si="44"/>
        <v>0</v>
      </c>
      <c r="B992" s="1226" t="s">
        <v>4837</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15" hidden="1" customHeight="1">
      <c r="A993" s="1086">
        <f t="shared" si="44"/>
        <v>0</v>
      </c>
      <c r="B993" s="1226" t="s">
        <v>2242</v>
      </c>
      <c r="C993" s="2834"/>
      <c r="D993" s="1011"/>
      <c r="E993" s="1024" t="str">
        <f>VLOOKUP($B993,DG!A:D,DG!$B$2,)</f>
        <v>05.6044</v>
      </c>
      <c r="F993" s="1013" t="s">
        <v>4840</v>
      </c>
      <c r="G993" s="1024" t="s">
        <v>2442</v>
      </c>
      <c r="H993" s="1713">
        <v>0.24</v>
      </c>
      <c r="I993" s="1192">
        <f t="shared" si="43"/>
        <v>0</v>
      </c>
      <c r="J993" s="1041"/>
      <c r="K993" s="1041"/>
      <c r="L993" s="1015"/>
      <c r="M993" s="934">
        <v>160</v>
      </c>
    </row>
    <row r="994" spans="1:13" s="1016" customFormat="1" ht="25.15"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15"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15"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15"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15"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15"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15"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15"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15" hidden="1" customHeight="1">
      <c r="A1002" s="1086">
        <f t="shared" si="44"/>
        <v>0</v>
      </c>
      <c r="B1002" s="1226"/>
      <c r="C1002" s="2834"/>
      <c r="D1002" s="1017">
        <f>IF(H1002&gt;0,D995+1,D995)</f>
        <v>0</v>
      </c>
      <c r="E1002" s="1018"/>
      <c r="F1002" s="1063" t="s">
        <v>4451</v>
      </c>
      <c r="G1002" s="1017" t="s">
        <v>2385</v>
      </c>
      <c r="H1002" s="1722">
        <f>$H$971*2</f>
        <v>0</v>
      </c>
      <c r="I1002" s="1192">
        <f t="shared" si="42"/>
        <v>0</v>
      </c>
      <c r="J1002" s="1064"/>
      <c r="K1002" s="1064"/>
      <c r="L1002" s="1015"/>
      <c r="M1002" s="934">
        <v>160</v>
      </c>
    </row>
    <row r="1003" spans="1:13" s="1016" customFormat="1" ht="25.15"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15"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15"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15"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15"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15"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15" hidden="1" customHeight="1">
      <c r="A1009" s="1086">
        <f t="shared" si="44"/>
        <v>0</v>
      </c>
      <c r="B1009" s="1226"/>
      <c r="C1009" s="2834"/>
      <c r="D1009" s="1017">
        <f>IF(H1009&gt;0,D1002+1,D1002)</f>
        <v>0</v>
      </c>
      <c r="E1009" s="1018"/>
      <c r="F1009" s="1063" t="s">
        <v>4458</v>
      </c>
      <c r="G1009" s="1017" t="s">
        <v>2385</v>
      </c>
      <c r="H1009" s="1722">
        <f>$H$971*1</f>
        <v>0</v>
      </c>
      <c r="I1009" s="1192">
        <f t="shared" ref="I1009:I1014" si="45">IF(M1009=$M$23,H1009+J1009-K1009,0)</f>
        <v>0</v>
      </c>
      <c r="J1009" s="1064"/>
      <c r="K1009" s="1064"/>
      <c r="L1009" s="1015"/>
      <c r="M1009" s="934">
        <v>160</v>
      </c>
    </row>
    <row r="1010" spans="1:13" s="1016" customFormat="1" ht="25.15"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15" hidden="1" customHeight="1">
      <c r="A1011" s="1086">
        <f t="shared" si="44"/>
        <v>0</v>
      </c>
      <c r="B1011" s="1233" t="s">
        <v>4452</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15"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15"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15"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15"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15"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15"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15"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15"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15"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15"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15"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15"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15"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15"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15"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15"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15"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15"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15"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15"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15"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15"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15"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15"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15"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15"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15"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15"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15"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15"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15"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15"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15"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15"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15"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15"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15"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15"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15"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15"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15"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15"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15"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15"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15"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15"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15"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15"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15"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15"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15"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15"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15"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15" hidden="1" customHeight="1">
      <c r="A1065" s="1086">
        <f t="shared" si="46"/>
        <v>0</v>
      </c>
      <c r="B1065" s="1226" t="s">
        <v>4413</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15"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15"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15"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15"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15"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15" hidden="1" customHeight="1">
      <c r="A1071" s="1086">
        <f t="shared" si="46"/>
        <v>0</v>
      </c>
      <c r="B1071" s="1226" t="s">
        <v>4413</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15"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15"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15"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15"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15"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15" hidden="1" customHeight="1">
      <c r="A1077" s="1086">
        <f t="shared" si="46"/>
        <v>0</v>
      </c>
      <c r="B1077" s="1256" t="s">
        <v>4842</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15"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15"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15"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15"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15"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15"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15"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15"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15"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15"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15"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15"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15"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15"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15"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15"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15"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15"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15"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15"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15"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15"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15"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15"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15"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15"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15"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15"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15"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15"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15"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15"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15"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15"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15"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15"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15"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15"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15"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15"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15"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15"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15"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15"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15"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15" hidden="1" customHeight="1">
      <c r="A1123" s="1086">
        <f t="shared" si="48"/>
        <v>0</v>
      </c>
      <c r="B1123" s="1226" t="s">
        <v>4347</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15" hidden="1" customHeight="1">
      <c r="A1124" s="1086">
        <f t="shared" si="48"/>
        <v>0</v>
      </c>
      <c r="B1124" s="1226" t="s">
        <v>4341</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15" hidden="1" customHeight="1">
      <c r="A1125" s="1086">
        <f t="shared" si="48"/>
        <v>0</v>
      </c>
      <c r="B1125" s="1226" t="s">
        <v>4349</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15"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15"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15"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15"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15"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15"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15"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15"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15"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15"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15"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15"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15"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15"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15"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15"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15"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15"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15"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15"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15" hidden="1" customHeight="1">
      <c r="A1146" s="1086">
        <f t="shared" si="48"/>
        <v>0</v>
      </c>
      <c r="B1146" s="1226" t="s">
        <v>4459</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15"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15" hidden="1" customHeight="1">
      <c r="A1148" s="1086">
        <f t="shared" si="48"/>
        <v>0</v>
      </c>
      <c r="B1148" s="1226" t="s">
        <v>4598</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15" hidden="1" customHeight="1">
      <c r="A1149" s="1086">
        <f t="shared" si="48"/>
        <v>0</v>
      </c>
      <c r="B1149" s="1226" t="s">
        <v>4843</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15"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15"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15"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15"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15"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15"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15"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15"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15"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15"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15" hidden="1" customHeight="1">
      <c r="A1160" s="1086">
        <f t="shared" si="48"/>
        <v>0</v>
      </c>
      <c r="B1160" s="1226" t="s">
        <v>4347</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15" hidden="1" customHeight="1">
      <c r="A1161" s="1086">
        <f t="shared" si="48"/>
        <v>0</v>
      </c>
      <c r="B1161" s="1226" t="s">
        <v>4341</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15" hidden="1" customHeight="1">
      <c r="A1162" s="1086">
        <f t="shared" si="48"/>
        <v>0</v>
      </c>
      <c r="B1162" s="1226" t="s">
        <v>4349</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15"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15"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15"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15"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15"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15"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15"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15"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15"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15"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15"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15"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15"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15"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15"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15"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15"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15"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15"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15"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15"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15"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15"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15"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15"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15"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15"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15"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15"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15"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15"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15"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15" hidden="1" customHeight="1">
      <c r="A1195" s="1086">
        <f t="shared" si="50"/>
        <v>0</v>
      </c>
      <c r="B1195" s="1087"/>
      <c r="C1195" s="2835"/>
      <c r="D1195" s="1075"/>
      <c r="F1195" s="1076"/>
      <c r="H1195" s="1735"/>
      <c r="I1195" s="1192">
        <f t="shared" si="49"/>
        <v>0</v>
      </c>
      <c r="M1195" s="934"/>
    </row>
    <row r="1196" spans="1:13" s="1016" customFormat="1" ht="25.15"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15"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15" hidden="1" customHeight="1">
      <c r="A1198" s="1086">
        <f t="shared" si="50"/>
        <v>0</v>
      </c>
      <c r="B1198" s="1227" t="s">
        <v>4497</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15"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15" hidden="1" customHeight="1">
      <c r="A1200" s="1086">
        <f t="shared" si="50"/>
        <v>0</v>
      </c>
      <c r="B1200" s="1227" t="s">
        <v>4498</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15"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15"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15" hidden="1" customHeight="1">
      <c r="A1203" s="1086">
        <f t="shared" si="50"/>
        <v>0</v>
      </c>
      <c r="B1203" s="1227" t="s">
        <v>4599</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4558</v>
      </c>
      <c r="M1203" s="934">
        <v>250</v>
      </c>
    </row>
    <row r="1204" spans="1:13" s="1016" customFormat="1" ht="25.15"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15"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15"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15"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15"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15"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15"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15"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15"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15"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15"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15"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15"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15"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15"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15"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15"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15"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15"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15"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15"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15"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15"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15"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15"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15"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15"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15"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15"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15"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15"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15"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15"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15"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15"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15"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15"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15"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15"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15"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15"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15"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15"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15"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15"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15"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15"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15" hidden="1" customHeight="1">
      <c r="A1251" s="1086">
        <f t="shared" si="53"/>
        <v>0</v>
      </c>
      <c r="B1251" s="1244" t="s">
        <v>4327</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15"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15"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15"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15"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15"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15"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15" hidden="1" customHeight="1">
      <c r="A1258" s="1086">
        <f t="shared" si="53"/>
        <v>0</v>
      </c>
      <c r="B1258" s="1226"/>
      <c r="C1258" s="2834"/>
      <c r="D1258" s="1017">
        <f>IF(H1258&gt;0,D1249+1,D1249)</f>
        <v>2</v>
      </c>
      <c r="E1258" s="1018"/>
      <c r="F1258" s="1063" t="s">
        <v>4556</v>
      </c>
      <c r="G1258" s="1017" t="s">
        <v>2385</v>
      </c>
      <c r="H1258" s="1722">
        <v>1</v>
      </c>
      <c r="I1258" s="1192">
        <f t="shared" si="51"/>
        <v>0</v>
      </c>
      <c r="J1258" s="1064"/>
      <c r="K1258" s="1064"/>
      <c r="L1258" s="1015"/>
      <c r="M1258" s="934">
        <v>250</v>
      </c>
    </row>
    <row r="1259" spans="1:13" s="1016" customFormat="1" ht="25.15"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15"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15"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15"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15"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15"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15"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15"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15"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15"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15"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15"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15"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15"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15"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15"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15"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15"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15"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15"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15"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15"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15"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15"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15"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15"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15"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15"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15"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15"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15"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15"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15"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15"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15"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15"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15"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15"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15"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15"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15"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15"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15"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15"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15"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15"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15"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15"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15"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15"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15" hidden="1" customHeight="1">
      <c r="A1309" s="1086">
        <f t="shared" si="55"/>
        <v>0</v>
      </c>
      <c r="B1309" s="1226" t="s">
        <v>4407</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15"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15"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15"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15"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15"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15" hidden="1" customHeight="1">
      <c r="A1315" s="1086">
        <f t="shared" si="55"/>
        <v>0</v>
      </c>
      <c r="B1315" s="1226" t="s">
        <v>4407</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15"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15"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15"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15"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15"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15"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15"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15"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15"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15"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15" hidden="1" customHeight="1">
      <c r="A1326" s="1086">
        <f t="shared" si="55"/>
        <v>0</v>
      </c>
      <c r="B1326" s="1226" t="s">
        <v>4407</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15"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15"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15"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15"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15"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15"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15"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15"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15"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15"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15"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15"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15"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15"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15"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15"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15"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15"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15"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15"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15"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15"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15"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15"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15"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15"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15"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15"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15"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15"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15"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15"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15"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15"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15"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15"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15" hidden="1" customHeight="1">
      <c r="A1363" s="1086">
        <f t="shared" si="55"/>
        <v>0</v>
      </c>
      <c r="B1363" s="2746" t="s">
        <v>4536</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15" hidden="1" customHeight="1">
      <c r="A1364" s="1086">
        <f t="shared" si="55"/>
        <v>0</v>
      </c>
      <c r="B1364" s="2746" t="s">
        <v>4347</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15" hidden="1" customHeight="1">
      <c r="A1365" s="1086">
        <f t="shared" si="55"/>
        <v>0</v>
      </c>
      <c r="B1365" s="2746" t="s">
        <v>4349</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15" hidden="1" customHeight="1">
      <c r="A1366" s="1086">
        <f t="shared" si="55"/>
        <v>0</v>
      </c>
      <c r="B1366" s="1087" t="s">
        <v>4559</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15" hidden="1" customHeight="1">
      <c r="A1367" s="1086">
        <f t="shared" si="55"/>
        <v>0</v>
      </c>
      <c r="B1367" s="2746" t="s">
        <v>4560</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15"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15"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15"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15"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15"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15"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15"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15"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15"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15"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15"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15"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15"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15"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15"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15"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15"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15"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15"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15"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15"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15"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15"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15"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15"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15"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15"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15"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15"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15"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15"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15"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15"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15"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15"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15"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15"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15" hidden="1" customHeight="1">
      <c r="A1405" s="1086">
        <f t="shared" si="57"/>
        <v>0</v>
      </c>
      <c r="B1405" s="1246" t="s">
        <v>4598</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15"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15"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15"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15"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15"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15"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15"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15"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15"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15"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15"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15"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15"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15"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15"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15"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15"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15"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15"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15"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15"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15"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15"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15"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15"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15"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15"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15"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15"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15"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15"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15"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15"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15"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15"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15"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15" hidden="1" customHeight="1">
      <c r="A1442" s="1086">
        <f t="shared" si="60"/>
        <v>0</v>
      </c>
      <c r="B1442" s="1087"/>
      <c r="C1442" s="2835"/>
      <c r="D1442" s="1075"/>
      <c r="F1442" s="1076"/>
      <c r="H1442" s="1735"/>
      <c r="I1442" s="1192">
        <f t="shared" si="58"/>
        <v>0</v>
      </c>
      <c r="M1442" s="934"/>
    </row>
    <row r="1443" spans="1:13" s="1016" customFormat="1" ht="25.15"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15"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15"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15"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15" hidden="1" customHeight="1">
      <c r="A1447" s="1086">
        <f t="shared" si="60"/>
        <v>0</v>
      </c>
      <c r="B1447" s="1227" t="s">
        <v>4498</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15"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15"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15"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15"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15"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15"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15"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15"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15"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15"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15"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15"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15"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15"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15"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15"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15"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15"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15"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15"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15"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15"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15"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15"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15"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15"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15"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15"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15"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15"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15"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15"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15"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15"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15"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15" hidden="1" customHeight="1">
      <c r="A1483" s="1086">
        <f t="shared" si="60"/>
        <v>0</v>
      </c>
      <c r="B1483" s="1226"/>
      <c r="C1483" s="2834"/>
      <c r="D1483" s="1017">
        <f>IF(H1483&gt;0,D1474+1,D1474)</f>
        <v>0</v>
      </c>
      <c r="E1483" s="1018"/>
      <c r="F1483" s="1063" t="s">
        <v>4533</v>
      </c>
      <c r="G1483" s="1017" t="s">
        <v>2385</v>
      </c>
      <c r="H1483" s="1722">
        <f>H1474*2</f>
        <v>0</v>
      </c>
      <c r="I1483" s="1192">
        <f t="shared" si="62"/>
        <v>0</v>
      </c>
      <c r="J1483" s="1064"/>
      <c r="K1483" s="1064"/>
      <c r="L1483" s="1015"/>
      <c r="M1483" s="934">
        <v>320</v>
      </c>
    </row>
    <row r="1484" spans="1:13" s="1016" customFormat="1" ht="25.15"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15"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15"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15"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15"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15"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15"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15"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15"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15"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15"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15"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15"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15"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15"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15"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15"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15"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15"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15"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15"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15"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15"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15"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15"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15"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15"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15"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15"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15"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15"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15"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15"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15"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15"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15"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15"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15"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15"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15"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15"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15"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15"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15"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15"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15"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15"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15"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15"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15"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15"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15"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15"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15"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15"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15"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15"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15"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15"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15"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15" hidden="1" customHeight="1">
      <c r="A1544" s="1086">
        <f t="shared" si="63"/>
        <v>0</v>
      </c>
      <c r="B1544" s="1226"/>
      <c r="C1544" s="2834"/>
      <c r="D1544" s="1017">
        <f>IF(H1544&gt;0,D1523+1,D1523)</f>
        <v>1</v>
      </c>
      <c r="E1544" s="1018"/>
      <c r="F1544" s="1019" t="s">
        <v>4796</v>
      </c>
      <c r="G1544" s="1017" t="s">
        <v>2385</v>
      </c>
      <c r="H1544" s="1722">
        <v>1</v>
      </c>
      <c r="I1544" s="1192">
        <f t="shared" si="64"/>
        <v>0</v>
      </c>
      <c r="J1544" s="1014"/>
      <c r="K1544" s="1014"/>
      <c r="L1544" s="1015"/>
      <c r="M1544" s="934">
        <v>320</v>
      </c>
    </row>
    <row r="1545" spans="1:16" s="1016" customFormat="1" ht="25.15"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15"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15" hidden="1" customHeight="1">
      <c r="A1547" s="1086">
        <f t="shared" si="63"/>
        <v>0</v>
      </c>
      <c r="B1547" s="1226" t="s">
        <v>4407</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15"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15"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15"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15"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15"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15" hidden="1" customHeight="1">
      <c r="A1553" s="1086">
        <f t="shared" si="63"/>
        <v>0</v>
      </c>
      <c r="B1553" s="1226" t="s">
        <v>4407</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15"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15"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15"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15"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15"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15"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15"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15"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15"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15"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15"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15"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15"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15"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15"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15"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15"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15"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15"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15"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15"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15"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15"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15"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15"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15"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15"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15"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5"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15"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15"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15"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15"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15"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15"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15"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15"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15"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15"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15"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15"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15"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15"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15"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15"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15"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15"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15"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15"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15" hidden="1" customHeight="1">
      <c r="A1603" s="1086">
        <f t="shared" si="65"/>
        <v>0</v>
      </c>
      <c r="B1603" s="1087" t="s">
        <v>4460</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15"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15"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15"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15" hidden="1" customHeight="1">
      <c r="A1607" s="1086">
        <f t="shared" si="65"/>
        <v>0</v>
      </c>
      <c r="B1607" s="1087" t="s">
        <v>4712</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15"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15"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15"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15"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15"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15"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15"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15"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15"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15"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15"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15"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15"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15"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15"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15"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15"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15"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15"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15"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15"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15"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15"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15"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15"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15"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15"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15"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15"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15"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15" hidden="1" customHeight="1">
      <c r="A1638" s="1086">
        <f t="shared" si="67"/>
        <v>0</v>
      </c>
      <c r="B1638" s="1226" t="s">
        <v>4765</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15"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15"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15"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15"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15"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15"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15"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15"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15"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15"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15"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15"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15"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15"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15"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15"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15"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15"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15"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15"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15"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15"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15"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15"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15"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15"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15"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15"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15"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15"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15"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15"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15"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15"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15"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15"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15"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15"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15"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15"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15" hidden="1" customHeight="1">
      <c r="A1679" s="1086">
        <f t="shared" si="67"/>
        <v>0</v>
      </c>
      <c r="B1679" s="1087"/>
      <c r="C1679" s="2835"/>
      <c r="D1679" s="1075"/>
      <c r="F1679" s="1076"/>
      <c r="H1679" s="1735"/>
      <c r="I1679" s="1192">
        <f t="shared" si="68"/>
        <v>0</v>
      </c>
      <c r="M1679" s="934"/>
    </row>
    <row r="1680" spans="1:13" s="1016" customFormat="1" ht="25.15"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15"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15" hidden="1" customHeight="1">
      <c r="A1682" s="1086">
        <f t="shared" si="67"/>
        <v>0</v>
      </c>
      <c r="B1682" s="1227" t="s">
        <v>4499</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15"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15" hidden="1" customHeight="1">
      <c r="A1684" s="1086">
        <f t="shared" si="67"/>
        <v>0</v>
      </c>
      <c r="B1684" s="1227" t="s">
        <v>4500</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15"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15"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15"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15"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15" hidden="1" customHeight="1">
      <c r="A1689" s="1086">
        <f t="shared" si="67"/>
        <v>0</v>
      </c>
      <c r="B1689" s="1227" t="s">
        <v>4501</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15"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15"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15"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15"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15"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15"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15"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15"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15"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15"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15"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15"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15"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15"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15"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15"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15"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15"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15"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15"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15"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15"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15"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15"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15"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15"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15"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15"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15"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15"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15"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15"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15"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15"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15"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15"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15"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15"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15"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15"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15"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15"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15"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15"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15"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15"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15"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15"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15"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15"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15"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15"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15"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15"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15"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15"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15"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15"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15"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15"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15"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15"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15"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15"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15"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15"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15"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15"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15"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15"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15"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15"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15"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15"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15"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15"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15"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15"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15"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15"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15"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15"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15"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15"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15"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15"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15"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15"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15"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15"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15"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15"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15"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15" hidden="1" customHeight="1">
      <c r="A1783" s="1086">
        <f t="shared" si="72"/>
        <v>0</v>
      </c>
      <c r="B1783" s="1226" t="s">
        <v>4407</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15"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15"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15"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15"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15"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15" hidden="1" customHeight="1">
      <c r="A1789" s="1086">
        <f t="shared" si="72"/>
        <v>0</v>
      </c>
      <c r="B1789" s="1226" t="s">
        <v>4407</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15"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15"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15"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15"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15"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15"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15"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15"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15"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15" hidden="1" customHeight="1">
      <c r="A1799" s="1086">
        <f t="shared" si="72"/>
        <v>0</v>
      </c>
      <c r="B1799" s="1226" t="s">
        <v>4407</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15"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15"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15"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15"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15"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15"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15"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15"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15"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15"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15"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15"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15"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15"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15"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15"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15"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15"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15"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15"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15"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15"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15"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15"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15"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15"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15"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15"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15"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15"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15"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15"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15"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15"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15"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15"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15"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15"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15"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15"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15"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15"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15"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15"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15"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15"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15"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15"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15"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15"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15"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15"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15"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15"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15"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15"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15"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15"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15"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15"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15"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15"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15"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15"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15"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15"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15"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15"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15"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15"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15"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15"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15"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15"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15"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15"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15"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15"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15"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15"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15"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15"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15"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15"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15"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15"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15"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15"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15"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15"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15"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15"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15"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15"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15"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15"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15"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15"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15" hidden="1" customHeight="1">
      <c r="A1898" s="1086">
        <f t="shared" si="76"/>
        <v>0</v>
      </c>
      <c r="B1898" s="1087"/>
      <c r="C1898" s="2835"/>
      <c r="D1898" s="1075"/>
      <c r="F1898" s="1076"/>
      <c r="H1898" s="1735"/>
      <c r="I1898" s="1192">
        <f t="shared" si="75"/>
        <v>0</v>
      </c>
      <c r="M1898" s="934"/>
    </row>
    <row r="1899" spans="1:13" s="1016" customFormat="1" ht="25.15"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15"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15"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15"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15" hidden="1" customHeight="1">
      <c r="A1903" s="1086">
        <f t="shared" si="76"/>
        <v>0</v>
      </c>
      <c r="B1903" s="1227" t="s">
        <v>6425</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15"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15"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15"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15"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15"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15"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15"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15" hidden="1" customHeight="1">
      <c r="A1911" s="1086">
        <f t="shared" si="76"/>
        <v>0</v>
      </c>
      <c r="B1911" s="1227" t="s">
        <v>4503</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15" hidden="1" customHeight="1">
      <c r="A1912" s="1086">
        <f t="shared" si="76"/>
        <v>0</v>
      </c>
      <c r="B1912" s="1227" t="s">
        <v>4501</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15"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15"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15"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15"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15"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15"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15"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15"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15"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15"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15"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15"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15"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15"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15"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15"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15"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15"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15"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15"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15"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15"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15"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15"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15"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15"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15"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15"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15"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15"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15" hidden="1" customHeight="1">
      <c r="A1943" s="1086">
        <f t="shared" si="76"/>
        <v>0</v>
      </c>
      <c r="B1943" s="1226"/>
      <c r="C1943" s="2834"/>
      <c r="D1943" s="1017">
        <f>IF(H1943&gt;0,D1927+1,D1927)</f>
        <v>1</v>
      </c>
      <c r="E1943" s="1018"/>
      <c r="F1943" s="1063" t="s">
        <v>6426</v>
      </c>
      <c r="G1943" s="1017" t="s">
        <v>2385</v>
      </c>
      <c r="H1943" s="2670">
        <v>1</v>
      </c>
      <c r="I1943" s="1192">
        <f t="shared" ref="I1943:I1950" si="79">IF(M1943=$M$23,H1943+J1943-K1943,0)</f>
        <v>0</v>
      </c>
      <c r="J1943" s="1064"/>
      <c r="K1943" s="1064"/>
      <c r="L1943" s="1015"/>
      <c r="M1943" s="934">
        <v>560</v>
      </c>
    </row>
    <row r="1944" spans="1:13" s="1016" customFormat="1" ht="25.15"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15" hidden="1" customHeight="1">
      <c r="A1945" s="1086">
        <f t="shared" si="76"/>
        <v>0</v>
      </c>
      <c r="B1945" s="1233" t="s">
        <v>4327</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15"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15"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15"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15"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15"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15"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15"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15"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15"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15"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15"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15"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15" hidden="1" customHeight="1">
      <c r="A1958" s="1086">
        <f t="shared" si="80"/>
        <v>0</v>
      </c>
      <c r="B1958" s="1226"/>
      <c r="C1958" s="2834"/>
      <c r="D1958" s="1017">
        <f>IF(H1958&gt;0,D1951+1,D1951)</f>
        <v>2</v>
      </c>
      <c r="E1958" s="1018"/>
      <c r="F1958" s="1063" t="s">
        <v>4451</v>
      </c>
      <c r="G1958" s="1017" t="s">
        <v>2385</v>
      </c>
      <c r="H1958" s="1722">
        <f>H1901*1</f>
        <v>1</v>
      </c>
      <c r="I1958" s="1192">
        <f t="shared" si="78"/>
        <v>0</v>
      </c>
      <c r="J1958" s="1064"/>
      <c r="K1958" s="1064"/>
      <c r="L1958" s="1015"/>
      <c r="M1958" s="934">
        <v>560</v>
      </c>
    </row>
    <row r="1959" spans="1:13" s="1016" customFormat="1" ht="25.15"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15" hidden="1" customHeight="1">
      <c r="A1960" s="1086">
        <f t="shared" si="80"/>
        <v>0</v>
      </c>
      <c r="B1960" s="1233" t="s">
        <v>6427</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15"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15"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15"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15"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15"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15"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15" hidden="1" customHeight="1">
      <c r="A1967" s="1086">
        <f t="shared" si="80"/>
        <v>0</v>
      </c>
      <c r="B1967" s="1226" t="s">
        <v>6427</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15"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15"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15"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15"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15"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15"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15"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15"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15"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15"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15"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15"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15"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15"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15"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15"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15"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15"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15"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15"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15"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15"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15"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15"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15"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15"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15"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15"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15"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15"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15"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15"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15"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15"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15"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15"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15"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15"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15"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15"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15"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15"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15"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15"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15"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15"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15"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15" hidden="1" customHeight="1">
      <c r="A2015" s="1086">
        <f t="shared" si="83"/>
        <v>0</v>
      </c>
      <c r="B2015" s="1226" t="s">
        <v>4413</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15"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15"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15"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15"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15"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15" hidden="1" customHeight="1">
      <c r="A2021" s="1086">
        <f t="shared" si="83"/>
        <v>0</v>
      </c>
      <c r="B2021" s="1226" t="s">
        <v>4413</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15"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15"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15"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15"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15"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15"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15"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15"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15"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15"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15"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15" hidden="1" customHeight="1">
      <c r="A2033" s="1086">
        <f t="shared" si="83"/>
        <v>0</v>
      </c>
      <c r="B2033" s="1226" t="s">
        <v>4413</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15"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15"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15"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15"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15"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15"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15"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15"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15"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15"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15"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15"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15"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15"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15"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15"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15"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15"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15"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15"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15"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15"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15"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15"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15"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15"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15"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15"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15"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15"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15"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15"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15"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15"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15"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15"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15"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15"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15"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15"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15"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15"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15"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15" hidden="1" customHeight="1">
      <c r="A2077" s="1086">
        <f t="shared" si="85"/>
        <v>0</v>
      </c>
      <c r="B2077" s="1087" t="s">
        <v>6428</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15"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15"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15"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15"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15"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15"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15"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15"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15"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15"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15"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15"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15" hidden="1" customHeight="1">
      <c r="A2090" s="1086">
        <f t="shared" si="85"/>
        <v>0</v>
      </c>
      <c r="B2090" s="1226" t="s">
        <v>4756</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15" hidden="1" customHeight="1">
      <c r="A2091" s="1086">
        <f t="shared" si="85"/>
        <v>0</v>
      </c>
      <c r="B2091" s="1226" t="s">
        <v>4786</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15"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15"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15"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15"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15"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15"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15"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15"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15"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15"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15"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15" hidden="1" customHeight="1">
      <c r="A2103" s="1086">
        <f t="shared" si="85"/>
        <v>0</v>
      </c>
      <c r="B2103" s="1087" t="s">
        <v>6269</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15"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15"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15"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15"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15"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15"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15"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15"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15"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15"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15"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15"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15"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15"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15"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15"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15"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15"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15"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15"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15"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15"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15"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15"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15"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15"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15"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15"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15"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15"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15"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15"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15"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15"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15"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15"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15"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15"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15"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15"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15"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15"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15"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15" hidden="1" customHeight="1">
      <c r="A2147" s="1086">
        <f t="shared" si="89"/>
        <v>0</v>
      </c>
      <c r="B2147" s="1087"/>
      <c r="C2147" s="2835"/>
      <c r="D2147" s="1075"/>
      <c r="F2147" s="1076"/>
      <c r="H2147" s="1735"/>
      <c r="I2147" s="1192">
        <f t="shared" si="88"/>
        <v>0</v>
      </c>
      <c r="M2147" s="934"/>
    </row>
    <row r="2148" spans="1:13" s="1016" customFormat="1" ht="25.15"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15"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15"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15"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15" hidden="1" customHeight="1">
      <c r="A2152" s="1086">
        <f t="shared" si="89"/>
        <v>0</v>
      </c>
      <c r="B2152" s="1227" t="s">
        <v>4504</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15"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15"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15"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15" hidden="1" customHeight="1">
      <c r="A2156" s="1086">
        <f t="shared" si="89"/>
        <v>0</v>
      </c>
      <c r="B2156" s="1227" t="s">
        <v>4503</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15" hidden="1" customHeight="1">
      <c r="A2157" s="1086">
        <f t="shared" si="89"/>
        <v>0</v>
      </c>
      <c r="B2157" s="1227" t="s">
        <v>4501</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15"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15"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15"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15"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15"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15"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15"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15"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15"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15"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15"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15"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15"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15"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15"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15"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15"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15"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15"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15"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15"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15"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15"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15"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15"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15"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15"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15"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15"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15"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15"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15"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15"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15"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15"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15"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15"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15"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15"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15"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15"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15"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15"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15"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15"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15"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15"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15"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15"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15"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15"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15"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15"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15"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15"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15"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15"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15"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15"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15"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15"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15"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15"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15"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15"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15"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15"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15"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15"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15"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15"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15"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15"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15"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15"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15"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15"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15"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15"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15"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15"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15"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15"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15"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15"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15"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15"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15"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15"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15"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15"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15"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15" hidden="1" customHeight="1">
      <c r="A2250" s="1086">
        <f t="shared" si="92"/>
        <v>0</v>
      </c>
      <c r="B2250" s="1226" t="s">
        <v>4413</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15"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15"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15"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15"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15"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15" hidden="1" customHeight="1">
      <c r="A2256" s="1086">
        <f t="shared" si="92"/>
        <v>0</v>
      </c>
      <c r="B2256" s="1226" t="s">
        <v>4413</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15"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15"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15"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15"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15"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15"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15"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15"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15"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15"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15"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15" hidden="1" customHeight="1">
      <c r="A2268" s="1086">
        <f t="shared" si="94"/>
        <v>0</v>
      </c>
      <c r="B2268" s="1226" t="s">
        <v>4413</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15"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15"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15"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15"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15"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15"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15"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15"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15"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15"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15"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15"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15"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15"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15"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15"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15"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15"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15"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15"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15"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15"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15"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15"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15"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15"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15"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15"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15"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15"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15"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15"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15"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15"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15"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15"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15"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15"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15"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15"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15"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15"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15"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15"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15"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15"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15"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15"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15"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15"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15"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15"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15"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15"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15"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15"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15"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15"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15"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15"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15"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15"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15"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15"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15"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15"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15"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15"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15"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15"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15"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15"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15"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15"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15"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15"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15"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15"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15"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15"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15"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15"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15"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15"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15"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15"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15"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15"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15"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15"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15"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15"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15"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15"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15"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15"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15"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15"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15"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15"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15"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15"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15"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15" hidden="1" customHeight="1">
      <c r="A2372" s="1086">
        <f t="shared" si="96"/>
        <v>0</v>
      </c>
      <c r="B2372" s="1087"/>
      <c r="C2372" s="2835"/>
      <c r="D2372" s="1075"/>
      <c r="F2372" s="1076"/>
      <c r="H2372" s="1735"/>
      <c r="I2372" s="1192">
        <f t="shared" si="97"/>
        <v>0</v>
      </c>
      <c r="M2372" s="934"/>
    </row>
    <row r="2373" spans="1:13" s="1016" customFormat="1" ht="25.15"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15"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15" customHeight="1">
      <c r="A2375" s="1086">
        <f t="shared" si="96"/>
        <v>1</v>
      </c>
      <c r="B2375" s="2818" t="s">
        <v>4505</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15"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15"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15"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15"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15"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15" hidden="1" customHeight="1">
      <c r="A2381" s="1086">
        <f t="shared" ref="A2381" si="101">IF(AND(M2381=$M$23,I2381&gt;0),1,0)</f>
        <v>0</v>
      </c>
      <c r="B2381" s="2818" t="s">
        <v>6281</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15" customHeight="1">
      <c r="A2382" s="1086">
        <f t="shared" si="96"/>
        <v>1</v>
      </c>
      <c r="B2382" s="2818" t="s">
        <v>6462</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15"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15"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15"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15" customHeight="1">
      <c r="A2386" s="1086">
        <f t="shared" si="96"/>
        <v>1</v>
      </c>
      <c r="B2386" s="2818" t="s">
        <v>4501</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15"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15"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15"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15"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15"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15"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15"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15"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15"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15"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15"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15"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15"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15"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15"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15"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15"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15"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15"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15"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15"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15"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15"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15"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15"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15"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15"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15"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15"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15" customHeight="1">
      <c r="A2416" s="1086">
        <f t="shared" si="102"/>
        <v>1</v>
      </c>
      <c r="B2416" s="1221"/>
      <c r="C2416" s="2831"/>
      <c r="D2416" s="2928">
        <f>IF(H2416&gt;0,D2409+1,D2409)</f>
        <v>1</v>
      </c>
      <c r="E2416" s="2929"/>
      <c r="F2416" s="2930" t="s">
        <v>6463</v>
      </c>
      <c r="G2416" s="2928" t="s">
        <v>2385</v>
      </c>
      <c r="H2416" s="2931">
        <v>1</v>
      </c>
      <c r="I2416" s="2931">
        <f t="shared" si="97"/>
        <v>1</v>
      </c>
      <c r="J2416" s="2931"/>
      <c r="K2416" s="2931"/>
      <c r="L2416" s="2790"/>
      <c r="M2416" s="934">
        <v>1000</v>
      </c>
    </row>
    <row r="2417" spans="1:13" s="1016" customFormat="1" ht="25.15"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15" customHeight="1">
      <c r="A2418" s="1086">
        <f t="shared" ref="A2418" si="103">IF(AND(M2418=$M$23,I2418&gt;0),1,0)</f>
        <v>1</v>
      </c>
      <c r="B2418" s="2823" t="s">
        <v>4327</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15"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15"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15"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15"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15"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15"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15"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15"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15"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15"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15"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15"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15"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15"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15"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15" customHeight="1">
      <c r="A2434" s="1086">
        <f t="shared" si="102"/>
        <v>1</v>
      </c>
      <c r="B2434" s="1221" t="s">
        <v>6408</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15" customHeight="1">
      <c r="A2435" s="1086">
        <f t="shared" si="102"/>
        <v>1</v>
      </c>
      <c r="B2435" s="1221" t="s">
        <v>6466</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15"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15"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15"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15"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15"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15"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15"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15"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15"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15"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15"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15"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15"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15"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15" customHeight="1">
      <c r="A2450" s="1086">
        <f t="shared" si="102"/>
        <v>1</v>
      </c>
      <c r="B2450" s="1221"/>
      <c r="C2450" s="2831"/>
      <c r="D2450" s="2928">
        <f>IF(H2450&gt;0,D2441+1,D2441)</f>
        <v>3</v>
      </c>
      <c r="E2450" s="2929"/>
      <c r="F2450" s="2930" t="s">
        <v>4376</v>
      </c>
      <c r="G2450" s="2928" t="s">
        <v>2385</v>
      </c>
      <c r="H2450" s="2931">
        <v>1</v>
      </c>
      <c r="I2450" s="2931">
        <f t="shared" si="108"/>
        <v>1</v>
      </c>
      <c r="J2450" s="2931"/>
      <c r="K2450" s="2931"/>
      <c r="L2450" s="2790"/>
      <c r="M2450" s="934">
        <v>1000</v>
      </c>
    </row>
    <row r="2451" spans="1:13" s="1016" customFormat="1" ht="25.15"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15"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15"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15"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15"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15"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15"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15"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15"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15"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15"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15"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15"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15"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15"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15"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15"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15"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15"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15"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15"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15"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15"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15" customHeight="1">
      <c r="A2474" s="1086">
        <f t="shared" si="114"/>
        <v>1</v>
      </c>
      <c r="B2474" s="1221"/>
      <c r="C2474" s="2831"/>
      <c r="D2474" s="2928">
        <f>IF(H2474&gt;0,D2450+1,D2450)</f>
        <v>4</v>
      </c>
      <c r="E2474" s="2929"/>
      <c r="F2474" s="2932" t="s">
        <v>6208</v>
      </c>
      <c r="G2474" s="2928" t="s">
        <v>2385</v>
      </c>
      <c r="H2474" s="2931">
        <v>1</v>
      </c>
      <c r="I2474" s="2931">
        <f t="shared" si="116"/>
        <v>1</v>
      </c>
      <c r="J2474" s="2931"/>
      <c r="K2474" s="2931"/>
      <c r="L2474" s="2790"/>
      <c r="M2474" s="934">
        <v>1000</v>
      </c>
    </row>
    <row r="2475" spans="1:13" s="1016" customFormat="1" ht="25.15"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15" customHeight="1">
      <c r="A2476" s="1086">
        <f t="shared" si="114"/>
        <v>1</v>
      </c>
      <c r="B2476" s="2825" t="s">
        <v>5633</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15"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15"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15"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15"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15"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15" hidden="1" customHeight="1">
      <c r="A2482" s="1086">
        <f t="shared" si="114"/>
        <v>0</v>
      </c>
      <c r="B2482" s="2826" t="s">
        <v>4413</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15"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15"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15"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15"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15"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15"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15"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15"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15"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15"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15"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15"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15"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15"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15"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15"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15"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15"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15"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15"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15"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15"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15"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15"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15"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15"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15"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15"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15"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15"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15" customHeight="1">
      <c r="A2513" s="1086">
        <f t="shared" si="114"/>
        <v>1</v>
      </c>
      <c r="B2513" s="2819" t="s">
        <v>4905</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15"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15"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15"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15"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15"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15"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15" customHeight="1">
      <c r="A2520" s="1086">
        <f t="shared" si="125"/>
        <v>1</v>
      </c>
      <c r="B2520" s="2819" t="s">
        <v>6467</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15"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15"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15"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15" customHeight="1">
      <c r="A2524" s="1086">
        <f t="shared" si="126"/>
        <v>1</v>
      </c>
      <c r="B2524" s="2819" t="s">
        <v>6506</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15"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15"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15"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15"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15"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15"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15"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15"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15"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15"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15"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15"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15"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15"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15"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15"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15"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15"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15"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15"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15"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15"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15"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15"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15"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15" customHeight="1">
      <c r="A2550" s="1086">
        <f t="shared" si="131"/>
        <v>1</v>
      </c>
      <c r="B2550" s="1221" t="s">
        <v>6472</v>
      </c>
      <c r="C2550" s="2831"/>
      <c r="D2550" s="2928">
        <f>IF(H2550&gt;0,D2534+1,D2534)</f>
        <v>1</v>
      </c>
      <c r="E2550" s="2929"/>
      <c r="F2550" s="2932" t="s">
        <v>6468</v>
      </c>
      <c r="G2550" s="2928" t="s">
        <v>2385</v>
      </c>
      <c r="H2550" s="2931">
        <v>1</v>
      </c>
      <c r="I2550" s="2931">
        <f t="shared" ref="I2550" si="132">IF(M2550=$M$23,H2550+J2550-K2550,0)</f>
        <v>1</v>
      </c>
      <c r="J2550" s="2931"/>
      <c r="K2550" s="2931"/>
      <c r="L2550" s="2790"/>
      <c r="M2550" s="934">
        <v>1000</v>
      </c>
    </row>
    <row r="2551" spans="1:13" s="1016" customFormat="1" ht="25.15"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15"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15"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15" customHeight="1">
      <c r="A2554" s="1086">
        <f t="shared" si="134"/>
        <v>1</v>
      </c>
      <c r="B2554" s="1221" t="s">
        <v>6242</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15" customHeight="1">
      <c r="A2555" s="1086">
        <f t="shared" si="134"/>
        <v>1</v>
      </c>
      <c r="B2555" s="1221" t="s">
        <v>5484</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15"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15"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15"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15"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15"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15" customHeight="1">
      <c r="A2561" s="1086">
        <f t="shared" ref="A2561:A2577" si="137">IF(AND(M2561=$M$23,I2561&gt;0),1,0)</f>
        <v>1</v>
      </c>
      <c r="B2561" s="1221"/>
      <c r="C2561" s="2831"/>
      <c r="D2561" s="2928">
        <f>IF(H2561&gt;0,D2545+1,D2545)</f>
        <v>1</v>
      </c>
      <c r="E2561" s="2929"/>
      <c r="F2561" s="2932" t="s">
        <v>6243</v>
      </c>
      <c r="G2561" s="2928" t="s">
        <v>2385</v>
      </c>
      <c r="H2561" s="2931">
        <v>1</v>
      </c>
      <c r="I2561" s="2931">
        <f t="shared" ref="I2561" si="138">IF(M2561=$M$23,H2561+J2561-K2561,0)</f>
        <v>1</v>
      </c>
      <c r="J2561" s="2931"/>
      <c r="K2561" s="2931"/>
      <c r="L2561" s="2790"/>
      <c r="M2561" s="934">
        <v>1000</v>
      </c>
    </row>
    <row r="2562" spans="1:13" s="1016" customFormat="1" ht="25.15"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15" customHeight="1">
      <c r="A2563" s="1086">
        <f t="shared" si="137"/>
        <v>1</v>
      </c>
      <c r="B2563" s="1221" t="s">
        <v>5301</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15" customHeight="1">
      <c r="A2564" s="1086">
        <f t="shared" si="137"/>
        <v>1</v>
      </c>
      <c r="B2564" s="1221" t="s">
        <v>5363</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15" customHeight="1">
      <c r="A2565" s="1086">
        <f t="shared" si="137"/>
        <v>1</v>
      </c>
      <c r="B2565" s="1221" t="s">
        <v>5163</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15" customHeight="1">
      <c r="A2566" s="1086">
        <f t="shared" si="137"/>
        <v>1</v>
      </c>
      <c r="B2566" s="1221" t="s">
        <v>5165</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15"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15" customHeight="1">
      <c r="A2568" s="1086">
        <f t="shared" si="137"/>
        <v>1</v>
      </c>
      <c r="B2568" s="1221" t="s">
        <v>6244</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15"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15" customHeight="1">
      <c r="A2570" s="1086">
        <f t="shared" si="137"/>
        <v>1</v>
      </c>
      <c r="B2570" s="1221" t="s">
        <v>5057</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15" customHeight="1">
      <c r="A2571" s="1086">
        <f t="shared" ref="A2571:A2576" si="142">IF(AND(M2571=$M$23,I2571&gt;0),1,0)</f>
        <v>1</v>
      </c>
      <c r="B2571" s="1221" t="s">
        <v>6242</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15"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15" customHeight="1">
      <c r="A2573" s="1086">
        <f t="shared" si="142"/>
        <v>1</v>
      </c>
      <c r="B2573" s="1221" t="s">
        <v>5486</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15"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15"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15"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15" customHeight="1">
      <c r="A2577" s="1086">
        <f t="shared" si="137"/>
        <v>1</v>
      </c>
      <c r="B2577" s="1221" t="s">
        <v>5479</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15"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15"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15"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15" hidden="1" customHeight="1">
      <c r="A2581" s="1086">
        <f t="shared" si="131"/>
        <v>0</v>
      </c>
      <c r="B2581" s="1221" t="s">
        <v>6253</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15" customHeight="1">
      <c r="A2582" s="1086">
        <f t="shared" si="131"/>
        <v>1</v>
      </c>
      <c r="B2582" s="1221" t="s">
        <v>6254</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15"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15" customHeight="1">
      <c r="A2584" s="1086">
        <f t="shared" si="131"/>
        <v>1</v>
      </c>
      <c r="B2584" s="1221" t="s">
        <v>5733</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15"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15"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15"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15"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15"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15"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15" customHeight="1">
      <c r="A2591" s="1086">
        <f t="shared" si="131"/>
        <v>1</v>
      </c>
      <c r="B2591" s="1221" t="s">
        <v>6469</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15"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15"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15" customHeight="1">
      <c r="A2594" s="1086">
        <f t="shared" si="131"/>
        <v>1</v>
      </c>
      <c r="B2594" s="2819" t="s">
        <v>5808</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15" customHeight="1">
      <c r="A2595" s="1086">
        <f t="shared" si="131"/>
        <v>1</v>
      </c>
      <c r="B2595" s="2819" t="s">
        <v>5812</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15"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15"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15"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15"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15"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15" hidden="1" customHeight="1">
      <c r="A2601" s="1086">
        <f t="shared" si="131"/>
        <v>0</v>
      </c>
      <c r="B2601" s="2819" t="s">
        <v>6254</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15"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15"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15"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15" hidden="1" customHeight="1">
      <c r="A2605" s="1086">
        <f t="shared" si="131"/>
        <v>0</v>
      </c>
      <c r="B2605" s="1087" t="s">
        <v>1413</v>
      </c>
      <c r="C2605" s="2835"/>
      <c r="D2605" s="2750">
        <f>IF(H2605&gt;0,1,0)</f>
        <v>1</v>
      </c>
      <c r="E2605" s="2751" t="s">
        <v>5593</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15" hidden="1" customHeight="1">
      <c r="A2606" s="1086">
        <f t="shared" si="131"/>
        <v>0</v>
      </c>
      <c r="B2606" s="1087" t="s">
        <v>1652</v>
      </c>
      <c r="C2606" s="2835"/>
      <c r="D2606" s="2750">
        <f>IF(H2606&gt;0,D2605+1,D2605)</f>
        <v>2</v>
      </c>
      <c r="E2606" s="2751" t="s">
        <v>5597</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15" hidden="1" customHeight="1">
      <c r="A2607" s="1086">
        <f t="shared" si="131"/>
        <v>0</v>
      </c>
      <c r="B2607" s="1087" t="s">
        <v>6272</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15" hidden="1" customHeight="1">
      <c r="A2608" s="1086">
        <f t="shared" si="131"/>
        <v>0</v>
      </c>
      <c r="B2608" s="1087" t="s">
        <v>1373</v>
      </c>
      <c r="C2608" s="2835"/>
      <c r="D2608" s="2750">
        <f>IF(H2608&gt;0,D2607+1,D2607)</f>
        <v>4</v>
      </c>
      <c r="E2608" s="2751" t="s">
        <v>5601</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15" hidden="1" customHeight="1">
      <c r="A2609" s="1086">
        <f t="shared" si="131"/>
        <v>0</v>
      </c>
      <c r="B2609" s="1087" t="s">
        <v>6273</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15" hidden="1" customHeight="1">
      <c r="A2610" s="1086">
        <f t="shared" si="131"/>
        <v>0</v>
      </c>
      <c r="B2610" s="1087" t="s">
        <v>710</v>
      </c>
      <c r="C2610" s="2835"/>
      <c r="D2610" s="2750">
        <f>IF(H2610&gt;0,D2608+1,D2608)</f>
        <v>4</v>
      </c>
      <c r="E2610" s="2751">
        <v>0</v>
      </c>
      <c r="F2610" s="2752" t="s">
        <v>5681</v>
      </c>
      <c r="G2610" s="2751" t="s">
        <v>2555</v>
      </c>
      <c r="H2610" s="2753"/>
      <c r="I2610" s="2664">
        <f t="shared" si="147"/>
        <v>0</v>
      </c>
      <c r="J2610" s="1069"/>
      <c r="K2610" s="1069"/>
      <c r="L2610" s="1069"/>
      <c r="M2610" s="934">
        <v>1250</v>
      </c>
    </row>
    <row r="2611" spans="1:13" s="1016" customFormat="1" ht="25.15" hidden="1" customHeight="1">
      <c r="A2611" s="1086">
        <f t="shared" si="131"/>
        <v>0</v>
      </c>
      <c r="B2611" s="1087" t="s">
        <v>710</v>
      </c>
      <c r="C2611" s="2835"/>
      <c r="D2611" s="2750">
        <f t="shared" ref="D2611:D2617" si="148">IF(H2611&gt;0,D2609+1,D2609)</f>
        <v>5</v>
      </c>
      <c r="E2611" s="2751">
        <v>0</v>
      </c>
      <c r="F2611" s="2752" t="s">
        <v>5681</v>
      </c>
      <c r="G2611" s="2751" t="s">
        <v>2555</v>
      </c>
      <c r="H2611" s="2753">
        <f>+H2605*1*0</f>
        <v>0</v>
      </c>
      <c r="I2611" s="2664">
        <f t="shared" si="147"/>
        <v>0</v>
      </c>
      <c r="J2611" s="1069"/>
      <c r="K2611" s="1069"/>
      <c r="L2611" s="1069"/>
      <c r="M2611" s="934">
        <v>1250</v>
      </c>
    </row>
    <row r="2612" spans="1:13" s="1016" customFormat="1" ht="25.15"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15" hidden="1" customHeight="1">
      <c r="A2613" s="1086">
        <f t="shared" si="131"/>
        <v>0</v>
      </c>
      <c r="B2613" s="1087" t="s">
        <v>936</v>
      </c>
      <c r="C2613" s="2835"/>
      <c r="D2613" s="2750">
        <f t="shared" si="148"/>
        <v>5</v>
      </c>
      <c r="E2613" s="2751">
        <v>0</v>
      </c>
      <c r="F2613" s="2752" t="s">
        <v>5678</v>
      </c>
      <c r="G2613" s="2751" t="s">
        <v>2555</v>
      </c>
      <c r="H2613" s="2753"/>
      <c r="I2613" s="2664">
        <f t="shared" si="147"/>
        <v>0</v>
      </c>
      <c r="J2613" s="1069"/>
      <c r="K2613" s="1069"/>
      <c r="L2613" s="1069"/>
      <c r="M2613" s="934">
        <v>1250</v>
      </c>
    </row>
    <row r="2614" spans="1:13" s="1016" customFormat="1" ht="25.15" hidden="1" customHeight="1">
      <c r="A2614" s="1086">
        <f t="shared" si="131"/>
        <v>0</v>
      </c>
      <c r="B2614" s="1087" t="s">
        <v>6274</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15"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15"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15"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15"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15"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15" hidden="1" customHeight="1">
      <c r="A2620" s="1086">
        <f t="shared" si="131"/>
        <v>0</v>
      </c>
      <c r="B2620" s="1087"/>
      <c r="C2620" s="2835"/>
      <c r="D2620" s="2755">
        <f>IF(H2620&gt;0,1,0)</f>
        <v>0</v>
      </c>
      <c r="E2620" s="2751"/>
      <c r="F2620" s="2757" t="s">
        <v>6121</v>
      </c>
      <c r="G2620" s="2758" t="s">
        <v>2277</v>
      </c>
      <c r="H2620" s="2759"/>
      <c r="I2620" s="2664">
        <f t="shared" si="147"/>
        <v>0</v>
      </c>
      <c r="J2620" s="1069"/>
      <c r="K2620" s="1069"/>
      <c r="L2620" s="1069"/>
      <c r="M2620" s="934">
        <v>1250</v>
      </c>
    </row>
    <row r="2621" spans="1:13" s="1016" customFormat="1" ht="25.15" hidden="1" customHeight="1">
      <c r="A2621" s="1086">
        <f t="shared" si="131"/>
        <v>0</v>
      </c>
      <c r="B2621" s="1087" t="s">
        <v>5274</v>
      </c>
      <c r="C2621" s="2835"/>
      <c r="D2621" s="2760"/>
      <c r="E2621" s="2751"/>
      <c r="F2621" s="2761" t="s">
        <v>5275</v>
      </c>
      <c r="G2621" s="2751" t="s">
        <v>2831</v>
      </c>
      <c r="H2621" s="2762">
        <f>H2620</f>
        <v>0</v>
      </c>
      <c r="I2621" s="2664">
        <f t="shared" si="147"/>
        <v>0</v>
      </c>
      <c r="J2621" s="1069"/>
      <c r="K2621" s="1069"/>
      <c r="L2621" s="1069"/>
      <c r="M2621" s="934">
        <v>1250</v>
      </c>
    </row>
    <row r="2622" spans="1:13" s="1016" customFormat="1" ht="25.15"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15"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15" hidden="1" customHeight="1">
      <c r="A2624" s="1086">
        <f t="shared" si="131"/>
        <v>0</v>
      </c>
      <c r="B2624" s="1087"/>
      <c r="C2624" s="2835"/>
      <c r="D2624" s="2755">
        <f>IF(H2624&gt;0,1,0)</f>
        <v>0</v>
      </c>
      <c r="E2624" s="2751"/>
      <c r="F2624" s="2757" t="s">
        <v>6216</v>
      </c>
      <c r="G2624" s="2758" t="s">
        <v>2277</v>
      </c>
      <c r="H2624" s="2759"/>
      <c r="I2624" s="2664">
        <f t="shared" si="147"/>
        <v>0</v>
      </c>
      <c r="J2624" s="1069"/>
      <c r="K2624" s="1069"/>
      <c r="L2624" s="1069"/>
      <c r="M2624" s="934">
        <v>1250</v>
      </c>
    </row>
    <row r="2625" spans="1:13" s="1016" customFormat="1" ht="25.15"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15"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15"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15"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15" hidden="1" customHeight="1">
      <c r="A2629" s="1086">
        <f t="shared" ref="A2629:A2692" si="149">IF(AND(M2629=$M$23,I2629&gt;0),1,0)</f>
        <v>0</v>
      </c>
      <c r="B2629" s="1087" t="s">
        <v>751</v>
      </c>
      <c r="C2629" s="2835"/>
      <c r="D2629" s="2760"/>
      <c r="E2629" s="2751">
        <v>0</v>
      </c>
      <c r="F2629" s="2761" t="s">
        <v>5288</v>
      </c>
      <c r="G2629" s="2751" t="s">
        <v>2248</v>
      </c>
      <c r="H2629" s="2762">
        <f>H2628*504</f>
        <v>0</v>
      </c>
      <c r="I2629" s="2664">
        <f t="shared" si="147"/>
        <v>0</v>
      </c>
      <c r="J2629" s="1069"/>
      <c r="K2629" s="1069"/>
      <c r="L2629" s="1069"/>
      <c r="M2629" s="934">
        <v>1250</v>
      </c>
    </row>
    <row r="2630" spans="1:13" s="1016" customFormat="1" ht="25.15"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15"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15" hidden="1" customHeight="1">
      <c r="A2632" s="1086">
        <f t="shared" si="149"/>
        <v>0</v>
      </c>
      <c r="B2632" s="1087" t="s">
        <v>6101</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15" hidden="1" customHeight="1">
      <c r="A2633" s="1086">
        <f t="shared" si="149"/>
        <v>0</v>
      </c>
      <c r="B2633" s="1087" t="s">
        <v>4835</v>
      </c>
      <c r="C2633" s="2835"/>
      <c r="D2633" s="2760"/>
      <c r="E2633" s="2751"/>
      <c r="F2633" s="2761" t="s">
        <v>4640</v>
      </c>
      <c r="G2633" s="2751" t="s">
        <v>2439</v>
      </c>
      <c r="H2633" s="2762">
        <f>H2628</f>
        <v>0</v>
      </c>
      <c r="I2633" s="2664">
        <f t="shared" si="147"/>
        <v>0</v>
      </c>
      <c r="J2633" s="1069"/>
      <c r="K2633" s="1069"/>
      <c r="L2633" s="1069"/>
      <c r="M2633" s="934">
        <v>1250</v>
      </c>
    </row>
    <row r="2634" spans="1:13" s="1016" customFormat="1" ht="25.15" hidden="1" customHeight="1">
      <c r="A2634" s="1086">
        <f t="shared" si="149"/>
        <v>0</v>
      </c>
      <c r="B2634" s="1087" t="s">
        <v>5320</v>
      </c>
      <c r="C2634" s="2835"/>
      <c r="D2634" s="2760"/>
      <c r="E2634" s="2751"/>
      <c r="F2634" s="2761" t="s">
        <v>5322</v>
      </c>
      <c r="G2634" s="2751" t="s">
        <v>856</v>
      </c>
      <c r="H2634" s="2762">
        <f>H2628*1.93</f>
        <v>0</v>
      </c>
      <c r="I2634" s="2664">
        <f t="shared" si="147"/>
        <v>0</v>
      </c>
      <c r="J2634" s="1069"/>
      <c r="K2634" s="1069"/>
      <c r="L2634" s="1069"/>
      <c r="M2634" s="934">
        <v>1250</v>
      </c>
    </row>
    <row r="2635" spans="1:13" s="1016" customFormat="1" ht="25.15" hidden="1" customHeight="1">
      <c r="A2635" s="1086">
        <f t="shared" si="149"/>
        <v>0</v>
      </c>
      <c r="B2635" s="1087" t="s">
        <v>1835</v>
      </c>
      <c r="C2635" s="2835"/>
      <c r="D2635" s="2760"/>
      <c r="E2635" s="2751"/>
      <c r="F2635" s="2761" t="s">
        <v>5472</v>
      </c>
      <c r="G2635" s="2751" t="s">
        <v>856</v>
      </c>
      <c r="H2635" s="2762">
        <f>H2628*1.704</f>
        <v>0</v>
      </c>
      <c r="I2635" s="2664">
        <f t="shared" si="147"/>
        <v>0</v>
      </c>
      <c r="J2635" s="1069"/>
      <c r="K2635" s="1069"/>
      <c r="L2635" s="1069"/>
      <c r="M2635" s="934">
        <v>1250</v>
      </c>
    </row>
    <row r="2636" spans="1:13" s="1016" customFormat="1" ht="25.15"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15" hidden="1" customHeight="1">
      <c r="A2637" s="1086">
        <f t="shared" si="149"/>
        <v>0</v>
      </c>
      <c r="B2637" s="1087" t="s">
        <v>636</v>
      </c>
      <c r="C2637" s="2835"/>
      <c r="D2637" s="2760"/>
      <c r="E2637" s="2751" t="s">
        <v>5046</v>
      </c>
      <c r="F2637" s="2761" t="s">
        <v>2607</v>
      </c>
      <c r="G2637" s="2751" t="s">
        <v>2555</v>
      </c>
      <c r="H2637" s="2762">
        <f>H2636</f>
        <v>0</v>
      </c>
      <c r="I2637" s="2664">
        <f t="shared" si="147"/>
        <v>0</v>
      </c>
      <c r="J2637" s="1069"/>
      <c r="K2637" s="1069"/>
      <c r="L2637" s="1069"/>
      <c r="M2637" s="934">
        <v>1250</v>
      </c>
    </row>
    <row r="2638" spans="1:13" s="1016" customFormat="1" ht="25.15" hidden="1" customHeight="1">
      <c r="A2638" s="1086">
        <f t="shared" si="149"/>
        <v>0</v>
      </c>
      <c r="B2638" s="1087" t="s">
        <v>566</v>
      </c>
      <c r="C2638" s="2835"/>
      <c r="D2638" s="2760"/>
      <c r="E2638" s="2751"/>
      <c r="F2638" s="2761" t="s">
        <v>5071</v>
      </c>
      <c r="G2638" s="2751" t="s">
        <v>2439</v>
      </c>
      <c r="H2638" s="2762">
        <f>H2637</f>
        <v>0</v>
      </c>
      <c r="I2638" s="2664">
        <f t="shared" si="147"/>
        <v>0</v>
      </c>
      <c r="J2638" s="1069"/>
      <c r="K2638" s="1069"/>
      <c r="L2638" s="1069"/>
      <c r="M2638" s="934">
        <v>1250</v>
      </c>
    </row>
    <row r="2639" spans="1:13" s="1016" customFormat="1" ht="25.15" hidden="1" customHeight="1">
      <c r="A2639" s="1086">
        <f t="shared" si="149"/>
        <v>0</v>
      </c>
      <c r="B2639" s="1087" t="s">
        <v>639</v>
      </c>
      <c r="C2639" s="2835"/>
      <c r="D2639" s="2760"/>
      <c r="E2639" s="2751" t="s">
        <v>1747</v>
      </c>
      <c r="F2639" s="2761" t="s">
        <v>5323</v>
      </c>
      <c r="G2639" s="2751" t="s">
        <v>856</v>
      </c>
      <c r="H2639" s="2762">
        <f>1.48*H2637</f>
        <v>0</v>
      </c>
      <c r="I2639" s="2664">
        <f t="shared" si="147"/>
        <v>0</v>
      </c>
      <c r="J2639" s="1069"/>
      <c r="K2639" s="1069"/>
      <c r="L2639" s="1069"/>
      <c r="M2639" s="934">
        <v>1250</v>
      </c>
    </row>
    <row r="2640" spans="1:13" s="1016" customFormat="1" ht="25.15" hidden="1" customHeight="1">
      <c r="A2640" s="1086">
        <f t="shared" si="149"/>
        <v>0</v>
      </c>
      <c r="B2640" s="1087" t="s">
        <v>21</v>
      </c>
      <c r="C2640" s="2835"/>
      <c r="D2640" s="2760"/>
      <c r="E2640" s="2751" t="s">
        <v>5324</v>
      </c>
      <c r="F2640" s="2761" t="s">
        <v>5325</v>
      </c>
      <c r="G2640" s="2751" t="s">
        <v>856</v>
      </c>
      <c r="H2640" s="2762">
        <f>1.39*H2636</f>
        <v>0</v>
      </c>
      <c r="I2640" s="2664">
        <f t="shared" si="147"/>
        <v>0</v>
      </c>
      <c r="J2640" s="1069"/>
      <c r="K2640" s="1069"/>
      <c r="L2640" s="1069"/>
      <c r="M2640" s="934">
        <v>1250</v>
      </c>
    </row>
    <row r="2641" spans="1:13" s="1016" customFormat="1" ht="25.15" hidden="1" customHeight="1">
      <c r="A2641" s="1086">
        <f t="shared" si="149"/>
        <v>0</v>
      </c>
      <c r="B2641" s="1087" t="s">
        <v>6413</v>
      </c>
      <c r="C2641" s="2835"/>
      <c r="D2641" s="2765">
        <f>IF(H2641&gt;0,D2636+1,D2636)</f>
        <v>1</v>
      </c>
      <c r="E2641" s="2766"/>
      <c r="F2641" s="2767" t="s">
        <v>6236</v>
      </c>
      <c r="G2641" s="2768" t="s">
        <v>2385</v>
      </c>
      <c r="H2641" s="2769">
        <f>+H2605*1</f>
        <v>1</v>
      </c>
      <c r="I2641" s="2664">
        <f t="shared" si="147"/>
        <v>1</v>
      </c>
      <c r="J2641" s="1069"/>
      <c r="K2641" s="1069"/>
      <c r="L2641" s="1069"/>
      <c r="M2641" s="934">
        <v>1250</v>
      </c>
    </row>
    <row r="2642" spans="1:13" s="1016" customFormat="1" ht="25.15" hidden="1" customHeight="1">
      <c r="A2642" s="1086">
        <f t="shared" si="149"/>
        <v>0</v>
      </c>
      <c r="B2642" s="1087"/>
      <c r="C2642" s="2835"/>
      <c r="D2642" s="2755"/>
      <c r="E2642" s="2770"/>
      <c r="F2642" s="2771" t="s">
        <v>6132</v>
      </c>
      <c r="G2642" s="2750"/>
      <c r="H2642" s="2753"/>
      <c r="I2642" s="2664">
        <f t="shared" si="147"/>
        <v>0</v>
      </c>
      <c r="J2642" s="1069"/>
      <c r="K2642" s="1069"/>
      <c r="L2642" s="1069"/>
      <c r="M2642" s="934">
        <v>1250</v>
      </c>
    </row>
    <row r="2643" spans="1:13" s="1016" customFormat="1" ht="25.15" hidden="1" customHeight="1">
      <c r="A2643" s="1086">
        <f t="shared" si="149"/>
        <v>0</v>
      </c>
      <c r="B2643" s="1087" t="s">
        <v>4327</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15"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15"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15"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15"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15" hidden="1" customHeight="1">
      <c r="A2648" s="1086">
        <f t="shared" si="149"/>
        <v>0</v>
      </c>
      <c r="B2648" s="1087" t="s">
        <v>2242</v>
      </c>
      <c r="C2648" s="2835"/>
      <c r="D2648" s="2755"/>
      <c r="E2648" s="2751" t="s">
        <v>5443</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15" hidden="1" customHeight="1">
      <c r="A2649" s="1086">
        <f t="shared" si="149"/>
        <v>0</v>
      </c>
      <c r="B2649" s="1087" t="s">
        <v>6414</v>
      </c>
      <c r="C2649" s="2835"/>
      <c r="D2649" s="2765">
        <f>IF(H2649&gt;0,D2641+1,D2641)</f>
        <v>2</v>
      </c>
      <c r="E2649" s="2766"/>
      <c r="F2649" s="2767" t="s">
        <v>6275</v>
      </c>
      <c r="G2649" s="2768" t="s">
        <v>2385</v>
      </c>
      <c r="H2649" s="2769">
        <v>2</v>
      </c>
      <c r="I2649" s="2664">
        <f t="shared" si="147"/>
        <v>2</v>
      </c>
      <c r="J2649" s="1069"/>
      <c r="K2649" s="1069"/>
      <c r="L2649" s="1069"/>
      <c r="M2649" s="934">
        <v>1250</v>
      </c>
    </row>
    <row r="2650" spans="1:13" s="1016" customFormat="1" ht="25.15" hidden="1" customHeight="1">
      <c r="A2650" s="1086">
        <f t="shared" si="149"/>
        <v>0</v>
      </c>
      <c r="B2650" s="1087"/>
      <c r="C2650" s="2835"/>
      <c r="D2650" s="2755"/>
      <c r="E2650" s="2770"/>
      <c r="F2650" s="2771" t="s">
        <v>6132</v>
      </c>
      <c r="G2650" s="2750"/>
      <c r="H2650" s="2753"/>
      <c r="I2650" s="2664">
        <f t="shared" si="147"/>
        <v>0</v>
      </c>
      <c r="J2650" s="1069"/>
      <c r="K2650" s="1069"/>
      <c r="L2650" s="1069"/>
      <c r="M2650" s="934">
        <v>1250</v>
      </c>
    </row>
    <row r="2651" spans="1:13" s="1016" customFormat="1" ht="25.15" hidden="1" customHeight="1">
      <c r="A2651" s="1086">
        <f t="shared" si="149"/>
        <v>0</v>
      </c>
      <c r="B2651" s="1087" t="s">
        <v>6408</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15" hidden="1" customHeight="1">
      <c r="A2652" s="1086">
        <f t="shared" si="149"/>
        <v>0</v>
      </c>
      <c r="B2652" s="1087" t="s">
        <v>6407</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15"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15"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15"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15" hidden="1" customHeight="1">
      <c r="A2656" s="1086">
        <f t="shared" si="149"/>
        <v>0</v>
      </c>
      <c r="B2656" s="1087" t="s">
        <v>517</v>
      </c>
      <c r="C2656" s="2835"/>
      <c r="D2656" s="2755"/>
      <c r="E2656" s="2751" t="s">
        <v>5429</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15" hidden="1" customHeight="1">
      <c r="A2657" s="1086">
        <f t="shared" si="149"/>
        <v>0</v>
      </c>
      <c r="B2657" s="1087" t="s">
        <v>6415</v>
      </c>
      <c r="C2657" s="2835"/>
      <c r="D2657" s="2765">
        <f>IF(H2657&gt;0,D2649+1,D2649)</f>
        <v>3</v>
      </c>
      <c r="E2657" s="2766"/>
      <c r="F2657" s="2767" t="s">
        <v>6276</v>
      </c>
      <c r="G2657" s="2768" t="s">
        <v>2385</v>
      </c>
      <c r="H2657" s="2769">
        <f>H2605*1</f>
        <v>1</v>
      </c>
      <c r="I2657" s="2664">
        <f t="shared" si="147"/>
        <v>1</v>
      </c>
      <c r="J2657" s="1069"/>
      <c r="K2657" s="1069"/>
      <c r="L2657" s="1069"/>
      <c r="M2657" s="934">
        <v>1250</v>
      </c>
    </row>
    <row r="2658" spans="1:13" s="1016" customFormat="1" ht="25.15" hidden="1" customHeight="1">
      <c r="A2658" s="1086">
        <f t="shared" si="149"/>
        <v>0</v>
      </c>
      <c r="B2658" s="1087"/>
      <c r="C2658" s="2835"/>
      <c r="D2658" s="2755"/>
      <c r="E2658" s="2770"/>
      <c r="F2658" s="2771" t="s">
        <v>6132</v>
      </c>
      <c r="G2658" s="2750"/>
      <c r="H2658" s="2753"/>
      <c r="I2658" s="2664">
        <f t="shared" si="147"/>
        <v>0</v>
      </c>
      <c r="J2658" s="1069"/>
      <c r="K2658" s="1069"/>
      <c r="L2658" s="1069"/>
      <c r="M2658" s="934">
        <v>1250</v>
      </c>
    </row>
    <row r="2659" spans="1:13" s="1016" customFormat="1" ht="25.15" hidden="1" customHeight="1">
      <c r="A2659" s="1086">
        <f t="shared" si="149"/>
        <v>0</v>
      </c>
      <c r="B2659" s="1087" t="s">
        <v>6406</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15" hidden="1" customHeight="1">
      <c r="A2660" s="1086">
        <f t="shared" si="149"/>
        <v>0</v>
      </c>
      <c r="B2660" s="1087" t="s">
        <v>6407</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15"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15"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15"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15" hidden="1" customHeight="1">
      <c r="A2664" s="1086">
        <f t="shared" si="149"/>
        <v>0</v>
      </c>
      <c r="B2664" s="1087" t="s">
        <v>988</v>
      </c>
      <c r="C2664" s="2835"/>
      <c r="D2664" s="2755"/>
      <c r="E2664" s="2751">
        <v>0</v>
      </c>
      <c r="F2664" s="2752" t="s">
        <v>5269</v>
      </c>
      <c r="G2664" s="2751" t="s">
        <v>2385</v>
      </c>
      <c r="H2664" s="2753"/>
      <c r="I2664" s="2664">
        <f t="shared" si="147"/>
        <v>0</v>
      </c>
      <c r="J2664" s="1069"/>
      <c r="K2664" s="1069"/>
      <c r="L2664" s="1069"/>
      <c r="M2664" s="934">
        <v>1250</v>
      </c>
    </row>
    <row r="2665" spans="1:13" s="1016" customFormat="1" ht="25.15" hidden="1" customHeight="1">
      <c r="A2665" s="1086">
        <f t="shared" si="149"/>
        <v>0</v>
      </c>
      <c r="B2665" s="1087" t="s">
        <v>1440</v>
      </c>
      <c r="C2665" s="2835"/>
      <c r="D2665" s="2755"/>
      <c r="E2665" s="2751" t="s">
        <v>5420</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15"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15" hidden="1" customHeight="1">
      <c r="A2667" s="1086">
        <f t="shared" si="149"/>
        <v>0</v>
      </c>
      <c r="B2667" s="1087"/>
      <c r="C2667" s="2835"/>
      <c r="D2667" s="2755"/>
      <c r="E2667" s="2770"/>
      <c r="F2667" s="2771" t="s">
        <v>6132</v>
      </c>
      <c r="G2667" s="2750"/>
      <c r="H2667" s="2753"/>
      <c r="I2667" s="2664">
        <f t="shared" si="147"/>
        <v>0</v>
      </c>
      <c r="J2667" s="1069"/>
      <c r="K2667" s="1069"/>
      <c r="L2667" s="1069"/>
      <c r="M2667" s="934">
        <v>1250</v>
      </c>
    </row>
    <row r="2668" spans="1:13" s="1016" customFormat="1" ht="25.15"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15" hidden="1" customHeight="1">
      <c r="A2669" s="1086">
        <f t="shared" si="149"/>
        <v>0</v>
      </c>
      <c r="B2669" s="1087" t="s">
        <v>1508</v>
      </c>
      <c r="C2669" s="2835"/>
      <c r="D2669" s="2755"/>
      <c r="E2669" s="2751">
        <v>0</v>
      </c>
      <c r="F2669" s="2752" t="s">
        <v>5162</v>
      </c>
      <c r="G2669" s="2751" t="s">
        <v>2439</v>
      </c>
      <c r="H2669" s="2753">
        <f>($I$2+H2674)*H2666</f>
        <v>9</v>
      </c>
      <c r="I2669" s="2664">
        <f t="shared" si="147"/>
        <v>9</v>
      </c>
      <c r="J2669" s="1069"/>
      <c r="K2669" s="1069"/>
      <c r="L2669" s="1069"/>
      <c r="M2669" s="934">
        <v>1250</v>
      </c>
    </row>
    <row r="2670" spans="1:13" s="1016" customFormat="1" ht="25.15"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15"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15"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15" hidden="1" customHeight="1">
      <c r="A2673" s="1086">
        <f t="shared" si="149"/>
        <v>0</v>
      </c>
      <c r="B2673" s="1087" t="s">
        <v>525</v>
      </c>
      <c r="C2673" s="2835"/>
      <c r="D2673" s="2755"/>
      <c r="E2673" s="2751">
        <v>0</v>
      </c>
      <c r="F2673" s="2752" t="s">
        <v>5251</v>
      </c>
      <c r="G2673" s="2751" t="s">
        <v>2439</v>
      </c>
      <c r="H2673" s="2753">
        <f>+H2666*2*0</f>
        <v>0</v>
      </c>
      <c r="I2673" s="2664">
        <f t="shared" si="154"/>
        <v>0</v>
      </c>
      <c r="J2673" s="1069"/>
      <c r="K2673" s="1069"/>
      <c r="L2673" s="1069"/>
      <c r="M2673" s="934">
        <v>1250</v>
      </c>
    </row>
    <row r="2674" spans="1:13" s="1016" customFormat="1" ht="25.15" hidden="1" customHeight="1">
      <c r="A2674" s="1086">
        <f t="shared" si="149"/>
        <v>0</v>
      </c>
      <c r="B2674" s="1087" t="s">
        <v>1585</v>
      </c>
      <c r="C2674" s="2835"/>
      <c r="D2674" s="2755"/>
      <c r="E2674" s="2751">
        <v>0</v>
      </c>
      <c r="F2674" s="2752" t="s">
        <v>5712</v>
      </c>
      <c r="G2674" s="2751" t="s">
        <v>3445</v>
      </c>
      <c r="H2674" s="2753">
        <f>$L$3*H2666</f>
        <v>0</v>
      </c>
      <c r="I2674" s="2664">
        <f t="shared" si="154"/>
        <v>0</v>
      </c>
      <c r="J2674" s="1069"/>
      <c r="K2674" s="1069"/>
      <c r="L2674" s="1069"/>
      <c r="M2674" s="934">
        <v>1250</v>
      </c>
    </row>
    <row r="2675" spans="1:13" s="1016" customFormat="1" ht="25.15" hidden="1" customHeight="1">
      <c r="A2675" s="1086">
        <f t="shared" si="149"/>
        <v>0</v>
      </c>
      <c r="B2675" s="1087" t="s">
        <v>794</v>
      </c>
      <c r="C2675" s="2835"/>
      <c r="D2675" s="2750"/>
      <c r="E2675" s="2751" t="s">
        <v>5335</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15" hidden="1" customHeight="1">
      <c r="A2676" s="1086">
        <f t="shared" si="149"/>
        <v>0</v>
      </c>
      <c r="B2676" s="1087" t="s">
        <v>798</v>
      </c>
      <c r="C2676" s="2835"/>
      <c r="D2676" s="2750"/>
      <c r="E2676" s="2751" t="s">
        <v>5324</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15" hidden="1" customHeight="1">
      <c r="A2677" s="1086">
        <f t="shared" si="149"/>
        <v>0</v>
      </c>
      <c r="B2677" s="1087" t="s">
        <v>902</v>
      </c>
      <c r="C2677" s="2835"/>
      <c r="D2677" s="2750"/>
      <c r="E2677" s="2751" t="s">
        <v>5350</v>
      </c>
      <c r="F2677" s="2752" t="s">
        <v>5351</v>
      </c>
      <c r="G2677" s="2751" t="s">
        <v>2278</v>
      </c>
      <c r="H2677" s="2753">
        <f>H2669</f>
        <v>9</v>
      </c>
      <c r="I2677" s="2664">
        <f t="shared" si="154"/>
        <v>9</v>
      </c>
      <c r="J2677" s="1069"/>
      <c r="K2677" s="1069"/>
      <c r="L2677" s="1069"/>
      <c r="M2677" s="934">
        <v>1250</v>
      </c>
    </row>
    <row r="2678" spans="1:13" s="1016" customFormat="1" ht="25.15" hidden="1" customHeight="1">
      <c r="A2678" s="1086">
        <f t="shared" si="149"/>
        <v>0</v>
      </c>
      <c r="B2678" s="1087" t="s">
        <v>6277</v>
      </c>
      <c r="C2678" s="2835"/>
      <c r="D2678" s="2755"/>
      <c r="E2678" s="2751" t="s">
        <v>5344</v>
      </c>
      <c r="F2678" s="2752" t="s">
        <v>3151</v>
      </c>
      <c r="G2678" s="2751" t="s">
        <v>2248</v>
      </c>
      <c r="H2678" s="2753">
        <f>H2668</f>
        <v>11.87</v>
      </c>
      <c r="I2678" s="2664">
        <f t="shared" si="154"/>
        <v>11.87</v>
      </c>
      <c r="J2678" s="1069"/>
      <c r="K2678" s="1069"/>
      <c r="L2678" s="1069"/>
      <c r="M2678" s="934">
        <v>1250</v>
      </c>
    </row>
    <row r="2679" spans="1:13" s="1016" customFormat="1" ht="25.15" hidden="1" customHeight="1">
      <c r="A2679" s="1086">
        <f t="shared" si="149"/>
        <v>0</v>
      </c>
      <c r="B2679" s="1087"/>
      <c r="C2679" s="2835"/>
      <c r="D2679" s="2765">
        <f>IF(H2679&gt;0,D2666+1,D2666)</f>
        <v>5</v>
      </c>
      <c r="E2679" s="2766"/>
      <c r="F2679" s="2767" t="s">
        <v>6208</v>
      </c>
      <c r="G2679" s="2768" t="s">
        <v>2385</v>
      </c>
      <c r="H2679" s="2769">
        <f>H2605</f>
        <v>1</v>
      </c>
      <c r="I2679" s="2664">
        <f t="shared" si="154"/>
        <v>1</v>
      </c>
      <c r="J2679" s="1069"/>
      <c r="K2679" s="1069"/>
      <c r="L2679" s="1069"/>
      <c r="M2679" s="934">
        <v>1250</v>
      </c>
    </row>
    <row r="2680" spans="1:13" s="1016" customFormat="1" ht="25.15" hidden="1" customHeight="1">
      <c r="A2680" s="1086">
        <f t="shared" si="149"/>
        <v>0</v>
      </c>
      <c r="B2680" s="1087"/>
      <c r="C2680" s="2835"/>
      <c r="D2680" s="2755"/>
      <c r="E2680" s="2770"/>
      <c r="F2680" s="2771" t="s">
        <v>6132</v>
      </c>
      <c r="G2680" s="2750"/>
      <c r="H2680" s="2753"/>
      <c r="I2680" s="2664">
        <f t="shared" si="154"/>
        <v>0</v>
      </c>
      <c r="J2680" s="1069"/>
      <c r="K2680" s="1069"/>
      <c r="L2680" s="1069"/>
      <c r="M2680" s="934">
        <v>1250</v>
      </c>
    </row>
    <row r="2681" spans="1:13" s="1016" customFormat="1" ht="25.15" hidden="1" customHeight="1">
      <c r="A2681" s="1086">
        <f t="shared" si="149"/>
        <v>0</v>
      </c>
      <c r="B2681" s="1087" t="s">
        <v>6278</v>
      </c>
      <c r="C2681" s="2835"/>
      <c r="D2681" s="2750"/>
      <c r="E2681" s="2751" t="s">
        <v>5632</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15"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15"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15"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15" hidden="1" customHeight="1">
      <c r="A2685" s="1086">
        <f t="shared" si="149"/>
        <v>0</v>
      </c>
      <c r="B2685" s="1087"/>
      <c r="C2685" s="2835"/>
      <c r="D2685" s="2755"/>
      <c r="E2685" s="2770"/>
      <c r="F2685" s="2771" t="s">
        <v>6132</v>
      </c>
      <c r="G2685" s="2750"/>
      <c r="H2685" s="2753"/>
      <c r="I2685" s="2664">
        <f t="shared" si="154"/>
        <v>0</v>
      </c>
      <c r="J2685" s="1069"/>
      <c r="K2685" s="1069"/>
      <c r="L2685" s="1069"/>
      <c r="M2685" s="934">
        <v>1250</v>
      </c>
    </row>
    <row r="2686" spans="1:13" s="1016" customFormat="1" ht="25.15" hidden="1" customHeight="1">
      <c r="A2686" s="1086">
        <f t="shared" si="149"/>
        <v>0</v>
      </c>
      <c r="B2686" s="1087" t="s">
        <v>752</v>
      </c>
      <c r="C2686" s="2835"/>
      <c r="D2686" s="2750"/>
      <c r="E2686" s="2751">
        <v>0</v>
      </c>
      <c r="F2686" s="2773" t="s">
        <v>6374</v>
      </c>
      <c r="G2686" s="2751" t="s">
        <v>856</v>
      </c>
      <c r="H2686" s="2753">
        <f>H2684*0.315</f>
        <v>0</v>
      </c>
      <c r="I2686" s="2664">
        <f t="shared" si="154"/>
        <v>0</v>
      </c>
      <c r="J2686" s="1069"/>
      <c r="K2686" s="1069"/>
      <c r="L2686" s="1069"/>
      <c r="M2686" s="934">
        <v>1250</v>
      </c>
    </row>
    <row r="2687" spans="1:13" s="1016" customFormat="1" ht="25.15" hidden="1" customHeight="1">
      <c r="A2687" s="1086">
        <f t="shared" si="149"/>
        <v>0</v>
      </c>
      <c r="B2687" s="1087" t="s">
        <v>520</v>
      </c>
      <c r="C2687" s="2835"/>
      <c r="D2687" s="2750"/>
      <c r="E2687" s="2751">
        <v>0</v>
      </c>
      <c r="F2687" s="2773" t="s">
        <v>6375</v>
      </c>
      <c r="G2687" s="2751" t="s">
        <v>856</v>
      </c>
      <c r="H2687" s="2753">
        <f>0.092*H2684</f>
        <v>0</v>
      </c>
      <c r="I2687" s="2664">
        <f t="shared" si="154"/>
        <v>0</v>
      </c>
      <c r="J2687" s="1069"/>
      <c r="K2687" s="1069"/>
      <c r="L2687" s="1069"/>
      <c r="M2687" s="934">
        <v>1250</v>
      </c>
    </row>
    <row r="2688" spans="1:13" s="1016" customFormat="1" ht="25.15" hidden="1" customHeight="1">
      <c r="A2688" s="1086">
        <f t="shared" si="149"/>
        <v>0</v>
      </c>
      <c r="B2688" s="1087" t="s">
        <v>1675</v>
      </c>
      <c r="C2688" s="2835"/>
      <c r="D2688" s="2750"/>
      <c r="E2688" s="2751">
        <v>0</v>
      </c>
      <c r="F2688" s="2773" t="s">
        <v>6376</v>
      </c>
      <c r="G2688" s="2751" t="s">
        <v>3006</v>
      </c>
      <c r="H2688" s="2753">
        <f>3.3*H2684</f>
        <v>0</v>
      </c>
      <c r="I2688" s="2664">
        <f t="shared" si="154"/>
        <v>0</v>
      </c>
      <c r="J2688" s="1069"/>
      <c r="K2688" s="1069"/>
      <c r="L2688" s="1069"/>
      <c r="M2688" s="934">
        <v>1250</v>
      </c>
    </row>
    <row r="2689" spans="1:13" s="1016" customFormat="1" ht="25.15" hidden="1" customHeight="1">
      <c r="A2689" s="1086">
        <f t="shared" si="149"/>
        <v>0</v>
      </c>
      <c r="B2689" s="1087" t="s">
        <v>1676</v>
      </c>
      <c r="C2689" s="2835"/>
      <c r="D2689" s="2750"/>
      <c r="E2689" s="2751" t="s">
        <v>5289</v>
      </c>
      <c r="F2689" s="2773" t="s">
        <v>6377</v>
      </c>
      <c r="G2689" s="2751" t="s">
        <v>1960</v>
      </c>
      <c r="H2689" s="2753">
        <f>0.4*H2684</f>
        <v>0</v>
      </c>
      <c r="I2689" s="2664">
        <f t="shared" si="154"/>
        <v>0</v>
      </c>
      <c r="J2689" s="1069"/>
      <c r="K2689" s="1069"/>
      <c r="L2689" s="1069"/>
      <c r="M2689" s="934">
        <v>1250</v>
      </c>
    </row>
    <row r="2690" spans="1:13" s="1016" customFormat="1" ht="25.15"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15" hidden="1" customHeight="1">
      <c r="A2691" s="1086">
        <f t="shared" si="149"/>
        <v>0</v>
      </c>
      <c r="B2691" s="1087" t="s">
        <v>1678</v>
      </c>
      <c r="C2691" s="2835"/>
      <c r="D2691" s="2750"/>
      <c r="E2691" s="2751" t="s">
        <v>5332</v>
      </c>
      <c r="F2691" s="2773" t="s">
        <v>6378</v>
      </c>
      <c r="G2691" s="2751" t="s">
        <v>856</v>
      </c>
      <c r="H2691" s="2753">
        <f>H2686+H2687</f>
        <v>0</v>
      </c>
      <c r="I2691" s="2664">
        <f t="shared" si="154"/>
        <v>0</v>
      </c>
      <c r="J2691" s="1069"/>
      <c r="K2691" s="1069"/>
      <c r="L2691" s="1069"/>
      <c r="M2691" s="934">
        <v>1250</v>
      </c>
    </row>
    <row r="2692" spans="1:13" s="1016" customFormat="1" ht="25.15" hidden="1" customHeight="1">
      <c r="A2692" s="1086">
        <f t="shared" si="149"/>
        <v>0</v>
      </c>
      <c r="B2692" s="1087" t="s">
        <v>144</v>
      </c>
      <c r="C2692" s="2835"/>
      <c r="D2692" s="2750"/>
      <c r="E2692" s="2751" t="s">
        <v>5326</v>
      </c>
      <c r="F2692" s="2773" t="s">
        <v>6379</v>
      </c>
      <c r="G2692" s="2751" t="s">
        <v>856</v>
      </c>
      <c r="H2692" s="2753">
        <f>H2684*0.48</f>
        <v>0</v>
      </c>
      <c r="I2692" s="2664">
        <f t="shared" si="154"/>
        <v>0</v>
      </c>
      <c r="J2692" s="1069"/>
      <c r="K2692" s="1069"/>
      <c r="L2692" s="1069"/>
      <c r="M2692" s="934">
        <v>1250</v>
      </c>
    </row>
    <row r="2693" spans="1:13" s="1016" customFormat="1" ht="25.15" hidden="1" customHeight="1">
      <c r="A2693" s="1086">
        <f t="shared" ref="A2693:A2756" si="155">IF(AND(M2693=$M$23,I2693&gt;0),1,0)</f>
        <v>0</v>
      </c>
      <c r="B2693" s="1087" t="s">
        <v>529</v>
      </c>
      <c r="C2693" s="2835"/>
      <c r="D2693" s="2750"/>
      <c r="E2693" s="2751" t="s">
        <v>5331</v>
      </c>
      <c r="F2693" s="2773" t="s">
        <v>6380</v>
      </c>
      <c r="G2693" s="2751" t="s">
        <v>856</v>
      </c>
      <c r="H2693" s="2753">
        <f>H2684*0.073</f>
        <v>0</v>
      </c>
      <c r="I2693" s="2664">
        <f t="shared" si="154"/>
        <v>0</v>
      </c>
      <c r="J2693" s="1069"/>
      <c r="K2693" s="1069"/>
      <c r="L2693" s="1069"/>
      <c r="M2693" s="934">
        <v>1250</v>
      </c>
    </row>
    <row r="2694" spans="1:13" s="1016" customFormat="1" ht="25.15"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15" hidden="1" customHeight="1">
      <c r="A2695" s="1086">
        <f t="shared" si="155"/>
        <v>0</v>
      </c>
      <c r="B2695" s="1087"/>
      <c r="C2695" s="2835"/>
      <c r="D2695" s="2755"/>
      <c r="E2695" s="2770"/>
      <c r="F2695" s="2771" t="s">
        <v>6132</v>
      </c>
      <c r="G2695" s="2750"/>
      <c r="H2695" s="2753"/>
      <c r="I2695" s="2664">
        <f t="shared" si="154"/>
        <v>0</v>
      </c>
      <c r="J2695" s="1069"/>
      <c r="K2695" s="1069"/>
      <c r="L2695" s="1069"/>
      <c r="M2695" s="934">
        <v>1250</v>
      </c>
    </row>
    <row r="2696" spans="1:13" s="1016" customFormat="1" ht="25.15" hidden="1" customHeight="1">
      <c r="A2696" s="1086">
        <f t="shared" si="155"/>
        <v>0</v>
      </c>
      <c r="B2696" s="1087" t="s">
        <v>623</v>
      </c>
      <c r="C2696" s="2835"/>
      <c r="D2696" s="2750"/>
      <c r="E2696" s="2751" t="s">
        <v>5304</v>
      </c>
      <c r="F2696" s="2752" t="s">
        <v>5305</v>
      </c>
      <c r="G2696" s="2751" t="s">
        <v>2532</v>
      </c>
      <c r="H2696" s="2753">
        <f>H2694*5</f>
        <v>0</v>
      </c>
      <c r="I2696" s="2664">
        <f t="shared" si="154"/>
        <v>0</v>
      </c>
      <c r="J2696" s="1069"/>
      <c r="K2696" s="1069"/>
      <c r="L2696" s="1069"/>
      <c r="M2696" s="934">
        <v>1250</v>
      </c>
    </row>
    <row r="2697" spans="1:13" s="1016" customFormat="1" ht="25.15"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15"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15"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15"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15" hidden="1" customHeight="1">
      <c r="A2701" s="1086">
        <f t="shared" si="155"/>
        <v>0</v>
      </c>
      <c r="B2701" s="1087" t="s">
        <v>1410</v>
      </c>
      <c r="C2701" s="2835"/>
      <c r="D2701" s="2755"/>
      <c r="E2701" s="2751" t="s">
        <v>5340</v>
      </c>
      <c r="F2701" s="2752" t="s">
        <v>5341</v>
      </c>
      <c r="G2701" s="2751" t="s">
        <v>2439</v>
      </c>
      <c r="H2701" s="2753">
        <f>H2699+H2700</f>
        <v>0</v>
      </c>
      <c r="I2701" s="2664">
        <f t="shared" si="154"/>
        <v>0</v>
      </c>
      <c r="J2701" s="1069"/>
      <c r="K2701" s="1069"/>
      <c r="L2701" s="1069"/>
      <c r="M2701" s="934">
        <v>1250</v>
      </c>
    </row>
    <row r="2702" spans="1:13" s="1016" customFormat="1" ht="25.15" hidden="1" customHeight="1">
      <c r="A2702" s="1086">
        <f t="shared" si="155"/>
        <v>0</v>
      </c>
      <c r="B2702" s="1087" t="s">
        <v>289</v>
      </c>
      <c r="C2702" s="2835"/>
      <c r="D2702" s="2750"/>
      <c r="E2702" s="2751">
        <v>0</v>
      </c>
      <c r="F2702" s="2752" t="s">
        <v>5711</v>
      </c>
      <c r="G2702" s="2751" t="s">
        <v>2555</v>
      </c>
      <c r="H2702" s="2753">
        <f>H2694</f>
        <v>0</v>
      </c>
      <c r="I2702" s="2664">
        <f t="shared" si="154"/>
        <v>0</v>
      </c>
      <c r="J2702" s="1069"/>
      <c r="K2702" s="1069"/>
      <c r="L2702" s="1069"/>
      <c r="M2702" s="934">
        <v>1250</v>
      </c>
    </row>
    <row r="2703" spans="1:13" s="1016" customFormat="1" ht="25.15"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15" hidden="1" customHeight="1">
      <c r="A2704" s="1086">
        <f t="shared" si="155"/>
        <v>0</v>
      </c>
      <c r="B2704" s="1087"/>
      <c r="C2704" s="2835"/>
      <c r="D2704" s="2755"/>
      <c r="E2704" s="2770"/>
      <c r="F2704" s="2774" t="s">
        <v>6132</v>
      </c>
      <c r="G2704" s="2755"/>
      <c r="H2704" s="2756"/>
      <c r="I2704" s="2664">
        <f t="shared" si="154"/>
        <v>0</v>
      </c>
      <c r="J2704" s="1069"/>
      <c r="K2704" s="1069"/>
      <c r="L2704" s="1069"/>
      <c r="M2704" s="934">
        <v>1250</v>
      </c>
    </row>
    <row r="2705" spans="1:13" s="1016" customFormat="1" ht="25.15" hidden="1" customHeight="1">
      <c r="A2705" s="1086">
        <f t="shared" si="155"/>
        <v>0</v>
      </c>
      <c r="B2705" s="1087" t="s">
        <v>470</v>
      </c>
      <c r="C2705" s="2835"/>
      <c r="D2705" s="2750"/>
      <c r="E2705" s="2751">
        <v>0</v>
      </c>
      <c r="F2705" s="2752" t="s">
        <v>6381</v>
      </c>
      <c r="G2705" s="2751" t="s">
        <v>2532</v>
      </c>
      <c r="H2705" s="2753">
        <f>H2684+H2703*8</f>
        <v>0</v>
      </c>
      <c r="I2705" s="2664">
        <f t="shared" si="154"/>
        <v>0</v>
      </c>
      <c r="J2705" s="1069"/>
      <c r="K2705" s="1069"/>
      <c r="L2705" s="1069"/>
      <c r="M2705" s="934">
        <v>1250</v>
      </c>
    </row>
    <row r="2706" spans="1:13" s="1016" customFormat="1" ht="25.15" hidden="1" customHeight="1">
      <c r="A2706" s="1086">
        <f t="shared" si="155"/>
        <v>0</v>
      </c>
      <c r="B2706" s="1087" t="s">
        <v>271</v>
      </c>
      <c r="C2706" s="2835"/>
      <c r="D2706" s="2750"/>
      <c r="E2706" s="2751">
        <v>0</v>
      </c>
      <c r="F2706" s="2752" t="s">
        <v>6382</v>
      </c>
      <c r="G2706" s="2751" t="s">
        <v>2532</v>
      </c>
      <c r="H2706" s="2753">
        <f>H2705</f>
        <v>0</v>
      </c>
      <c r="I2706" s="2664">
        <f t="shared" si="154"/>
        <v>0</v>
      </c>
      <c r="J2706" s="1069"/>
      <c r="K2706" s="1069"/>
      <c r="L2706" s="1069"/>
      <c r="M2706" s="934">
        <v>1250</v>
      </c>
    </row>
    <row r="2707" spans="1:13" s="1016" customFormat="1" ht="25.15" hidden="1" customHeight="1">
      <c r="A2707" s="1086">
        <f t="shared" si="155"/>
        <v>0</v>
      </c>
      <c r="B2707" s="1087" t="s">
        <v>271</v>
      </c>
      <c r="C2707" s="2835"/>
      <c r="D2707" s="2750"/>
      <c r="E2707" s="2751">
        <v>0</v>
      </c>
      <c r="F2707" s="2752" t="s">
        <v>6383</v>
      </c>
      <c r="G2707" s="2751" t="s">
        <v>2532</v>
      </c>
      <c r="H2707" s="2753">
        <f>H2703*0.5*3</f>
        <v>0</v>
      </c>
      <c r="I2707" s="2664">
        <f t="shared" si="154"/>
        <v>0</v>
      </c>
      <c r="J2707" s="1069"/>
      <c r="K2707" s="1069"/>
      <c r="L2707" s="1069"/>
      <c r="M2707" s="934">
        <v>1250</v>
      </c>
    </row>
    <row r="2708" spans="1:13" s="1016" customFormat="1" ht="25.15"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15" hidden="1" customHeight="1">
      <c r="A2709" s="1086">
        <f t="shared" si="155"/>
        <v>0</v>
      </c>
      <c r="B2709" s="1087" t="s">
        <v>470</v>
      </c>
      <c r="C2709" s="2835"/>
      <c r="D2709" s="2750"/>
      <c r="E2709" s="2751">
        <v>0</v>
      </c>
      <c r="F2709" s="2752" t="s">
        <v>6384</v>
      </c>
      <c r="G2709" s="2751" t="s">
        <v>2532</v>
      </c>
      <c r="H2709" s="2753">
        <f>(1.2+2.4)*H2703</f>
        <v>0</v>
      </c>
      <c r="I2709" s="2664">
        <f t="shared" si="154"/>
        <v>0</v>
      </c>
      <c r="J2709" s="1069"/>
      <c r="K2709" s="1069"/>
      <c r="L2709" s="1069"/>
      <c r="M2709" s="934">
        <v>1250</v>
      </c>
    </row>
    <row r="2710" spans="1:13" s="1016" customFormat="1" ht="25.15" hidden="1" customHeight="1">
      <c r="A2710" s="1086">
        <f t="shared" si="155"/>
        <v>0</v>
      </c>
      <c r="B2710" s="1087" t="s">
        <v>271</v>
      </c>
      <c r="C2710" s="2835"/>
      <c r="D2710" s="2750"/>
      <c r="E2710" s="2751">
        <v>0</v>
      </c>
      <c r="F2710" s="2752" t="s">
        <v>6385</v>
      </c>
      <c r="G2710" s="2751" t="s">
        <v>2532</v>
      </c>
      <c r="H2710" s="2753">
        <f>H2703*1.2</f>
        <v>0</v>
      </c>
      <c r="I2710" s="2664">
        <f t="shared" si="154"/>
        <v>0</v>
      </c>
      <c r="J2710" s="1069"/>
      <c r="K2710" s="1069"/>
      <c r="L2710" s="1069"/>
      <c r="M2710" s="934">
        <v>1250</v>
      </c>
    </row>
    <row r="2711" spans="1:13" s="1016" customFormat="1" ht="25.15"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15" hidden="1" customHeight="1">
      <c r="A2712" s="1086">
        <f t="shared" si="155"/>
        <v>0</v>
      </c>
      <c r="B2712" s="1087" t="s">
        <v>1674</v>
      </c>
      <c r="C2712" s="2835"/>
      <c r="D2712" s="2750"/>
      <c r="E2712" s="2751" t="s">
        <v>5458</v>
      </c>
      <c r="F2712" s="2752" t="s">
        <v>3178</v>
      </c>
      <c r="G2712" s="2751" t="s">
        <v>2555</v>
      </c>
      <c r="H2712" s="2753">
        <f>H2708+H2711</f>
        <v>0</v>
      </c>
      <c r="I2712" s="2664">
        <f t="shared" si="154"/>
        <v>0</v>
      </c>
      <c r="J2712" s="1069"/>
      <c r="K2712" s="1069"/>
      <c r="L2712" s="1069"/>
      <c r="M2712" s="934">
        <v>1250</v>
      </c>
    </row>
    <row r="2713" spans="1:13" s="1016" customFormat="1" ht="25.15"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15"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15" hidden="1" customHeight="1">
      <c r="A2715" s="1086">
        <f t="shared" si="155"/>
        <v>0</v>
      </c>
      <c r="B2715" s="1087" t="s">
        <v>1525</v>
      </c>
      <c r="C2715" s="2835"/>
      <c r="D2715" s="2750"/>
      <c r="E2715" s="2751" t="s">
        <v>5570</v>
      </c>
      <c r="F2715" s="2752" t="s">
        <v>3292</v>
      </c>
      <c r="G2715" s="2751" t="s">
        <v>1823</v>
      </c>
      <c r="H2715" s="2753">
        <f>H2707</f>
        <v>0</v>
      </c>
      <c r="I2715" s="2664">
        <f t="shared" si="154"/>
        <v>0</v>
      </c>
      <c r="J2715" s="1069"/>
      <c r="K2715" s="1069"/>
      <c r="L2715" s="1069"/>
      <c r="M2715" s="934">
        <v>1250</v>
      </c>
    </row>
    <row r="2716" spans="1:13" s="1016" customFormat="1" ht="25.15"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15" hidden="1" customHeight="1">
      <c r="A2717" s="1086">
        <f t="shared" si="155"/>
        <v>0</v>
      </c>
      <c r="B2717" s="1087"/>
      <c r="C2717" s="2835"/>
      <c r="D2717" s="2765">
        <f>IF(H2717&gt;0,D2703+1,D2703)</f>
        <v>6</v>
      </c>
      <c r="E2717" s="2766"/>
      <c r="F2717" s="2767" t="s">
        <v>6262</v>
      </c>
      <c r="G2717" s="2768" t="s">
        <v>2385</v>
      </c>
      <c r="H2717" s="2769">
        <f>H2605</f>
        <v>1</v>
      </c>
      <c r="I2717" s="2664">
        <f t="shared" si="154"/>
        <v>1</v>
      </c>
      <c r="J2717" s="1069"/>
      <c r="K2717" s="1069"/>
      <c r="L2717" s="1069"/>
      <c r="M2717" s="934">
        <v>1250</v>
      </c>
    </row>
    <row r="2718" spans="1:13" s="1016" customFormat="1" ht="25.15" hidden="1" customHeight="1">
      <c r="A2718" s="1086">
        <f t="shared" si="155"/>
        <v>0</v>
      </c>
      <c r="B2718" s="1087"/>
      <c r="C2718" s="2835"/>
      <c r="D2718" s="2755"/>
      <c r="E2718" s="2770"/>
      <c r="F2718" s="2771" t="s">
        <v>6132</v>
      </c>
      <c r="G2718" s="2755"/>
      <c r="H2718" s="2756"/>
      <c r="I2718" s="2664">
        <f t="shared" si="154"/>
        <v>0</v>
      </c>
      <c r="J2718" s="1069"/>
      <c r="K2718" s="1069"/>
      <c r="L2718" s="1069"/>
      <c r="M2718" s="934">
        <v>1250</v>
      </c>
    </row>
    <row r="2719" spans="1:13" s="1016" customFormat="1" ht="25.15"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15" hidden="1" customHeight="1">
      <c r="A2720" s="1086">
        <f t="shared" si="155"/>
        <v>0</v>
      </c>
      <c r="B2720" s="1087" t="s">
        <v>5698</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15" hidden="1" customHeight="1">
      <c r="A2721" s="1086">
        <f t="shared" si="155"/>
        <v>0</v>
      </c>
      <c r="B2721" s="1087" t="s">
        <v>5704</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15" hidden="1" customHeight="1">
      <c r="A2722" s="1086">
        <f t="shared" si="155"/>
        <v>0</v>
      </c>
      <c r="B2722" s="1087" t="s">
        <v>5706</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15" hidden="1" customHeight="1">
      <c r="A2723" s="1086">
        <f t="shared" si="155"/>
        <v>0</v>
      </c>
      <c r="B2723" s="1087" t="s">
        <v>5696</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15"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15"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15"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15"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15" hidden="1" customHeight="1">
      <c r="A2728" s="1086">
        <f t="shared" si="155"/>
        <v>0</v>
      </c>
      <c r="B2728" s="1087" t="s">
        <v>6279</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15" hidden="1" customHeight="1">
      <c r="A2729" s="1086">
        <f t="shared" si="155"/>
        <v>0</v>
      </c>
      <c r="B2729" s="1087" t="s">
        <v>1565</v>
      </c>
      <c r="C2729" s="2835"/>
      <c r="D2729" s="2750"/>
      <c r="E2729" s="2751" t="s">
        <v>5559</v>
      </c>
      <c r="F2729" s="2752" t="str">
        <f t="shared" si="156"/>
        <v>Lắp sứ đứng 24KV</v>
      </c>
      <c r="G2729" s="2751" t="s">
        <v>2439</v>
      </c>
      <c r="H2729" s="2753">
        <f>H2727</f>
        <v>9</v>
      </c>
      <c r="I2729" s="2664">
        <f t="shared" si="154"/>
        <v>9</v>
      </c>
      <c r="J2729" s="1069"/>
      <c r="K2729" s="1069"/>
      <c r="L2729" s="1069"/>
      <c r="M2729" s="934">
        <v>1250</v>
      </c>
    </row>
    <row r="2730" spans="1:13" s="1016" customFormat="1" ht="25.15" hidden="1" customHeight="1">
      <c r="A2730" s="1086">
        <f t="shared" si="155"/>
        <v>0</v>
      </c>
      <c r="B2730" s="1087" t="s">
        <v>1525</v>
      </c>
      <c r="C2730" s="2835"/>
      <c r="D2730" s="2750"/>
      <c r="E2730" s="2751" t="s">
        <v>5570</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15"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15" hidden="1" customHeight="1">
      <c r="A2732" s="1086">
        <f t="shared" si="155"/>
        <v>0</v>
      </c>
      <c r="B2732" s="1087"/>
      <c r="C2732" s="2835"/>
      <c r="D2732" s="2755"/>
      <c r="E2732" s="2770"/>
      <c r="F2732" s="2771" t="s">
        <v>6132</v>
      </c>
      <c r="G2732" s="2755"/>
      <c r="H2732" s="2753"/>
      <c r="I2732" s="2664">
        <f t="shared" si="154"/>
        <v>0</v>
      </c>
      <c r="J2732" s="1069"/>
      <c r="K2732" s="1069"/>
      <c r="L2732" s="1069"/>
      <c r="M2732" s="934">
        <v>1250</v>
      </c>
    </row>
    <row r="2733" spans="1:13" s="1016" customFormat="1" ht="25.15" hidden="1" customHeight="1">
      <c r="A2733" s="1086">
        <f t="shared" si="155"/>
        <v>0</v>
      </c>
      <c r="B2733" s="1087" t="s">
        <v>4756</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15" hidden="1" customHeight="1">
      <c r="A2734" s="1086">
        <f t="shared" si="155"/>
        <v>0</v>
      </c>
      <c r="B2734" s="1087" t="s">
        <v>2156</v>
      </c>
      <c r="C2734" s="2835"/>
      <c r="D2734" s="2750"/>
      <c r="E2734" s="2751" t="s">
        <v>5730</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15"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15"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15"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15" hidden="1" customHeight="1">
      <c r="A2738" s="1086">
        <f t="shared" si="155"/>
        <v>0</v>
      </c>
      <c r="B2738" s="1087" t="s">
        <v>6</v>
      </c>
      <c r="C2738" s="2835"/>
      <c r="D2738" s="2750"/>
      <c r="E2738" s="2751"/>
      <c r="F2738" s="2752" t="str">
        <f>VLOOKUP(B2738,DonGia,3,0)</f>
        <v>Keo silicon bít miệng ống</v>
      </c>
      <c r="G2738" s="2751" t="s">
        <v>5805</v>
      </c>
      <c r="H2738" s="2753">
        <f>+H2731*3</f>
        <v>3</v>
      </c>
      <c r="I2738" s="2664">
        <f t="shared" si="157"/>
        <v>3</v>
      </c>
      <c r="J2738" s="1069"/>
      <c r="K2738" s="1069"/>
      <c r="L2738" s="1069"/>
      <c r="M2738" s="934">
        <v>1250</v>
      </c>
    </row>
    <row r="2739" spans="1:13" s="1016" customFormat="1" ht="25.15"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15"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15" hidden="1" customHeight="1">
      <c r="A2741" s="1086">
        <f t="shared" si="155"/>
        <v>0</v>
      </c>
      <c r="B2741" s="1087" t="s">
        <v>247</v>
      </c>
      <c r="C2741" s="2835"/>
      <c r="D2741" s="2750"/>
      <c r="E2741" s="2751" t="s">
        <v>5572</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15" hidden="1" customHeight="1">
      <c r="A2742" s="1086">
        <f t="shared" si="155"/>
        <v>0</v>
      </c>
      <c r="B2742" s="1087"/>
      <c r="C2742" s="2835"/>
      <c r="D2742" s="2765">
        <f>IF(H2742&gt;0,D2731+1,D2731)</f>
        <v>7</v>
      </c>
      <c r="E2742" s="2766"/>
      <c r="F2742" s="2767" t="s">
        <v>6221</v>
      </c>
      <c r="G2742" s="2768" t="s">
        <v>2385</v>
      </c>
      <c r="H2742" s="2769"/>
      <c r="I2742" s="2664">
        <f t="shared" si="157"/>
        <v>0</v>
      </c>
      <c r="J2742" s="1069"/>
      <c r="K2742" s="1069"/>
      <c r="L2742" s="1069"/>
      <c r="M2742" s="934">
        <v>1250</v>
      </c>
    </row>
    <row r="2743" spans="1:13" s="1016" customFormat="1" ht="25.15" hidden="1" customHeight="1">
      <c r="A2743" s="1086">
        <f t="shared" si="155"/>
        <v>0</v>
      </c>
      <c r="B2743" s="1087"/>
      <c r="C2743" s="2835"/>
      <c r="D2743" s="2755"/>
      <c r="E2743" s="2770"/>
      <c r="F2743" s="2771" t="s">
        <v>6132</v>
      </c>
      <c r="G2743" s="2750"/>
      <c r="H2743" s="2753"/>
      <c r="I2743" s="2664">
        <f t="shared" si="157"/>
        <v>0</v>
      </c>
      <c r="J2743" s="1069"/>
      <c r="K2743" s="1069"/>
      <c r="L2743" s="1069"/>
      <c r="M2743" s="934">
        <v>1250</v>
      </c>
    </row>
    <row r="2744" spans="1:13" s="1016" customFormat="1" ht="25.15" hidden="1" customHeight="1">
      <c r="A2744" s="1086">
        <f t="shared" si="155"/>
        <v>0</v>
      </c>
      <c r="B2744" s="1087" t="s">
        <v>653</v>
      </c>
      <c r="C2744" s="2835"/>
      <c r="D2744" s="2750"/>
      <c r="E2744" s="2751">
        <v>0</v>
      </c>
      <c r="F2744" s="2752" t="s">
        <v>5288</v>
      </c>
      <c r="G2744" s="2751" t="s">
        <v>2248</v>
      </c>
      <c r="H2744" s="2753">
        <f>+H2747*296</f>
        <v>0</v>
      </c>
      <c r="I2744" s="2664">
        <f t="shared" si="157"/>
        <v>0</v>
      </c>
      <c r="J2744" s="1069"/>
      <c r="K2744" s="1069"/>
      <c r="L2744" s="1069"/>
      <c r="M2744" s="934">
        <v>1250</v>
      </c>
    </row>
    <row r="2745" spans="1:13" s="1016" customFormat="1" ht="25.15"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15"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15" hidden="1" customHeight="1">
      <c r="A2747" s="1086">
        <f t="shared" si="155"/>
        <v>0</v>
      </c>
      <c r="B2747" s="1087" t="s">
        <v>654</v>
      </c>
      <c r="C2747" s="2835"/>
      <c r="D2747" s="2750"/>
      <c r="E2747" s="2751" t="s">
        <v>5470</v>
      </c>
      <c r="F2747" s="2752" t="s">
        <v>5473</v>
      </c>
      <c r="G2747" s="2751" t="s">
        <v>856</v>
      </c>
      <c r="H2747" s="2753">
        <f>H2742*(0.4*3*1-2*3.14*0.15^2*0.4)</f>
        <v>0</v>
      </c>
      <c r="I2747" s="2664">
        <f t="shared" si="157"/>
        <v>0</v>
      </c>
      <c r="J2747" s="1069"/>
      <c r="K2747" s="1069"/>
      <c r="L2747" s="1069"/>
      <c r="M2747" s="934">
        <v>1250</v>
      </c>
    </row>
    <row r="2748" spans="1:13" s="1016" customFormat="1" ht="25.15" hidden="1" customHeight="1">
      <c r="A2748" s="1086">
        <f t="shared" si="155"/>
        <v>0</v>
      </c>
      <c r="B2748" s="1087"/>
      <c r="C2748" s="2835"/>
      <c r="D2748" s="2765">
        <f>IF(H2748&gt;0,D2742+1,D2742)</f>
        <v>8</v>
      </c>
      <c r="E2748" s="2776"/>
      <c r="F2748" s="2767" t="s">
        <v>6280</v>
      </c>
      <c r="G2748" s="2768" t="s">
        <v>2385</v>
      </c>
      <c r="H2748" s="2769">
        <f>H2605</f>
        <v>1</v>
      </c>
      <c r="I2748" s="2664">
        <f t="shared" si="157"/>
        <v>1</v>
      </c>
      <c r="J2748" s="1069"/>
      <c r="K2748" s="1069"/>
      <c r="L2748" s="1069"/>
      <c r="M2748" s="934">
        <v>1250</v>
      </c>
    </row>
    <row r="2749" spans="1:13" s="1016" customFormat="1" ht="25.15" hidden="1" customHeight="1">
      <c r="A2749" s="1086">
        <f t="shared" si="155"/>
        <v>0</v>
      </c>
      <c r="B2749" s="1087"/>
      <c r="C2749" s="2835"/>
      <c r="D2749" s="2755"/>
      <c r="E2749" s="2770"/>
      <c r="F2749" s="2771" t="s">
        <v>6132</v>
      </c>
      <c r="G2749" s="2750"/>
      <c r="H2749" s="2753"/>
      <c r="I2749" s="2664">
        <f t="shared" si="157"/>
        <v>0</v>
      </c>
      <c r="J2749" s="1069"/>
      <c r="K2749" s="1069"/>
      <c r="L2749" s="1069"/>
      <c r="M2749" s="934">
        <v>1250</v>
      </c>
    </row>
    <row r="2750" spans="1:13" s="1016" customFormat="1" ht="25.15" hidden="1" customHeight="1">
      <c r="A2750" s="1086">
        <f t="shared" si="155"/>
        <v>0</v>
      </c>
      <c r="B2750" s="1087"/>
      <c r="C2750" s="2835"/>
      <c r="D2750" s="2755"/>
      <c r="E2750" s="2770"/>
      <c r="F2750" s="2771" t="s">
        <v>6132</v>
      </c>
      <c r="G2750" s="2750"/>
      <c r="H2750" s="2753"/>
      <c r="I2750" s="2664">
        <f t="shared" si="157"/>
        <v>0</v>
      </c>
      <c r="J2750" s="1069"/>
      <c r="K2750" s="1069"/>
      <c r="L2750" s="1069"/>
      <c r="M2750" s="934">
        <v>1250</v>
      </c>
    </row>
    <row r="2751" spans="1:13" s="1016" customFormat="1" ht="25.15"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15" hidden="1" customHeight="1">
      <c r="A2752" s="1086">
        <f t="shared" si="155"/>
        <v>0</v>
      </c>
      <c r="B2752" s="1087" t="s">
        <v>6242</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15" hidden="1" customHeight="1">
      <c r="A2753" s="1086">
        <f t="shared" si="155"/>
        <v>0</v>
      </c>
      <c r="B2753" s="1087" t="s">
        <v>5484</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15" hidden="1" customHeight="1">
      <c r="A2754" s="1086">
        <f t="shared" si="155"/>
        <v>0</v>
      </c>
      <c r="B2754" s="1087" t="s">
        <v>585</v>
      </c>
      <c r="C2754" s="2835"/>
      <c r="D2754" s="2750"/>
      <c r="E2754" s="2751" t="s">
        <v>5478</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15" hidden="1" customHeight="1">
      <c r="A2755" s="1086">
        <f t="shared" si="155"/>
        <v>0</v>
      </c>
      <c r="B2755" s="1087" t="s">
        <v>654</v>
      </c>
      <c r="C2755" s="2835"/>
      <c r="D2755" s="2750"/>
      <c r="E2755" s="2751" t="s">
        <v>5470</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15" hidden="1" customHeight="1">
      <c r="A2756" s="1086">
        <f t="shared" si="155"/>
        <v>0</v>
      </c>
      <c r="B2756" s="1087" t="s">
        <v>1955</v>
      </c>
      <c r="C2756" s="2835"/>
      <c r="D2756" s="2750"/>
      <c r="E2756" s="2751" t="s">
        <v>5470</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15" hidden="1" customHeight="1">
      <c r="A2757" s="1086">
        <f t="shared" ref="A2757:A2820" si="159">IF(AND(M2757=$M$23,I2757&gt;0),1,0)</f>
        <v>0</v>
      </c>
      <c r="B2757" s="1087"/>
      <c r="C2757" s="2835"/>
      <c r="D2757" s="2765">
        <f>IF(H2757&gt;0,D2748+1,D2748)</f>
        <v>9</v>
      </c>
      <c r="E2757" s="2776"/>
      <c r="F2757" s="2767" t="s">
        <v>6243</v>
      </c>
      <c r="G2757" s="2768" t="s">
        <v>2385</v>
      </c>
      <c r="H2757" s="2769">
        <f>H2748</f>
        <v>1</v>
      </c>
      <c r="I2757" s="2664">
        <f t="shared" si="157"/>
        <v>1</v>
      </c>
      <c r="J2757" s="1069"/>
      <c r="K2757" s="1069"/>
      <c r="L2757" s="1069"/>
      <c r="M2757" s="934">
        <v>1250</v>
      </c>
    </row>
    <row r="2758" spans="1:13" s="1016" customFormat="1" ht="25.15" hidden="1" customHeight="1">
      <c r="A2758" s="1086">
        <f t="shared" si="159"/>
        <v>0</v>
      </c>
      <c r="B2758" s="1087"/>
      <c r="C2758" s="2835"/>
      <c r="D2758" s="2755"/>
      <c r="E2758" s="2770"/>
      <c r="F2758" s="2771" t="s">
        <v>6132</v>
      </c>
      <c r="G2758" s="2750"/>
      <c r="H2758" s="2753"/>
      <c r="I2758" s="2664">
        <f t="shared" si="157"/>
        <v>0</v>
      </c>
      <c r="J2758" s="1069"/>
      <c r="K2758" s="1069"/>
      <c r="L2758" s="1069"/>
      <c r="M2758" s="934">
        <v>1250</v>
      </c>
    </row>
    <row r="2759" spans="1:13" s="1016" customFormat="1" ht="25.15" hidden="1" customHeight="1">
      <c r="A2759" s="1086">
        <f t="shared" si="159"/>
        <v>0</v>
      </c>
      <c r="B2759" s="1087"/>
      <c r="C2759" s="2835"/>
      <c r="D2759" s="2755"/>
      <c r="E2759" s="2770"/>
      <c r="F2759" s="2771" t="s">
        <v>6132</v>
      </c>
      <c r="G2759" s="2750"/>
      <c r="H2759" s="2753"/>
      <c r="I2759" s="2664">
        <f t="shared" si="157"/>
        <v>0</v>
      </c>
      <c r="J2759" s="1069"/>
      <c r="K2759" s="1069"/>
      <c r="L2759" s="1069"/>
      <c r="M2759" s="934">
        <v>1250</v>
      </c>
    </row>
    <row r="2760" spans="1:13" s="1016" customFormat="1" ht="25.15" hidden="1" customHeight="1">
      <c r="A2760" s="1086">
        <f t="shared" si="159"/>
        <v>0</v>
      </c>
      <c r="B2760" s="1087" t="s">
        <v>5301</v>
      </c>
      <c r="C2760" s="2835"/>
      <c r="D2760" s="2750"/>
      <c r="E2760" s="2751" t="s">
        <v>5302</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15" hidden="1" customHeight="1">
      <c r="A2761" s="1086">
        <f t="shared" si="159"/>
        <v>0</v>
      </c>
      <c r="B2761" s="1087" t="s">
        <v>5363</v>
      </c>
      <c r="C2761" s="2835"/>
      <c r="D2761" s="2750"/>
      <c r="E2761" s="2751" t="s">
        <v>5364</v>
      </c>
      <c r="F2761" s="2752" t="str">
        <f t="shared" si="160"/>
        <v>Mặt bích nối cột bêt tông loại 200x200x5, 04 lỗ D16</v>
      </c>
      <c r="G2761" s="2751" t="s">
        <v>5366</v>
      </c>
      <c r="H2761" s="2753">
        <f>H2760/2</f>
        <v>9</v>
      </c>
      <c r="I2761" s="2664">
        <f t="shared" si="157"/>
        <v>9</v>
      </c>
      <c r="J2761" s="1069"/>
      <c r="K2761" s="1069"/>
      <c r="L2761" s="1069"/>
      <c r="M2761" s="934">
        <v>1250</v>
      </c>
    </row>
    <row r="2762" spans="1:13" s="1016" customFormat="1" ht="25.15" hidden="1" customHeight="1">
      <c r="A2762" s="1086">
        <f t="shared" si="159"/>
        <v>0</v>
      </c>
      <c r="B2762" s="1087" t="s">
        <v>5163</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15" hidden="1" customHeight="1">
      <c r="A2763" s="1086">
        <f t="shared" si="159"/>
        <v>0</v>
      </c>
      <c r="B2763" s="1087" t="s">
        <v>5165</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15"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15" hidden="1" customHeight="1">
      <c r="A2765" s="1086">
        <f t="shared" si="159"/>
        <v>0</v>
      </c>
      <c r="B2765" s="1087" t="s">
        <v>6244</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15"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15" hidden="1" customHeight="1">
      <c r="A2767" s="1086">
        <f t="shared" si="159"/>
        <v>0</v>
      </c>
      <c r="B2767" s="1087" t="s">
        <v>5057</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15" hidden="1" customHeight="1">
      <c r="A2768" s="1086">
        <f t="shared" si="159"/>
        <v>0</v>
      </c>
      <c r="B2768" s="1087" t="s">
        <v>6242</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15"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15" hidden="1" customHeight="1">
      <c r="A2770" s="1086">
        <f t="shared" si="159"/>
        <v>0</v>
      </c>
      <c r="B2770" s="1087" t="s">
        <v>5486</v>
      </c>
      <c r="C2770" s="2835"/>
      <c r="D2770" s="2750"/>
      <c r="E2770" s="2751" t="s">
        <v>5487</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15" hidden="1" customHeight="1">
      <c r="A2771" s="1086">
        <f t="shared" si="159"/>
        <v>0</v>
      </c>
      <c r="B2771" s="1087" t="s">
        <v>9</v>
      </c>
      <c r="C2771" s="2835"/>
      <c r="D2771" s="2750"/>
      <c r="E2771" s="2751" t="s">
        <v>5477</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15" hidden="1" customHeight="1">
      <c r="A2772" s="1086">
        <f t="shared" si="159"/>
        <v>0</v>
      </c>
      <c r="B2772" s="1087" t="s">
        <v>654</v>
      </c>
      <c r="C2772" s="2835"/>
      <c r="D2772" s="2750"/>
      <c r="E2772" s="2751" t="s">
        <v>5470</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15" hidden="1" customHeight="1">
      <c r="A2773" s="1086">
        <f t="shared" si="159"/>
        <v>0</v>
      </c>
      <c r="B2773" s="1087" t="s">
        <v>5479</v>
      </c>
      <c r="C2773" s="2835"/>
      <c r="D2773" s="2750"/>
      <c r="E2773" s="2751" t="s">
        <v>5480</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15" hidden="1" customHeight="1">
      <c r="A2774" s="1086">
        <f t="shared" si="159"/>
        <v>0</v>
      </c>
      <c r="B2774" s="1087"/>
      <c r="C2774" s="2835"/>
      <c r="D2774" s="2765">
        <f>IF(H2774&gt;0,D2757+1,D2757)</f>
        <v>10</v>
      </c>
      <c r="E2774" s="2776"/>
      <c r="F2774" s="2767" t="s">
        <v>6252</v>
      </c>
      <c r="G2774" s="2768" t="s">
        <v>2385</v>
      </c>
      <c r="H2774" s="2769">
        <v>1</v>
      </c>
      <c r="I2774" s="2664">
        <f t="shared" si="157"/>
        <v>1</v>
      </c>
      <c r="J2774" s="1069"/>
      <c r="K2774" s="1069"/>
      <c r="L2774" s="1069"/>
      <c r="M2774" s="934">
        <v>1250</v>
      </c>
    </row>
    <row r="2775" spans="1:13" s="1016" customFormat="1" ht="25.15" hidden="1" customHeight="1">
      <c r="A2775" s="1086">
        <f t="shared" si="159"/>
        <v>0</v>
      </c>
      <c r="B2775" s="1087"/>
      <c r="C2775" s="2835"/>
      <c r="D2775" s="2755"/>
      <c r="E2775" s="2770"/>
      <c r="F2775" s="2774" t="s">
        <v>6132</v>
      </c>
      <c r="G2775" s="2755"/>
      <c r="H2775" s="2756"/>
      <c r="I2775" s="2664">
        <f t="shared" si="157"/>
        <v>0</v>
      </c>
      <c r="J2775" s="1069"/>
      <c r="K2775" s="1069"/>
      <c r="L2775" s="1069"/>
      <c r="M2775" s="934">
        <v>1250</v>
      </c>
    </row>
    <row r="2776" spans="1:13" s="1016" customFormat="1" ht="25.15"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15" hidden="1" customHeight="1">
      <c r="A2777" s="1086">
        <f t="shared" si="159"/>
        <v>0</v>
      </c>
      <c r="B2777" s="1087" t="s">
        <v>6253</v>
      </c>
      <c r="C2777" s="2835"/>
      <c r="D2777" s="2750"/>
      <c r="E2777" s="2751">
        <v>0</v>
      </c>
      <c r="F2777" s="2773" t="s">
        <v>5052</v>
      </c>
      <c r="G2777" s="2777" t="s">
        <v>2439</v>
      </c>
      <c r="H2777" s="2753"/>
      <c r="I2777" s="2664">
        <f t="shared" si="157"/>
        <v>0</v>
      </c>
      <c r="J2777" s="1069"/>
      <c r="K2777" s="1069"/>
      <c r="L2777" s="1069"/>
      <c r="M2777" s="934">
        <v>1250</v>
      </c>
    </row>
    <row r="2778" spans="1:13" s="1016" customFormat="1" ht="25.15" hidden="1" customHeight="1">
      <c r="A2778" s="1086">
        <f t="shared" si="159"/>
        <v>0</v>
      </c>
      <c r="B2778" s="1087" t="s">
        <v>6254</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15"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15" hidden="1" customHeight="1">
      <c r="A2780" s="1086">
        <f t="shared" si="159"/>
        <v>0</v>
      </c>
      <c r="B2780" s="1087" t="s">
        <v>5733</v>
      </c>
      <c r="C2780" s="2835"/>
      <c r="D2780" s="2750"/>
      <c r="E2780" s="2751" t="s">
        <v>5723</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15"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15"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15"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15"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15"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15"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15"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15"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15"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15"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15"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15" hidden="1" customHeight="1">
      <c r="A2792" s="1086">
        <f t="shared" si="159"/>
        <v>0</v>
      </c>
      <c r="B2792" s="1087" t="s">
        <v>1915</v>
      </c>
      <c r="C2792" s="2835"/>
      <c r="D2792" s="2750"/>
      <c r="E2792" s="2751" t="s">
        <v>5654</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15" hidden="1" customHeight="1">
      <c r="A2793" s="1086">
        <f t="shared" si="159"/>
        <v>0</v>
      </c>
      <c r="B2793" s="1087" t="s">
        <v>6</v>
      </c>
      <c r="C2793" s="2835"/>
      <c r="D2793" s="2750"/>
      <c r="E2793" s="2751">
        <v>0</v>
      </c>
      <c r="F2793" s="2752" t="str">
        <f t="shared" si="161"/>
        <v>Keo silicon bít miệng ống</v>
      </c>
      <c r="G2793" s="2777" t="s">
        <v>5805</v>
      </c>
      <c r="H2793" s="2753">
        <f>H2774*2</f>
        <v>2</v>
      </c>
      <c r="I2793" s="2664">
        <f t="shared" si="157"/>
        <v>2</v>
      </c>
      <c r="J2793" s="1069"/>
      <c r="K2793" s="1069"/>
      <c r="L2793" s="1069"/>
      <c r="M2793" s="934">
        <v>1250</v>
      </c>
    </row>
    <row r="2794" spans="1:13" s="1016" customFormat="1" ht="25.15"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15" hidden="1" customHeight="1">
      <c r="A2795" s="1086">
        <f t="shared" si="159"/>
        <v>0</v>
      </c>
      <c r="B2795" s="1087" t="s">
        <v>1035</v>
      </c>
      <c r="C2795" s="2835"/>
      <c r="D2795" s="2750"/>
      <c r="E2795" s="2751">
        <v>0</v>
      </c>
      <c r="F2795" s="2773" t="s">
        <v>6388</v>
      </c>
      <c r="G2795" s="2777" t="s">
        <v>2248</v>
      </c>
      <c r="H2795" s="2778"/>
      <c r="I2795" s="2664">
        <f t="shared" si="157"/>
        <v>0</v>
      </c>
      <c r="J2795" s="1069"/>
      <c r="K2795" s="1069"/>
      <c r="L2795" s="1069"/>
      <c r="M2795" s="934">
        <v>1250</v>
      </c>
    </row>
    <row r="2796" spans="1:13" s="1016" customFormat="1" ht="25.15" hidden="1" customHeight="1">
      <c r="A2796" s="1086">
        <f t="shared" si="159"/>
        <v>0</v>
      </c>
      <c r="B2796" s="1087" t="s">
        <v>6254</v>
      </c>
      <c r="C2796" s="2835"/>
      <c r="D2796" s="2750"/>
      <c r="E2796" s="2751">
        <v>0</v>
      </c>
      <c r="F2796" s="2773" t="s">
        <v>2624</v>
      </c>
      <c r="G2796" s="2777" t="s">
        <v>2439</v>
      </c>
      <c r="H2796" s="2778"/>
      <c r="I2796" s="2664">
        <f t="shared" si="157"/>
        <v>0</v>
      </c>
      <c r="J2796" s="1069"/>
      <c r="K2796" s="1069"/>
      <c r="L2796" s="1069"/>
      <c r="M2796" s="934">
        <v>1250</v>
      </c>
    </row>
    <row r="2797" spans="1:13" s="1016" customFormat="1" ht="25.15" hidden="1" customHeight="1">
      <c r="A2797" s="1086">
        <f t="shared" si="159"/>
        <v>0</v>
      </c>
      <c r="B2797" s="1087"/>
      <c r="C2797" s="2835"/>
      <c r="D2797" s="1075"/>
      <c r="F2797" s="1076"/>
      <c r="H2797" s="1735"/>
      <c r="I2797" s="1869"/>
      <c r="M2797" s="934"/>
    </row>
    <row r="2798" spans="1:13" s="1016" customFormat="1" ht="25.15"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15"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15" hidden="1" customHeight="1">
      <c r="A2800" s="1086">
        <f t="shared" si="159"/>
        <v>0</v>
      </c>
      <c r="B2800" s="1227" t="s">
        <v>4506</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15"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15"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15"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15"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15"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15"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15"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15"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15"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15"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15"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15"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15"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15"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15"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15"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15"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15"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15"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15"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15"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15"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15"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15"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15"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15"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15"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15"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15"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15"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15"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15"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15"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15"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15"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15"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15"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15"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15"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15"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15"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15"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15"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15"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15"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15"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15"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15"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15"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15"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15"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15"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15"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15"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15"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15"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15"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15"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15"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15"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15"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15"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15"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15"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15"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15"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15"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15"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15"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15"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15"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15"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15"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15"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15"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15"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15"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15"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15"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15"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15"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15"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15"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15"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15"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15"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15"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15"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15"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15"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15"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15"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15"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15"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15"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15"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15"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15"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15"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15"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15"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15"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15"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15"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15"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15"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15"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15"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15"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15"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15"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15"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15"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15"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15"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15"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15"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15"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15"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15"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15"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15"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15"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15"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15"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15"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15"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15"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15"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15"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15"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15"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15"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15"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15"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15"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15"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15"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15"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15"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15"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15"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15"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15"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15"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15"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15"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15"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15"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15"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15"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15"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15"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15"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15"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15"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15"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15"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15"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15"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15"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15"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15"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15"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15"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15"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15"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15"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15"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15"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15"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15"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15"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15"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15"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15"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15"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15"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15"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15"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15"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15"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15"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15"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15" hidden="1" customHeight="1">
      <c r="A2985" s="1086">
        <f t="shared" si="169"/>
        <v>0</v>
      </c>
      <c r="B2985" s="1087"/>
      <c r="C2985" s="2835"/>
      <c r="D2985" s="2786"/>
      <c r="E2985" s="2786"/>
      <c r="F2985" s="2787" t="s">
        <v>3672</v>
      </c>
      <c r="G2985" s="2786"/>
      <c r="H2985" s="2813"/>
      <c r="I2985" s="2789"/>
      <c r="J2985" s="2788"/>
      <c r="K2985" s="2788"/>
      <c r="L2985" s="2790"/>
      <c r="M2985" s="934" t="s">
        <v>6435</v>
      </c>
    </row>
    <row r="2986" spans="1:13" s="1016" customFormat="1" ht="25.15" hidden="1" customHeight="1">
      <c r="A2986" s="1086">
        <f t="shared" si="169"/>
        <v>0</v>
      </c>
      <c r="B2986" s="2779" t="s">
        <v>1841</v>
      </c>
      <c r="C2986" s="2835">
        <v>1</v>
      </c>
      <c r="D2986" s="2791"/>
      <c r="E2986" s="2792" t="s">
        <v>5591</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6435</v>
      </c>
    </row>
    <row r="2987" spans="1:13" s="1016" customFormat="1" ht="25.15" hidden="1" customHeight="1">
      <c r="A2987" s="1086">
        <f t="shared" si="169"/>
        <v>0</v>
      </c>
      <c r="B2987" s="2780" t="s">
        <v>1652</v>
      </c>
      <c r="C2987" s="2835">
        <v>3</v>
      </c>
      <c r="D2987" s="2791"/>
      <c r="E2987" s="2792" t="s">
        <v>5597</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6435</v>
      </c>
    </row>
    <row r="2988" spans="1:13" s="1016" customFormat="1" ht="25.15" hidden="1" customHeight="1">
      <c r="A2988" s="1086">
        <f t="shared" si="169"/>
        <v>0</v>
      </c>
      <c r="B2988" s="2779" t="s">
        <v>4498</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6435</v>
      </c>
    </row>
    <row r="2989" spans="1:13" s="1016" customFormat="1" ht="25.15" hidden="1" customHeight="1">
      <c r="A2989" s="1086">
        <f t="shared" si="169"/>
        <v>0</v>
      </c>
      <c r="B2989" s="2781" t="s">
        <v>1373</v>
      </c>
      <c r="C2989" s="2835">
        <v>3</v>
      </c>
      <c r="D2989" s="2791"/>
      <c r="E2989" s="2792" t="s">
        <v>5601</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6435</v>
      </c>
    </row>
    <row r="2990" spans="1:13" s="1016" customFormat="1" ht="25.15" hidden="1" customHeight="1">
      <c r="A2990" s="1086">
        <f t="shared" si="169"/>
        <v>0</v>
      </c>
      <c r="B2990" s="2782" t="s">
        <v>1459</v>
      </c>
      <c r="C2990" s="2835">
        <v>1</v>
      </c>
      <c r="D2990" s="2791"/>
      <c r="E2990" s="2792" t="s">
        <v>5687</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6435</v>
      </c>
    </row>
    <row r="2991" spans="1:13" s="1016" customFormat="1" ht="25.15" hidden="1" customHeight="1">
      <c r="A2991" s="1086">
        <f t="shared" si="169"/>
        <v>0</v>
      </c>
      <c r="B2991" s="2782" t="s">
        <v>953</v>
      </c>
      <c r="C2991" s="2835">
        <v>0</v>
      </c>
      <c r="D2991" s="2791"/>
      <c r="E2991" s="2792" t="s">
        <v>5684</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6435</v>
      </c>
    </row>
    <row r="2992" spans="1:13" s="1016" customFormat="1" ht="25.15" hidden="1" customHeight="1">
      <c r="A2992" s="1086">
        <f t="shared" si="169"/>
        <v>0</v>
      </c>
      <c r="B2992" s="2782" t="s">
        <v>6436</v>
      </c>
      <c r="C2992" s="2835">
        <v>1</v>
      </c>
      <c r="D2992" s="2791"/>
      <c r="E2992" s="2792" t="s">
        <v>5620</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6435</v>
      </c>
    </row>
    <row r="2993" spans="1:13" s="1016" customFormat="1" ht="25.15"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6435</v>
      </c>
    </row>
    <row r="2994" spans="1:13" s="1016" customFormat="1" ht="25.15"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6435</v>
      </c>
    </row>
    <row r="2995" spans="1:13" s="1016" customFormat="1" ht="25.15"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6435</v>
      </c>
    </row>
    <row r="2996" spans="1:13" s="1016" customFormat="1" ht="25.15" hidden="1" customHeight="1">
      <c r="A2996" s="1086">
        <f t="shared" si="169"/>
        <v>0</v>
      </c>
      <c r="B2996" s="1087"/>
      <c r="C2996" s="2835"/>
      <c r="D2996" s="2787"/>
      <c r="E2996" s="2787"/>
      <c r="F2996" s="2787" t="s">
        <v>3673</v>
      </c>
      <c r="G2996" s="2787"/>
      <c r="H2996" s="2795"/>
      <c r="I2996" s="2789">
        <v>1</v>
      </c>
      <c r="J2996" s="2788"/>
      <c r="K2996" s="2788"/>
      <c r="L2996" s="2790"/>
      <c r="M2996" s="934" t="s">
        <v>6435</v>
      </c>
    </row>
    <row r="2997" spans="1:13" s="1016" customFormat="1" ht="25.15"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6435</v>
      </c>
    </row>
    <row r="2998" spans="1:13" s="1016" customFormat="1" ht="25.15"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6435</v>
      </c>
    </row>
    <row r="2999" spans="1:13" s="1016" customFormat="1" ht="25.15"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6435</v>
      </c>
    </row>
    <row r="3000" spans="1:13" s="1016" customFormat="1" ht="25.15"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6435</v>
      </c>
    </row>
    <row r="3001" spans="1:13" s="1016" customFormat="1" ht="25.15"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6435</v>
      </c>
    </row>
    <row r="3002" spans="1:13" s="1016" customFormat="1" ht="25.15"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6435</v>
      </c>
    </row>
    <row r="3003" spans="1:13" s="1016" customFormat="1" ht="25.15" hidden="1" customHeight="1">
      <c r="A3003" s="1086">
        <f t="shared" si="169"/>
        <v>0</v>
      </c>
      <c r="B3003" s="1087" t="s">
        <v>4407</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6435</v>
      </c>
    </row>
    <row r="3004" spans="1:13" s="1016" customFormat="1" ht="25.15"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6435</v>
      </c>
    </row>
    <row r="3005" spans="1:13" s="1016" customFormat="1" ht="25.15"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6435</v>
      </c>
    </row>
    <row r="3006" spans="1:13" s="1016" customFormat="1" ht="25.15"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6435</v>
      </c>
    </row>
    <row r="3007" spans="1:13" s="1067" customFormat="1" ht="25.15" hidden="1" customHeight="1">
      <c r="A3007" s="2694">
        <f t="shared" si="169"/>
        <v>0</v>
      </c>
      <c r="B3007" s="2695" t="s">
        <v>6453</v>
      </c>
      <c r="C3007" s="2870"/>
      <c r="D3007" s="2814"/>
      <c r="E3007" s="2815"/>
      <c r="F3007" s="2805" t="s">
        <v>3714</v>
      </c>
      <c r="G3007" s="2799" t="s">
        <v>2385</v>
      </c>
      <c r="H3007" s="2800">
        <v>1</v>
      </c>
      <c r="I3007" s="2801">
        <f>H3007</f>
        <v>1</v>
      </c>
      <c r="J3007" s="2812"/>
      <c r="K3007" s="2812"/>
      <c r="L3007" s="2810"/>
      <c r="M3007" s="1033" t="s">
        <v>6435</v>
      </c>
    </row>
    <row r="3008" spans="1:13" s="1016" customFormat="1" ht="25.15" hidden="1" customHeight="1">
      <c r="A3008" s="1086">
        <f t="shared" si="169"/>
        <v>0</v>
      </c>
      <c r="B3008" s="1087" t="s">
        <v>4828</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6435</v>
      </c>
    </row>
    <row r="3009" spans="1:13" s="1016" customFormat="1" ht="25.15" hidden="1" customHeight="1">
      <c r="A3009" s="1086">
        <f t="shared" si="169"/>
        <v>0</v>
      </c>
      <c r="B3009" s="1087" t="s">
        <v>4829</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6435</v>
      </c>
    </row>
    <row r="3010" spans="1:13" s="1016" customFormat="1" ht="25.15" hidden="1" customHeight="1">
      <c r="A3010" s="1086">
        <f t="shared" si="169"/>
        <v>0</v>
      </c>
      <c r="B3010" s="1087" t="s">
        <v>4830</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6435</v>
      </c>
    </row>
    <row r="3011" spans="1:13" s="1016" customFormat="1" ht="25.15" hidden="1" customHeight="1">
      <c r="A3011" s="1086">
        <f t="shared" si="169"/>
        <v>0</v>
      </c>
      <c r="B3011" s="1087" t="s">
        <v>4831</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6435</v>
      </c>
    </row>
    <row r="3012" spans="1:13" s="1016" customFormat="1" ht="25.15" hidden="1" customHeight="1">
      <c r="A3012" s="1086">
        <f t="shared" si="169"/>
        <v>0</v>
      </c>
      <c r="B3012" s="1087" t="s">
        <v>4832</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6435</v>
      </c>
    </row>
    <row r="3013" spans="1:13" s="1016" customFormat="1" ht="25.15" hidden="1" customHeight="1">
      <c r="A3013" s="1086">
        <f t="shared" ref="A3013:A3076" si="181">IF(AND(M3013=$M$23,I3013&gt;0),1,0)</f>
        <v>0</v>
      </c>
      <c r="B3013" s="1087" t="s">
        <v>4833</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6435</v>
      </c>
    </row>
    <row r="3014" spans="1:13" s="1016" customFormat="1" ht="25.15" hidden="1" customHeight="1">
      <c r="A3014" s="1086">
        <f t="shared" si="181"/>
        <v>0</v>
      </c>
      <c r="B3014" s="1087" t="s">
        <v>4834</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6435</v>
      </c>
    </row>
    <row r="3015" spans="1:13" s="1016" customFormat="1" ht="25.15"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6435</v>
      </c>
    </row>
    <row r="3016" spans="1:13" s="1016" customFormat="1" ht="25.15"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6435</v>
      </c>
    </row>
    <row r="3017" spans="1:13" s="1016" customFormat="1" ht="25.15" hidden="1" customHeight="1">
      <c r="A3017" s="1086">
        <f t="shared" si="181"/>
        <v>0</v>
      </c>
      <c r="B3017" s="1087" t="s">
        <v>4836</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6435</v>
      </c>
    </row>
    <row r="3018" spans="1:13" s="1016" customFormat="1" ht="25.15" hidden="1" customHeight="1">
      <c r="A3018" s="1086">
        <f t="shared" si="181"/>
        <v>0</v>
      </c>
      <c r="B3018" s="1087" t="s">
        <v>4835</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6435</v>
      </c>
    </row>
    <row r="3019" spans="1:13" s="1016" customFormat="1" ht="25.15" hidden="1" customHeight="1">
      <c r="A3019" s="1086">
        <f t="shared" si="181"/>
        <v>0</v>
      </c>
      <c r="B3019" s="1087" t="s">
        <v>4837</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6435</v>
      </c>
    </row>
    <row r="3020" spans="1:13" s="1016" customFormat="1" ht="25.15"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6435</v>
      </c>
    </row>
    <row r="3021" spans="1:13" s="1016" customFormat="1" ht="25.15" hidden="1" customHeight="1">
      <c r="A3021" s="1086">
        <f t="shared" si="181"/>
        <v>0</v>
      </c>
      <c r="B3021" s="1087" t="s">
        <v>6413</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6435</v>
      </c>
    </row>
    <row r="3022" spans="1:13" s="1016" customFormat="1" ht="25.15" hidden="1" customHeight="1">
      <c r="A3022" s="1086">
        <f t="shared" si="181"/>
        <v>0</v>
      </c>
      <c r="B3022" s="1087" t="s">
        <v>4327</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6435</v>
      </c>
    </row>
    <row r="3023" spans="1:13" s="1016" customFormat="1" ht="25.15"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6435</v>
      </c>
    </row>
    <row r="3024" spans="1:13" s="1016" customFormat="1" ht="25.15"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6435</v>
      </c>
    </row>
    <row r="3025" spans="1:13" s="1016" customFormat="1" ht="25.15"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6435</v>
      </c>
    </row>
    <row r="3026" spans="1:13" s="1016" customFormat="1" ht="25.15"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6435</v>
      </c>
    </row>
    <row r="3027" spans="1:13" s="1016" customFormat="1" ht="25.15"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6435</v>
      </c>
    </row>
    <row r="3028" spans="1:13" s="1016" customFormat="1" ht="25.15" hidden="1" customHeight="1">
      <c r="A3028" s="1086">
        <f t="shared" si="181"/>
        <v>0</v>
      </c>
      <c r="B3028" s="1087" t="s">
        <v>6415</v>
      </c>
      <c r="C3028" s="2835"/>
      <c r="D3028" s="2796">
        <f>IF(H3028&gt;0,D3020+1,D3020)</f>
        <v>1</v>
      </c>
      <c r="E3028" s="2797"/>
      <c r="F3028" s="2798" t="s">
        <v>6276</v>
      </c>
      <c r="G3028" s="2799" t="s">
        <v>2385</v>
      </c>
      <c r="H3028" s="2800">
        <v>1</v>
      </c>
      <c r="I3028" s="2801">
        <f t="shared" ref="I3028" si="183">H3028</f>
        <v>1</v>
      </c>
      <c r="J3028" s="2811"/>
      <c r="K3028" s="2811"/>
      <c r="L3028" s="2790"/>
      <c r="M3028" s="934" t="s">
        <v>6435</v>
      </c>
    </row>
    <row r="3029" spans="1:13" s="1016" customFormat="1" ht="25.15" hidden="1" customHeight="1">
      <c r="A3029" s="1086">
        <f t="shared" si="181"/>
        <v>0</v>
      </c>
      <c r="B3029" s="1087" t="s">
        <v>6406</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6435</v>
      </c>
    </row>
    <row r="3030" spans="1:13" s="1016" customFormat="1" ht="25.15" hidden="1" customHeight="1">
      <c r="A3030" s="1086">
        <f t="shared" si="181"/>
        <v>0</v>
      </c>
      <c r="B3030" s="1087" t="s">
        <v>6407</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6435</v>
      </c>
    </row>
    <row r="3031" spans="1:13" s="1016" customFormat="1" ht="25.15"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6435</v>
      </c>
    </row>
    <row r="3032" spans="1:13" s="1016" customFormat="1" ht="25.15"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6435</v>
      </c>
    </row>
    <row r="3033" spans="1:13" s="1016" customFormat="1" ht="25.15"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6435</v>
      </c>
    </row>
    <row r="3034" spans="1:13" s="1016" customFormat="1" ht="25.15"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6435</v>
      </c>
    </row>
    <row r="3035" spans="1:13" s="1016" customFormat="1" ht="25.15" hidden="1" customHeight="1">
      <c r="A3035" s="1086">
        <f t="shared" si="181"/>
        <v>0</v>
      </c>
      <c r="B3035" s="1087" t="s">
        <v>1440</v>
      </c>
      <c r="C3035" s="2835">
        <v>1</v>
      </c>
      <c r="D3035" s="2806"/>
      <c r="E3035" s="2807" t="s">
        <v>5420</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6435</v>
      </c>
    </row>
    <row r="3036" spans="1:13" s="1016" customFormat="1" ht="25.15" hidden="1" customHeight="1">
      <c r="A3036" s="1086">
        <f t="shared" si="181"/>
        <v>0</v>
      </c>
      <c r="B3036" s="1087" t="s">
        <v>6437</v>
      </c>
      <c r="C3036" s="2835"/>
      <c r="D3036" s="2796"/>
      <c r="E3036" s="2797"/>
      <c r="F3036" s="2798" t="str">
        <f t="shared" si="184"/>
        <v>Tiếp địa trạm biến áp</v>
      </c>
      <c r="G3036" s="2799" t="str">
        <f t="shared" si="185"/>
        <v>Bộ</v>
      </c>
      <c r="H3036" s="2800">
        <v>1</v>
      </c>
      <c r="I3036" s="2801">
        <v>1</v>
      </c>
      <c r="J3036" s="2811"/>
      <c r="K3036" s="2811"/>
      <c r="L3036" s="2790"/>
      <c r="M3036" s="934" t="s">
        <v>6435</v>
      </c>
    </row>
    <row r="3037" spans="1:13" s="1016" customFormat="1" ht="25.15"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6435</v>
      </c>
    </row>
    <row r="3038" spans="1:13" s="1016" customFormat="1" ht="25.15"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6435</v>
      </c>
    </row>
    <row r="3039" spans="1:13" s="1016" customFormat="1" ht="25.15"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6435</v>
      </c>
    </row>
    <row r="3040" spans="1:13" s="1016" customFormat="1" ht="25.15"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6435</v>
      </c>
    </row>
    <row r="3041" spans="1:13" s="1016" customFormat="1" ht="25.15"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6435</v>
      </c>
    </row>
    <row r="3042" spans="1:13" s="1016" customFormat="1" ht="25.15"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6435</v>
      </c>
    </row>
    <row r="3043" spans="1:13" s="1016" customFormat="1" ht="25.15"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6435</v>
      </c>
    </row>
    <row r="3044" spans="1:13" s="1016" customFormat="1" ht="25.15"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6435</v>
      </c>
    </row>
    <row r="3045" spans="1:13" s="1016" customFormat="1" ht="25.15" hidden="1" customHeight="1">
      <c r="A3045" s="1086">
        <f t="shared" si="181"/>
        <v>0</v>
      </c>
      <c r="B3045" s="1087" t="s">
        <v>794</v>
      </c>
      <c r="C3045" s="2835"/>
      <c r="D3045" s="2809"/>
      <c r="E3045" s="2807" t="s">
        <v>5335</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6435</v>
      </c>
    </row>
    <row r="3046" spans="1:13" s="1016" customFormat="1" ht="25.15" hidden="1" customHeight="1">
      <c r="A3046" s="1086">
        <f t="shared" si="181"/>
        <v>0</v>
      </c>
      <c r="B3046" s="1087" t="s">
        <v>798</v>
      </c>
      <c r="C3046" s="2835"/>
      <c r="D3046" s="2809"/>
      <c r="E3046" s="2807" t="s">
        <v>5324</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6435</v>
      </c>
    </row>
    <row r="3047" spans="1:13" s="1016" customFormat="1" ht="25.15" hidden="1" customHeight="1">
      <c r="A3047" s="1086">
        <f t="shared" si="181"/>
        <v>0</v>
      </c>
      <c r="B3047" s="1087" t="s">
        <v>902</v>
      </c>
      <c r="C3047" s="2873">
        <f>C3038</f>
        <v>10</v>
      </c>
      <c r="D3047" s="2809"/>
      <c r="E3047" s="2807" t="s">
        <v>5350</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6435</v>
      </c>
    </row>
    <row r="3048" spans="1:13" s="1016" customFormat="1" ht="25.15" hidden="1" customHeight="1">
      <c r="A3048" s="1086">
        <f t="shared" si="181"/>
        <v>0</v>
      </c>
      <c r="B3048" s="1087" t="s">
        <v>6277</v>
      </c>
      <c r="C3048" s="2872">
        <v>54</v>
      </c>
      <c r="D3048" s="2806"/>
      <c r="E3048" s="2807" t="s">
        <v>5344</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6435</v>
      </c>
    </row>
    <row r="3049" spans="1:13" s="1016" customFormat="1" ht="25.15" hidden="1" customHeight="1">
      <c r="A3049" s="1086">
        <f t="shared" si="181"/>
        <v>0</v>
      </c>
      <c r="B3049" s="1087" t="s">
        <v>6439</v>
      </c>
      <c r="C3049" s="2835"/>
      <c r="D3049" s="2796"/>
      <c r="E3049" s="2797"/>
      <c r="F3049" s="2798" t="str">
        <f t="shared" si="184"/>
        <v>Móng bê tông M200 nền tủ bù</v>
      </c>
      <c r="G3049" s="2799" t="str">
        <f t="shared" si="185"/>
        <v>Móng</v>
      </c>
      <c r="H3049" s="2800">
        <v>1</v>
      </c>
      <c r="I3049" s="2801">
        <v>1</v>
      </c>
      <c r="J3049" s="2811"/>
      <c r="K3049" s="2811"/>
      <c r="L3049" s="2790"/>
      <c r="M3049" s="934" t="s">
        <v>6435</v>
      </c>
    </row>
    <row r="3050" spans="1:13" s="1016" customFormat="1" ht="25.15"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6435</v>
      </c>
    </row>
    <row r="3051" spans="1:13" s="1016" customFormat="1" ht="25.15" hidden="1" customHeight="1">
      <c r="A3051" s="1086">
        <f t="shared" si="181"/>
        <v>0</v>
      </c>
      <c r="B3051" s="1087" t="s">
        <v>4407</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6435</v>
      </c>
    </row>
    <row r="3052" spans="1:13" s="1016" customFormat="1" ht="25.15"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6435</v>
      </c>
    </row>
    <row r="3053" spans="1:13" s="1016" customFormat="1" ht="25.15"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6435</v>
      </c>
    </row>
    <row r="3054" spans="1:13" s="1016" customFormat="1" ht="25.15"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6435</v>
      </c>
    </row>
    <row r="3055" spans="1:13" s="1016" customFormat="1" ht="25.15" hidden="1" customHeight="1">
      <c r="A3055" s="1086">
        <f t="shared" si="181"/>
        <v>0</v>
      </c>
      <c r="B3055" s="1087" t="s">
        <v>6441</v>
      </c>
      <c r="C3055" s="2835"/>
      <c r="D3055" s="2796"/>
      <c r="E3055" s="2797"/>
      <c r="F3055" s="2798" t="str">
        <f t="shared" si="184"/>
        <v>Tủ MCCB trạm 3 pha</v>
      </c>
      <c r="G3055" s="2799" t="str">
        <f t="shared" si="185"/>
        <v>bộ</v>
      </c>
      <c r="H3055" s="2800">
        <v>1</v>
      </c>
      <c r="I3055" s="2801">
        <v>1</v>
      </c>
      <c r="J3055" s="2811"/>
      <c r="K3055" s="2811"/>
      <c r="L3055" s="2790"/>
      <c r="M3055" s="934" t="s">
        <v>6435</v>
      </c>
    </row>
    <row r="3056" spans="1:13" s="1016" customFormat="1" ht="25.15"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6435</v>
      </c>
    </row>
    <row r="3057" spans="1:13" s="1016" customFormat="1" ht="25.15" hidden="1" customHeight="1">
      <c r="A3057" s="1086">
        <f t="shared" si="181"/>
        <v>0</v>
      </c>
      <c r="B3057" s="2785" t="s">
        <v>4842</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6435</v>
      </c>
    </row>
    <row r="3058" spans="1:13" s="1016" customFormat="1" ht="25.15"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6435</v>
      </c>
    </row>
    <row r="3059" spans="1:13" s="1016" customFormat="1" ht="25.15"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6435</v>
      </c>
    </row>
    <row r="3060" spans="1:13" s="1016" customFormat="1" ht="25.15" hidden="1" customHeight="1">
      <c r="A3060" s="1086">
        <f t="shared" si="181"/>
        <v>0</v>
      </c>
      <c r="B3060" s="1087" t="s">
        <v>6443</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6435</v>
      </c>
    </row>
    <row r="3061" spans="1:13" s="1016" customFormat="1" ht="25.15" hidden="1" customHeight="1">
      <c r="A3061" s="1086">
        <f t="shared" si="181"/>
        <v>0</v>
      </c>
      <c r="B3061" s="1087" t="s">
        <v>4448</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6435</v>
      </c>
    </row>
    <row r="3062" spans="1:13" s="1016" customFormat="1" ht="25.15" hidden="1" customHeight="1">
      <c r="A3062" s="1086">
        <f t="shared" si="181"/>
        <v>0</v>
      </c>
      <c r="B3062" s="1087" t="s">
        <v>6444</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6435</v>
      </c>
    </row>
    <row r="3063" spans="1:13" s="1016" customFormat="1" ht="25.15" hidden="1" customHeight="1">
      <c r="A3063" s="1086">
        <f t="shared" si="181"/>
        <v>0</v>
      </c>
      <c r="B3063" s="1087" t="s">
        <v>6445</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6435</v>
      </c>
    </row>
    <row r="3064" spans="1:13" s="1016" customFormat="1" ht="25.15" hidden="1" customHeight="1">
      <c r="A3064" s="1086">
        <f t="shared" si="181"/>
        <v>0</v>
      </c>
      <c r="B3064" s="1087" t="s">
        <v>4559</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6435</v>
      </c>
    </row>
    <row r="3065" spans="1:13" s="1016" customFormat="1" ht="25.15" hidden="1" customHeight="1">
      <c r="A3065" s="1086">
        <f t="shared" si="181"/>
        <v>0</v>
      </c>
      <c r="B3065" s="1087" t="s">
        <v>4560</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6435</v>
      </c>
    </row>
    <row r="3066" spans="1:13" s="1016" customFormat="1" ht="25.15"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6435</v>
      </c>
    </row>
    <row r="3067" spans="1:13" s="1016" customFormat="1" ht="25.15"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6435</v>
      </c>
    </row>
    <row r="3068" spans="1:13" s="1016" customFormat="1" ht="25.15"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6435</v>
      </c>
    </row>
    <row r="3069" spans="1:13" s="1016" customFormat="1" ht="25.15" hidden="1" customHeight="1">
      <c r="A3069" s="1086">
        <f t="shared" si="181"/>
        <v>0</v>
      </c>
      <c r="B3069" s="1087" t="s">
        <v>4461</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6435</v>
      </c>
    </row>
    <row r="3070" spans="1:13" s="1016" customFormat="1" ht="25.15" hidden="1" customHeight="1">
      <c r="A3070" s="1086">
        <f t="shared" si="181"/>
        <v>0</v>
      </c>
      <c r="B3070" s="1087" t="s">
        <v>5143</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6435</v>
      </c>
    </row>
    <row r="3071" spans="1:13" s="1016" customFormat="1" ht="25.15"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6435</v>
      </c>
    </row>
    <row r="3072" spans="1:13" s="1016" customFormat="1" ht="25.15"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6435</v>
      </c>
    </row>
    <row r="3073" spans="1:13" s="1016" customFormat="1" ht="25.15" hidden="1" customHeight="1">
      <c r="A3073" s="1086">
        <f t="shared" si="181"/>
        <v>0</v>
      </c>
      <c r="B3073" s="1087" t="s">
        <v>6447</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6435</v>
      </c>
    </row>
    <row r="3074" spans="1:13" s="1016" customFormat="1" ht="25.15"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6435</v>
      </c>
    </row>
    <row r="3075" spans="1:13" s="1016" customFormat="1" ht="25.15"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6435</v>
      </c>
    </row>
    <row r="3076" spans="1:13" s="1016" customFormat="1" ht="25.15"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6435</v>
      </c>
    </row>
    <row r="3077" spans="1:13" s="1016" customFormat="1" ht="25.15"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6435</v>
      </c>
    </row>
    <row r="3078" spans="1:13" s="1016" customFormat="1" ht="25.15"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6435</v>
      </c>
    </row>
    <row r="3079" spans="1:13" s="1016" customFormat="1" ht="25.15"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6435</v>
      </c>
    </row>
    <row r="3080" spans="1:13" s="1016" customFormat="1" ht="25.15"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6435</v>
      </c>
    </row>
    <row r="3081" spans="1:13" s="1016" customFormat="1" ht="25.15"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6435</v>
      </c>
    </row>
    <row r="3082" spans="1:13" s="1016" customFormat="1" ht="25.15" hidden="1" customHeight="1">
      <c r="A3082" s="1086">
        <f t="shared" si="198"/>
        <v>0</v>
      </c>
      <c r="B3082" s="1087" t="s">
        <v>6448</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6435</v>
      </c>
    </row>
    <row r="3083" spans="1:13" s="1016" customFormat="1" ht="25.15"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6435</v>
      </c>
    </row>
    <row r="3084" spans="1:13" s="1016" customFormat="1" ht="25.15" hidden="1" customHeight="1">
      <c r="A3084" s="1086">
        <f t="shared" si="198"/>
        <v>0</v>
      </c>
      <c r="B3084" s="1087" t="s">
        <v>6449</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6435</v>
      </c>
    </row>
    <row r="3085" spans="1:13" s="1016" customFormat="1" ht="25.15"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6435</v>
      </c>
    </row>
    <row r="3086" spans="1:13" s="1016" customFormat="1" ht="25.15"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6435</v>
      </c>
    </row>
    <row r="3087" spans="1:13" s="1016" customFormat="1" ht="25.15" hidden="1" customHeight="1">
      <c r="A3087" s="1086">
        <f t="shared" si="198"/>
        <v>0</v>
      </c>
      <c r="B3087" s="1087" t="s">
        <v>6449</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6435</v>
      </c>
    </row>
    <row r="3088" spans="1:13" s="1016" customFormat="1" ht="25.15"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6435</v>
      </c>
    </row>
    <row r="3089" spans="1:13" s="1016" customFormat="1" ht="25.15"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6435</v>
      </c>
    </row>
    <row r="3090" spans="1:13" s="1016" customFormat="1" ht="25.15"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6435</v>
      </c>
    </row>
    <row r="3091" spans="1:13" s="1016" customFormat="1" ht="25.15" hidden="1" customHeight="1">
      <c r="A3091" s="1086">
        <f t="shared" si="198"/>
        <v>0</v>
      </c>
      <c r="B3091" s="1087" t="s">
        <v>4765</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6435</v>
      </c>
    </row>
    <row r="3092" spans="1:13" s="1016" customFormat="1" ht="25.15"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6435</v>
      </c>
    </row>
    <row r="3093" spans="1:13" s="1016" customFormat="1" ht="25.15" hidden="1" customHeight="1">
      <c r="A3093" s="1086">
        <f t="shared" si="198"/>
        <v>0</v>
      </c>
      <c r="B3093" s="1087" t="s">
        <v>6450</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6435</v>
      </c>
    </row>
    <row r="3094" spans="1:13" s="1016" customFormat="1" ht="25.15"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6435</v>
      </c>
    </row>
    <row r="3095" spans="1:13" s="1016" customFormat="1" ht="25.15" hidden="1" customHeight="1">
      <c r="A3095" s="1086">
        <f t="shared" si="198"/>
        <v>0</v>
      </c>
      <c r="B3095" s="1087" t="s">
        <v>6451</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6435</v>
      </c>
    </row>
    <row r="3096" spans="1:13" s="1016" customFormat="1" ht="25.15"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6435</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2434" activePane="bottomLeft" state="frozen"/>
      <selection activeCell="D399" sqref="D399"/>
      <selection pane="bottomLeft" activeCell="F2447" sqref="F2447"/>
    </sheetView>
  </sheetViews>
  <sheetFormatPr defaultColWidth="8.88671875" defaultRowHeight="12.75" outlineLevelRow="1" outlineLevelCol="1"/>
  <cols>
    <col min="1" max="1" width="8.21875" style="1448" customWidth="1"/>
    <col min="2" max="2" width="9.44140625" style="1447" customWidth="1"/>
    <col min="3" max="3" width="4.5546875" style="1700" customWidth="1"/>
    <col min="4" max="4" width="8.33203125" style="1404" customWidth="1"/>
    <col min="5" max="5" width="9.77734375" style="58" customWidth="1"/>
    <col min="6" max="6" width="48.33203125" style="955" customWidth="1"/>
    <col min="7" max="7" width="11.21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88671875" style="53" customWidth="1"/>
    <col min="20" max="20" width="11.44140625" style="1861" customWidth="1"/>
    <col min="21" max="16384" width="8.8867187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10" t="s">
        <v>4809</v>
      </c>
      <c r="F6" s="3210"/>
      <c r="G6" s="3210"/>
      <c r="H6" s="3210"/>
      <c r="I6" s="3210"/>
      <c r="J6" s="3210"/>
      <c r="K6" s="3210"/>
      <c r="L6" s="3210"/>
      <c r="M6" s="3210"/>
      <c r="N6" s="3210"/>
      <c r="O6" s="3210"/>
      <c r="P6" s="3210"/>
      <c r="Q6" s="3210"/>
      <c r="R6" s="3210"/>
      <c r="S6" s="3210"/>
    </row>
    <row r="7" spans="1:20" ht="21.75" customHeight="1">
      <c r="D7" s="1406"/>
      <c r="E7" s="3211" t="str">
        <f>CT_tram!D20</f>
        <v>Công trình: Xây Dựng mới TBA 3P-1000kVA Công ty TNHH MTV Kỹ thuật điện Việt Anh</v>
      </c>
      <c r="F7" s="3211"/>
      <c r="G7" s="3211"/>
      <c r="H7" s="3211"/>
      <c r="I7" s="3211"/>
      <c r="J7" s="3211"/>
      <c r="K7" s="3211"/>
      <c r="L7" s="3211"/>
      <c r="M7" s="3211"/>
      <c r="N7" s="3211"/>
      <c r="O7" s="3211"/>
      <c r="P7" s="3211"/>
      <c r="Q7" s="3211"/>
      <c r="R7" s="3211"/>
      <c r="S7" s="3211"/>
    </row>
    <row r="8" spans="1:20" ht="18.75" customHeight="1">
      <c r="D8" s="1405"/>
      <c r="E8" s="3212" t="str">
        <f>CT_tram!D21</f>
        <v>Địa điểm: Xã Xuân Hòa - Huyện Xuân Lộc - Tỉnh Đồng Nai</v>
      </c>
      <c r="F8" s="3212"/>
      <c r="G8" s="3212"/>
      <c r="H8" s="3212"/>
      <c r="I8" s="3212"/>
      <c r="J8" s="3212"/>
      <c r="K8" s="3212"/>
      <c r="L8" s="3212"/>
      <c r="M8" s="3212"/>
      <c r="N8" s="3212"/>
      <c r="O8" s="3212"/>
      <c r="P8" s="3212"/>
      <c r="Q8" s="3212"/>
      <c r="R8" s="3212"/>
      <c r="S8" s="3212"/>
    </row>
    <row r="9" spans="1:20" ht="21" customHeight="1">
      <c r="B9" s="1449" t="s">
        <v>2284</v>
      </c>
      <c r="C9" s="973" t="s">
        <v>512</v>
      </c>
      <c r="D9" s="1407" t="s">
        <v>4286</v>
      </c>
      <c r="E9" s="3208" t="s">
        <v>1708</v>
      </c>
      <c r="F9" s="3208" t="s">
        <v>2281</v>
      </c>
      <c r="G9" s="3208" t="s">
        <v>2593</v>
      </c>
      <c r="H9" s="1779" t="s">
        <v>4285</v>
      </c>
      <c r="I9" s="1681"/>
      <c r="J9" s="1681"/>
      <c r="K9" s="1681"/>
      <c r="L9" s="1681"/>
      <c r="M9" s="1681"/>
      <c r="N9" s="1681"/>
      <c r="O9" s="1681"/>
      <c r="P9" s="895"/>
      <c r="Q9" s="2675"/>
      <c r="R9" s="896"/>
      <c r="S9" s="3206" t="s">
        <v>2599</v>
      </c>
    </row>
    <row r="10" spans="1:20" ht="23.25" customHeight="1">
      <c r="B10" s="1450"/>
      <c r="C10" s="973" t="s">
        <v>512</v>
      </c>
      <c r="D10" s="1408" t="s">
        <v>4287</v>
      </c>
      <c r="E10" s="3209"/>
      <c r="F10" s="3209"/>
      <c r="G10" s="3209"/>
      <c r="H10" s="977" t="s">
        <v>4284</v>
      </c>
      <c r="I10" s="1682" t="s">
        <v>2322</v>
      </c>
      <c r="J10" s="1682" t="s">
        <v>2323</v>
      </c>
      <c r="K10" s="1682" t="s">
        <v>2324</v>
      </c>
      <c r="L10" s="1682" t="s">
        <v>190</v>
      </c>
      <c r="M10" s="1682" t="s">
        <v>191</v>
      </c>
      <c r="N10" s="1682" t="s">
        <v>2325</v>
      </c>
      <c r="O10" s="1682" t="s">
        <v>162</v>
      </c>
      <c r="P10" s="977" t="s">
        <v>4281</v>
      </c>
      <c r="Q10" s="977" t="s">
        <v>4465</v>
      </c>
      <c r="R10" s="1002" t="s">
        <v>4466</v>
      </c>
      <c r="S10" s="3207"/>
      <c r="T10" s="1863" t="s">
        <v>4171</v>
      </c>
    </row>
    <row r="11" spans="1:20" ht="22.15"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15"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15"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15"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15"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15"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15"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15"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15"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15"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15"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15"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15"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15"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15"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15"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15"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15"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15"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15"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15"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15"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15"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15"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15"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15"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15"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15"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15"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15"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15"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15"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15"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15"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15"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15"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15"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15"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15"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15"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15"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15"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15"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15"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15"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15"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15"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15"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15"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15"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15"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15"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15"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15"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15"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15"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15"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15"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15"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15"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15"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15"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15"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15"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15"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15"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15" hidden="1" customHeight="1">
      <c r="A77" s="1448">
        <f>COUNTIF($C$12:C77,"x")</f>
        <v>1</v>
      </c>
      <c r="B77" s="1454" t="s">
        <v>4413</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15"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15"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15"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15"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15"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15"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15"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15"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15"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15"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15"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15"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15"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15"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15" hidden="1" customHeight="1">
      <c r="A92" s="1448">
        <f>COUNTIF($C$12:C92,"x")</f>
        <v>1</v>
      </c>
      <c r="B92" s="1452" t="s">
        <v>4128</v>
      </c>
      <c r="C92" s="59" t="str">
        <f t="shared" si="13"/>
        <v xml:space="preserve"> </v>
      </c>
      <c r="D92" s="1412"/>
      <c r="E92" s="981"/>
      <c r="F92" s="1276" t="s">
        <v>4549</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15"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15" hidden="1" customHeight="1">
      <c r="A94" s="1448">
        <f>COUNTIF($C$12:C94,"x")</f>
        <v>1</v>
      </c>
      <c r="B94" s="1454" t="s">
        <v>4413</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15"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15"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15"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15"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15"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15"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15"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15"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15"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15"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15"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15"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15"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15"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15"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15"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15"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15"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15"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15"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15"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15"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15"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15"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15"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15"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15"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15"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15"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15"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15"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15"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15"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15"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15"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15"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15"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15"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15"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15"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15"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15"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15"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15"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15"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15"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15"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15"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15"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15"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15"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15"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15"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15"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15"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15"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15"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15"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15"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15"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15"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15"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15"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15"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15"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15"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15"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15"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15"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15"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15"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15"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15"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15"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15"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15"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15"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15"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15"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15"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15"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15" hidden="1" customHeight="1">
      <c r="A176" s="1448">
        <f>COUNTIF($C$12:C176,"x")</f>
        <v>1</v>
      </c>
      <c r="B176" s="1454" t="s">
        <v>4413</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15"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15"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15"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15"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15"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15"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15"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15"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15"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15"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15"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15"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15"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15"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15"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15"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15"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15"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15"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15"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15"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15"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15"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15"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15"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15"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15"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15"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15"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15"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15"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15"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15"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15"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15"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15"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15"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15"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15"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15"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15"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15"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15"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15"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15"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15"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15"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15"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15"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15"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15"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15"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15"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15"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15"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15"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15"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15"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15"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15"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15"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15"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15"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15"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15"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15"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15"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15"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15"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15"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15"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15"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15"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15"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15"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15"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15"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15"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15"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15"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15"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15"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15"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15"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15"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15"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15"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15"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15"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15"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15"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15"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15"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15"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15"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15"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15"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15"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15"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15"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15"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15"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15"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15"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15"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15"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15"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15"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15"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15"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15"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15"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15"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15"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15"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15"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15"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15"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15"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15"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15"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15"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15"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15"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15"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15"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15"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15"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15"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15"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15"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15"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15"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15"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15"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15"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15"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15"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15"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15"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15"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15"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15"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15"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15"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15"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15"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15"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15"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15"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15"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15"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15"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15"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15"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15"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15"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15"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15"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15"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15"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15"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15"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15"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15" hidden="1" customHeight="1">
      <c r="A341" s="1448">
        <f>COUNTIF($C$12:C341,"x")</f>
        <v>4</v>
      </c>
      <c r="B341" s="1454" t="s">
        <v>4413</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15"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15"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15"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15"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15"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15"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15"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15"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15"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15"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15"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15"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15"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15"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15"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15"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15" customHeight="1">
      <c r="A358" s="1448">
        <f>COUNTIF($C$12:C358,"x")</f>
        <v>7</v>
      </c>
      <c r="B358" s="1454" t="s">
        <v>4407</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15"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15" hidden="1" customHeight="1">
      <c r="A360" s="1448">
        <f>COUNTIF($C$12:C360,"x")</f>
        <v>8</v>
      </c>
      <c r="B360" s="1453" t="s">
        <v>4922</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15"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15" hidden="1" customHeight="1">
      <c r="A362" s="1448">
        <f>COUNTIF($C$12:C362,"x")</f>
        <v>8</v>
      </c>
      <c r="B362" s="1453" t="s">
        <v>4631</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15" hidden="1" customHeight="1">
      <c r="A363" s="1448">
        <f>COUNTIF($C$12:C363,"x")</f>
        <v>8</v>
      </c>
      <c r="B363" s="1453" t="s">
        <v>4633</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15" hidden="1" customHeight="1">
      <c r="A364" s="1448">
        <f>COUNTIF($C$12:C364,"x")</f>
        <v>8</v>
      </c>
      <c r="B364" s="1453" t="s">
        <v>4635</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15" hidden="1" customHeight="1">
      <c r="A365" s="1448">
        <f>COUNTIF($C$12:C365,"x")</f>
        <v>8</v>
      </c>
      <c r="B365" s="1451" t="s">
        <v>4641</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15" hidden="1" customHeight="1">
      <c r="A366" s="1448">
        <f>COUNTIF($C$12:C366,"x")</f>
        <v>8</v>
      </c>
      <c r="B366" s="1453" t="s">
        <v>4822</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15" customHeight="1">
      <c r="A367" s="1448">
        <f>COUNTIF($C$12:C367,"x")</f>
        <v>9</v>
      </c>
      <c r="B367" s="1453" t="s">
        <v>6101</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15" customHeight="1">
      <c r="A368" s="1448">
        <f>COUNTIF($C$12:C368,"x")</f>
        <v>10</v>
      </c>
      <c r="B368" s="1453" t="s">
        <v>4835</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15"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15"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15"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15"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15"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15"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15"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15"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15"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15" hidden="1" customHeight="1">
      <c r="A378" s="1448">
        <f>COUNTIF($C$12:C378,"x")</f>
        <v>13</v>
      </c>
      <c r="B378" s="1454" t="s">
        <v>4413</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15"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15"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15"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15"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15"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15"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15"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15"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15"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15"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15"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15"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15"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15"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15"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15"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15"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15"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15"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15" hidden="1" customHeight="1">
      <c r="A398" s="1448">
        <f>COUNTIF($C$12:C398,"x")</f>
        <v>13</v>
      </c>
      <c r="B398" s="1454" t="s">
        <v>4413</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15"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15"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15"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15"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15"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15"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15"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15"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15"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15"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15"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15"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15"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15"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15"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15"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15"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15"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15"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15"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15"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15"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15"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15"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15"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15"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15"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15"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15"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15"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15"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15"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15"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15"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15" customHeight="1">
      <c r="A433" s="1448">
        <f>COUNTIF($C$12:C433,"x")</f>
        <v>16</v>
      </c>
      <c r="B433" s="1454" t="s">
        <v>4413</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15"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15"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15"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15"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15"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15"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15"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15"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15"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15"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15"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15"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15"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15"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15" customHeight="1">
      <c r="A448" s="1448">
        <f>COUNTIF($C$12:C448,"x")</f>
        <v>18</v>
      </c>
      <c r="B448" s="1452" t="s">
        <v>6527</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15"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15" customHeight="1">
      <c r="A450" s="1448">
        <f>COUNTIF($C$12:C450,"x")</f>
        <v>20</v>
      </c>
      <c r="B450" s="1454" t="s">
        <v>4413</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15"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15"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15"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15"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15"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15"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15"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15"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15"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15"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15"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15"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15"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15"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15"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15"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15"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15"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15"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15"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15"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15"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15"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15"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15"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15"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15"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15"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15"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15"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15"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15"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15"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15"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15"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15"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15"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15"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15"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15"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15"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15"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15"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15"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15"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15"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15"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15"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15"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15"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15"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15"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15"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15"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15"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15"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15"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15"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15"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15"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15"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15"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15"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15"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15"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15"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15"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15"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15"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15"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15"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15"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15"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15"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15"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15"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15"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15"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15"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15"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15"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15"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15" hidden="1" customHeight="1">
      <c r="A533" s="1448">
        <f>COUNTIF($C$12:C533,"x")</f>
        <v>24</v>
      </c>
      <c r="B533" s="1454" t="s">
        <v>4413</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15"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15"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15"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15"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15"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15"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15"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15"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15"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15"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15"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15"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15"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15"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15"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15"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15"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15"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15"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15" hidden="1" customHeight="1">
      <c r="A553" s="1448">
        <f>COUNTIF($C$12:C553,"x")</f>
        <v>24</v>
      </c>
      <c r="B553" s="1454" t="s">
        <v>4413</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15"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15"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15"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15"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15"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15"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15"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15"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15"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15"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15"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15"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15"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15"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15"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15" hidden="1" customHeight="1">
      <c r="A569" s="1448">
        <f>COUNTIF($C$12:C569,"x")</f>
        <v>24</v>
      </c>
      <c r="B569" s="1454" t="s">
        <v>4413</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15"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15"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15"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15"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15"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15"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15"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15"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15"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15"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15"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15"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15"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15"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15"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15"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15"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15"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15"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15"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15"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15"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15"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15"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15"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15"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15"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15"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15"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15"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15"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15" hidden="1" customHeight="1">
      <c r="A601" s="1448">
        <f>COUNTIF($C$12:C601,"x")</f>
        <v>24</v>
      </c>
      <c r="B601" s="1452" t="s">
        <v>5</v>
      </c>
      <c r="C601" s="59" t="str">
        <f t="shared" si="99"/>
        <v xml:space="preserve"> </v>
      </c>
      <c r="D601" s="1412"/>
      <c r="E601" s="981"/>
      <c r="F601" s="1276" t="s">
        <v>4550</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15"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15"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15"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15"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15"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15"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15"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15"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15"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15"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15"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15"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15"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15"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15"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15"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15"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15"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15"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15"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15"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15"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15"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15"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15"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15"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15"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15"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15"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15"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15"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15"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15"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15"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15"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15"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15"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15"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15"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15"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15"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15"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15"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15"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15"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15"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15"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15"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15"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15"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15" hidden="1" customHeight="1">
      <c r="A652" s="1448">
        <f>COUNTIF($C$12:C652,"x")</f>
        <v>31</v>
      </c>
      <c r="B652" s="1452" t="s">
        <v>4815</v>
      </c>
      <c r="C652" s="60" t="str">
        <f t="shared" ref="C652:C662" si="116">IF(OR(P652&lt;&gt;0,H652&lt;&gt;0),"x"," ")</f>
        <v xml:space="preserve"> </v>
      </c>
      <c r="D652" s="1424"/>
      <c r="E652" s="981"/>
      <c r="F652" s="1276" t="s">
        <v>4813</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15"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15"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15" hidden="1" customHeight="1">
      <c r="A655" s="1448">
        <f>COUNTIF($C$12:C655,"x")</f>
        <v>31</v>
      </c>
      <c r="B655" s="1455" t="s">
        <v>4814</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15"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15"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15"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15"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15"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15"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15"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15" customHeight="1">
      <c r="A663" s="1448">
        <f>COUNTIF($C$12:C663,"x")</f>
        <v>32</v>
      </c>
      <c r="B663" s="1452" t="s">
        <v>6571</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15"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15"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15" customHeight="1">
      <c r="A666" s="1448">
        <f>COUNTIF($C$12:C666,"x")</f>
        <v>35</v>
      </c>
      <c r="B666" s="1455" t="s">
        <v>6572</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15"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15"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15"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15"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15"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15"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15"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15"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15"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15"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15"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15"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15"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15"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15"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15"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15"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15"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15"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15"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15"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15"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15"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15"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15"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15"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15"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15"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15"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15"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15"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15"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15"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15"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15"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15"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15"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15"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15"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15"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15"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15"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15"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15"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15"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15"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15"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15"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15"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15"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15"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15"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15"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15"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15"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15"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15"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15"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15"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15"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15"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15"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15"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15"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15"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15" hidden="1" customHeight="1">
      <c r="A732" s="1448">
        <f>COUNTIF($C$12:C732,"x")</f>
        <v>38</v>
      </c>
      <c r="B732" s="1457" t="s">
        <v>232</v>
      </c>
      <c r="C732" s="970" t="str">
        <f t="shared" si="131"/>
        <v xml:space="preserve"> </v>
      </c>
      <c r="D732" s="1412"/>
      <c r="E732" s="981"/>
      <c r="F732" s="1276" t="s">
        <v>4551</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15"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15"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15"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15"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15"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15"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15"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15"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15"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15"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15"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15"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15"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15"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15"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15"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15"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15"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15"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15"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15"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15"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15"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15"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15"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15"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15"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15"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15"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15"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15"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15"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15"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15"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15"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15"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15"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15"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15"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15"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15"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15"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15"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15"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15"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15"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15"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15"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15"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15"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15"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15"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15"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15"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15"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15"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15"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15"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15"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15"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15"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15"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15"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15"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15"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15"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15" hidden="1" customHeight="1">
      <c r="A799" s="1448">
        <f>COUNTIF($C$12:C799,"x")</f>
        <v>45</v>
      </c>
      <c r="B799" s="1455" t="s">
        <v>4688</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15" hidden="1" customHeight="1">
      <c r="A800" s="1448">
        <f>COUNTIF($C$12:C800,"x")</f>
        <v>45</v>
      </c>
      <c r="B800" s="1455" t="s">
        <v>4684</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15"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15"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15"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15"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15"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15"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15"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15"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15"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15"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15"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15"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15"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15"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15"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15"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15"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15"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15"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15"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15"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15"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15"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15"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15"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15"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15"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15" hidden="1" customHeight="1">
      <c r="A828" s="1448">
        <f>COUNTIF($C$12:C828,"x")</f>
        <v>45</v>
      </c>
      <c r="B828" s="1455" t="s">
        <v>4817</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15"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15"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15"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15"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15"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15"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15"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15"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15"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15"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15"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15"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15"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15"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15"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15"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15"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15"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15"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15"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15"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15"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15"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15"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15"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15"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15"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15"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15"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15"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15"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15"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15"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15"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15" customHeight="1">
      <c r="A863" s="1448">
        <f>COUNTIF($C$12:C863,"x")</f>
        <v>46</v>
      </c>
      <c r="B863" s="1452" t="s">
        <v>2295</v>
      </c>
      <c r="C863" s="1701" t="str">
        <f t="shared" ref="C863:C873" si="166">IF(OR(P863&lt;&gt;0,H863&lt;&gt;0),"x"," ")</f>
        <v>x</v>
      </c>
      <c r="D863" s="1412"/>
      <c r="E863" s="981"/>
      <c r="F863" s="1276" t="s">
        <v>4326</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15" customHeight="1">
      <c r="A864" s="1448">
        <f>COUNTIF($C$12:C864,"x")</f>
        <v>47</v>
      </c>
      <c r="B864" s="1451" t="s">
        <v>4818</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15" customHeight="1">
      <c r="A865" s="1448">
        <f>COUNTIF($C$12:C865,"x")</f>
        <v>48</v>
      </c>
      <c r="B865" s="1451" t="s">
        <v>4927</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15"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15"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15"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15"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15"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15"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15"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15"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15"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15" customHeight="1">
      <c r="A875" s="1448">
        <f>COUNTIF($C$12:C875,"x")</f>
        <v>50</v>
      </c>
      <c r="B875" s="1451" t="s">
        <v>4818</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15" customHeight="1">
      <c r="A876" s="1448">
        <f>COUNTIF($C$12:C876,"x")</f>
        <v>51</v>
      </c>
      <c r="B876" s="1451" t="s">
        <v>4927</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15"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15"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15"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15"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15"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15"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15"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15"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15"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15"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15" hidden="1" customHeight="1">
      <c r="A887" s="1448">
        <f>COUNTIF($C$12:C887,"x")</f>
        <v>56</v>
      </c>
      <c r="B887" s="1452" t="s">
        <v>4810</v>
      </c>
      <c r="C887" s="970" t="str">
        <f t="shared" si="170"/>
        <v xml:space="preserve"> </v>
      </c>
      <c r="D887" s="1412"/>
      <c r="E887" s="981"/>
      <c r="F887" s="1276" t="s">
        <v>4812</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15" hidden="1" customHeight="1">
      <c r="A888" s="1448">
        <f>COUNTIF($C$12:C888,"x")</f>
        <v>56</v>
      </c>
      <c r="B888" s="1455" t="s">
        <v>4818</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15" hidden="1" customHeight="1">
      <c r="A889" s="1448">
        <f>COUNTIF($C$12:C889,"x")</f>
        <v>56</v>
      </c>
      <c r="B889" s="1455" t="s">
        <v>4819</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15"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15"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15"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15"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15"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15"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15"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15"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15" hidden="1" customHeight="1">
      <c r="A898" s="1448">
        <f>COUNTIF($C$12:C898,"x")</f>
        <v>56</v>
      </c>
      <c r="B898" s="1452" t="s">
        <v>4811</v>
      </c>
      <c r="C898" s="970" t="str">
        <f t="shared" ref="C898:C908" si="182">IF(OR(P898&lt;&gt;0,H898&lt;&gt;0),"x"," ")</f>
        <v xml:space="preserve"> </v>
      </c>
      <c r="D898" s="1412"/>
      <c r="E898" s="981"/>
      <c r="F898" s="1276" t="s">
        <v>4816</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15" hidden="1" customHeight="1">
      <c r="A899" s="1448">
        <f>COUNTIF($C$12:C899,"x")</f>
        <v>56</v>
      </c>
      <c r="B899" s="1455" t="s">
        <v>4818</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15" hidden="1" customHeight="1">
      <c r="A900" s="1448">
        <f>COUNTIF($C$12:C900,"x")</f>
        <v>56</v>
      </c>
      <c r="B900" s="1455" t="s">
        <v>4819</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15"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15"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15"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15"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15"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15"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15"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15"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15"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15"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15"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15"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15"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15"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15"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15"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15"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15"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15" hidden="1" customHeight="1">
      <c r="A919" s="1448">
        <f>COUNTIF($C$12:C919,"x")</f>
        <v>56</v>
      </c>
      <c r="B919" s="1455" t="s">
        <v>6430</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15" hidden="1" customHeight="1">
      <c r="A920" s="1448">
        <f>COUNTIF($C$12:C920,"x")</f>
        <v>56</v>
      </c>
      <c r="B920" s="1455" t="s">
        <v>4819</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15"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15"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15"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15"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15"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15"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15"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15"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15"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15"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15"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15"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15"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15"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15"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15"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15"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15"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15"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15"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15"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15"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15"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15"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15"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15"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15"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15"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15"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15"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15"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15"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15" customHeight="1">
      <c r="A953" s="1448">
        <f>COUNTIF($C$12:C953,"x")</f>
        <v>58</v>
      </c>
      <c r="B953" s="1455" t="s">
        <v>4820</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15" customHeight="1">
      <c r="A954" s="1448">
        <f>COUNTIF($C$12:C954,"x")</f>
        <v>59</v>
      </c>
      <c r="B954" s="1455" t="s">
        <v>4821</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15"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15"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15"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15"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15"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15"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15"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15"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15" customHeight="1">
      <c r="A963" s="1448">
        <f>COUNTIF($C$12:C963,"x")</f>
        <v>63</v>
      </c>
      <c r="B963" s="1455" t="s">
        <v>4820</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15" customHeight="1">
      <c r="A964" s="1448">
        <f>COUNTIF($C$12:C964,"x")</f>
        <v>64</v>
      </c>
      <c r="B964" s="1455" t="s">
        <v>4821</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15"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15"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15"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15"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15"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15"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15"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15"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15"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15" customHeight="1">
      <c r="A974" s="1448">
        <f>COUNTIF($C$12:C974,"x")</f>
        <v>69</v>
      </c>
      <c r="B974" s="1451" t="s">
        <v>4817</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15" customHeight="1">
      <c r="A975" s="1448">
        <f>COUNTIF($C$12:C975,"x")</f>
        <v>70</v>
      </c>
      <c r="B975" s="1451" t="s">
        <v>6102</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15"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15"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15"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15"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15"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15"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15"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15" customHeight="1">
      <c r="A983" s="1448">
        <f>COUNTIF($C$12:C983,"x")</f>
        <v>75</v>
      </c>
      <c r="B983" s="1451" t="s">
        <v>4817</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15" customHeight="1">
      <c r="A984" s="1448">
        <f>COUNTIF($C$12:C984,"x")</f>
        <v>76</v>
      </c>
      <c r="B984" s="1451" t="s">
        <v>6102</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15"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15"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15"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15"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15"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15"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15"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15"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15"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15"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15"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15"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15"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15"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15"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15"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15"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15"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15"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15"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15"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15"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15"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15"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15"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15"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15"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15"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15"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15"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15"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15"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15"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15"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15"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15"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15"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15"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15"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15"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15"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15"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15"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15"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15"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15"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15"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15"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15"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15"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15"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15"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15"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15"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15"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15"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15"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15"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15"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15"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15"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15"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15"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15"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15"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15"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15"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15"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15"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15"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15"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15"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15"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15"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15"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15"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15"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15"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15"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15"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15"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15"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15"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15"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15"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15"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15"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15"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15"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15"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15"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15"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15"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15"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15"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15"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15"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15"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15"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15"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15"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15"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15"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15"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15"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15"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15"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15"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15"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15"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15"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15"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15"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15"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15"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15"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15"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15"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15"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15"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15"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15"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15" customHeight="1">
      <c r="A1107" s="1448">
        <f>COUNTIF($C$12:C1107,"x")</f>
        <v>81</v>
      </c>
      <c r="B1107" s="1452" t="s">
        <v>4708</v>
      </c>
      <c r="C1107" s="1701" t="str">
        <f t="shared" si="212"/>
        <v>x</v>
      </c>
      <c r="D1107" s="1412"/>
      <c r="E1107" s="981"/>
      <c r="F1107" s="1276" t="s">
        <v>4727</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15" customHeight="1">
      <c r="A1108" s="1448">
        <f>COUNTIF($C$12:C1108,"x")</f>
        <v>82</v>
      </c>
      <c r="B1108" s="1451" t="s">
        <v>4694</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15"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15" customHeight="1">
      <c r="A1110" s="1448">
        <f>COUNTIF($C$12:C1110,"x")</f>
        <v>84</v>
      </c>
      <c r="B1110" s="1451" t="s">
        <v>4728</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15"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15"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15"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15"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15" hidden="1" customHeight="1">
      <c r="A1115" s="1448">
        <f>COUNTIF($C$12:C1115,"x")</f>
        <v>87</v>
      </c>
      <c r="B1115" s="1451" t="s">
        <v>4327</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15"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15"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15"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15"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15"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15"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15"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15"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15"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15"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15"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15"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15"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15"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15"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15"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15"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15"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15"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15"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15"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15"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15"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15"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15"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15"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15"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15"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15"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15"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15"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15"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15"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15"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15"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15"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15"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15"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15"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15"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15"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15"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15"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15"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15"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15"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15"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15"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15"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15"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15"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15"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15"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15"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15"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15"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15"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15"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15"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15"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15"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15"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15"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15"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15"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15"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15"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15" hidden="1" customHeight="1">
      <c r="A1183" s="1448">
        <f>COUNTIF($C$12:C1183,"x")</f>
        <v>87</v>
      </c>
      <c r="B1183" s="1451" t="s">
        <v>4924</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15"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15"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15"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15"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15"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15"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15"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15"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15"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15"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15"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15"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15"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15" hidden="1" customHeight="1">
      <c r="A1197" s="1448">
        <f>COUNTIF($C$12:C1197,"x")</f>
        <v>87</v>
      </c>
      <c r="B1197" s="1451" t="s">
        <v>4924</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15"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15"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15"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15"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15"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15"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15"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15"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15"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15"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15"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15"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15"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15"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15"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15"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15"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15"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15"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15"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15"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15"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15"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15"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15"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15"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15"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15"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15"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15"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15"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15"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15"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15"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15"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15"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15"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15"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15"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15"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15"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15"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15"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15"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15"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15"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15"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15"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15"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15"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15"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15"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15"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15"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15"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15"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15"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15"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15"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15"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15"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15"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15"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15"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15"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15"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15"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15"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15"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15"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15"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15"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15"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15"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15"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15"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15"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15"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15"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15"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15"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15"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15"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15"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15"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15"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15"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15"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15"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15"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15"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15"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15"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15"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15"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15"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15"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15"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15"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15"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15"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15"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15"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15"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15"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15"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15"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15"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15"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15"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15"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15"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15"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15"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15"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15"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15"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15"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15"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15"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15"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15"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15"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15"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15"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15"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15"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15"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15"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15"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15"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15"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15"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15"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15"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15"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15"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15"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15"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15"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15"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15"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15"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15"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15"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15"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15"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15"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15"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15"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15"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15"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15"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15"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15"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15"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15"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15"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15"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15"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15"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15"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15"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15"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15"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15"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15"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15"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15"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15"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15"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15"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15"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15"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15"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15"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15"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15"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15"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15"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15"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15"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15"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15"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15"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15"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15"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15"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15"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15"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15"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15"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15"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15"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15"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15"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15"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15"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15"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15"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15"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15"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15"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15"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15"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15"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15"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15"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15"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15"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15"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15"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15"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15"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15"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15"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15"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15"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15"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15"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15"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15"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15"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15"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15"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15"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15"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15"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15"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15"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15"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15"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15"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15"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15"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15"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15"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15"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15"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15"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15"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15"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15"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15"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15"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15"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15"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15"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15"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15"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15"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15"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15"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15"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15"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15"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15"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15"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15"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15"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15"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15"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15"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15"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15"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15"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15"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15"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15"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15"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15"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15"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15"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15"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15"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15"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15"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15"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15"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15"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15"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15"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15"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15"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15"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15"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15"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15"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15"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15"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15"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15"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15"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15"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15"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15"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15"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15"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15"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15"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15"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15"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15"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15"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15"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15"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15"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15"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15"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15"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15"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15"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15"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15" customHeight="1">
      <c r="A1511" s="1448">
        <f>COUNTIF($C$12:C1511,"x")</f>
        <v>89</v>
      </c>
      <c r="B1511" s="1452" t="s">
        <v>28</v>
      </c>
      <c r="C1511" s="970" t="str">
        <f>IF(D1511&lt;&gt;0,"x"," ")</f>
        <v>x</v>
      </c>
      <c r="D1511" s="1412">
        <f>IF(SUM(D1512:D1530)&lt;&gt;0,1,0)</f>
        <v>1</v>
      </c>
      <c r="E1511" s="982" t="s">
        <v>2170</v>
      </c>
      <c r="F1511" s="1276" t="s">
        <v>4406</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15"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15"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15"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15"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15"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15"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15"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15"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15"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15"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15"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15"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15"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15"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15"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15"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15"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15"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15"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15"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15"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15"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15"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15"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15"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15"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15"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15"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15"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15"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15"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15"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15"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15"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15"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15"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15"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15"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15"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15"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15"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15"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15"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15"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15"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15"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15"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15"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15"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15"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15"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15"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15"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15"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15"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15"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15"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15"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15"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15"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15"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15"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15"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15"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15"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15"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15"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15"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15"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15"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15"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15"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15"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15"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15"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15"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15"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15"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15"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15"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15"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15"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15"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15"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15"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15"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15"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15"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15"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15"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15"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15"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15"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15"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15"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15"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15"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15"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15"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15"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15"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15"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15"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15"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15"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15"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15"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15"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15"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15"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15"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15"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15"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15"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15"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15"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15"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15"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15"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15"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15"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15"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15"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15"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15"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15"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15"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15"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15"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15"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15"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15"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15"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15"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15"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15"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15"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15"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15"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15"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15"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15"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15"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15"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15"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15"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15"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15"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15"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15"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15"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15"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15"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15"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15"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15"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15"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15"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15"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15"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15"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15"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15"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15"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15"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15"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15"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15"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15"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15"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15"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15"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15"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15"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15"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15"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15"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15"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15"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15"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15"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15"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15"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15"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15"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15"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15"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15"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15"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15"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15"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15"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15"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15"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15"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15"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15"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15"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15"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15"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15"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15"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15"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15"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15"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15"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15"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15"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15"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15"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15"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15"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15"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15"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15"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15"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15"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15"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15"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15"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15"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15"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15"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15"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15"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15"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15"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15"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15"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15"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15"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15"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15"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15"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15"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15"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15"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15"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15"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15"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15"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15"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15"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15"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15"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15"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15"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15"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15"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15"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15"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15"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15"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15"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15"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15"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15"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15" customHeight="1">
      <c r="A1769" s="1448">
        <f>COUNTIF($C$12:C1769,"x")</f>
        <v>90</v>
      </c>
      <c r="B1769" s="1452" t="s">
        <v>1919</v>
      </c>
      <c r="C1769" s="1701" t="str">
        <f>IF(K1769&lt;&gt;0,"x"," ")</f>
        <v>x</v>
      </c>
      <c r="D1769" s="1412">
        <f>IF(SUM(D1770:D1790)&lt;&gt;0,1,0)</f>
        <v>1</v>
      </c>
      <c r="E1769" s="982">
        <v>1</v>
      </c>
      <c r="F1769" s="1276" t="s">
        <v>4467</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15"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15"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15"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15"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15"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15"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15"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15" customHeight="1">
      <c r="A1777" s="1448">
        <f>COUNTIF($C$12:C1777,"x")</f>
        <v>93</v>
      </c>
      <c r="B1777" s="1451" t="s">
        <v>6566</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15" customHeight="1">
      <c r="A1778" s="1448">
        <f>COUNTIF($C$12:C1778,"x")</f>
        <v>94</v>
      </c>
      <c r="B1778" s="1451" t="s">
        <v>6567</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15" customHeight="1">
      <c r="A1779" s="1448">
        <f>COUNTIF($C$12:C1779,"x")</f>
        <v>95</v>
      </c>
      <c r="B1779" s="1455" t="s">
        <v>4905</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15" customHeight="1">
      <c r="A1780" s="1448">
        <f>COUNTIF($C$12:C1780,"x")</f>
        <v>96</v>
      </c>
      <c r="B1780" s="1455" t="s">
        <v>6525</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15"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15"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15"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15"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15"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15"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15"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15"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15"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15"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15"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15"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15"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15"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15"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15" customHeight="1">
      <c r="A1796" s="1448">
        <f>COUNTIF($C$12:C1796,"x")</f>
        <v>102</v>
      </c>
      <c r="B1796" s="1455" t="s">
        <v>4965</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15"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15"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15"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15"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15"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15"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15"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15"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15"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15"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15"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15"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15"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15" customHeight="1">
      <c r="A1810" s="1448">
        <f>COUNTIF($C$12:C1810,"x")</f>
        <v>108</v>
      </c>
      <c r="B1810" s="1659" t="s">
        <v>5072</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15"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15"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15"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15"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15"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15"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15"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15"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15"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15"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15"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15"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15"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15"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15"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15"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15"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15"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15"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15"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15"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15"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15"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15"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15"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15"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15"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15"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15"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15" hidden="1" customHeight="1">
      <c r="A1840" s="1448">
        <f>COUNTIF($C$12:C1840,"x")</f>
        <v>114</v>
      </c>
      <c r="B1840" s="1451" t="s">
        <v>4715</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15" customHeight="1">
      <c r="A1841" s="1448">
        <f>COUNTIF($C$12:C1841,"x")</f>
        <v>115</v>
      </c>
      <c r="B1841" s="1455" t="s">
        <v>5216</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15"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15" customHeight="1">
      <c r="A1843" s="1448">
        <f>COUNTIF($C$12:C1843,"x")</f>
        <v>116</v>
      </c>
      <c r="B1843" s="1458" t="s">
        <v>6531</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15"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15"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15"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15" customHeight="1">
      <c r="A1847" s="1448">
        <f>COUNTIF($C$12:C1847,"x")</f>
        <v>119</v>
      </c>
      <c r="B1847" s="1451" t="s">
        <v>4715</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15" customHeight="1">
      <c r="A1848" s="1448">
        <f>COUNTIF($C$12:C1848,"x")</f>
        <v>120</v>
      </c>
      <c r="B1848" s="1455" t="s">
        <v>5216</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15"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15"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15"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15"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15"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15"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15"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15"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15"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15"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15"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15"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15" customHeight="1">
      <c r="A1861" s="1448">
        <f>COUNTIF($C$12:C1861,"x")</f>
        <v>122</v>
      </c>
      <c r="B1861" s="1797" t="s">
        <v>6508</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15" customHeight="1">
      <c r="A1862" s="1448">
        <f>COUNTIF($C$12:C1862,"x")</f>
        <v>123</v>
      </c>
      <c r="B1862" s="1797" t="s">
        <v>6494</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15" hidden="1" customHeight="1">
      <c r="A1863" s="1448">
        <f>COUNTIF($C$12:C1863,"x")</f>
        <v>123</v>
      </c>
      <c r="B1863" s="1797" t="s">
        <v>6511</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15" hidden="1" customHeight="1">
      <c r="A1864" s="1448">
        <f>COUNTIF($C$12:C1864,"x")</f>
        <v>123</v>
      </c>
      <c r="B1864" s="1797" t="s">
        <v>6497</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15"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15"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15"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15"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15" customHeight="1">
      <c r="A1869" s="1448">
        <f>COUNTIF($C$12:C1869,"x")</f>
        <v>128</v>
      </c>
      <c r="B1869" s="1797" t="s">
        <v>6521</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15" customHeight="1">
      <c r="A1870" s="1448">
        <f>COUNTIF($C$12:C1870,"x")</f>
        <v>129</v>
      </c>
      <c r="B1870" s="1797" t="s">
        <v>4673</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15" customHeight="1">
      <c r="A1871" s="1448">
        <f>COUNTIF($C$12:C1871,"x")</f>
        <v>130</v>
      </c>
      <c r="B1871" s="1797" t="s">
        <v>5799</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15"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15"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15" customHeight="1">
      <c r="A1874" s="1448">
        <f>COUNTIF($C$12:C1874,"x")</f>
        <v>133</v>
      </c>
      <c r="B1874" s="1460" t="s">
        <v>4461</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15" customHeight="1">
      <c r="A1875" s="1448">
        <f>COUNTIF($C$12:C1875,"x")</f>
        <v>134</v>
      </c>
      <c r="B1875" s="1460" t="s">
        <v>6580</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15"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15"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15" customHeight="1">
      <c r="A1878" s="1448">
        <f>COUNTIF($C$12:C1878,"x")</f>
        <v>137</v>
      </c>
      <c r="B1878" s="1460" t="s">
        <v>6582</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15" customHeight="1">
      <c r="A1879" s="1448">
        <f>COUNTIF($C$12:C1879,"x")</f>
        <v>138</v>
      </c>
      <c r="B1879" s="1460" t="s">
        <v>6583</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15"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15" customHeight="1">
      <c r="A1881" s="1448">
        <f>COUNTIF($C$12:C1881,"x")</f>
        <v>140</v>
      </c>
      <c r="B1881" s="1460" t="s">
        <v>6247</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15"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15" customHeight="1">
      <c r="A1883" s="1448">
        <f>COUNTIF($C$12:C1883,"x")</f>
        <v>142</v>
      </c>
      <c r="B1883" s="1460" t="s">
        <v>4842</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15"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15" customHeight="1">
      <c r="A1885" s="1448">
        <f>COUNTIF($C$12:C1885,"x")</f>
        <v>144</v>
      </c>
      <c r="B1885" s="1460" t="s">
        <v>6584</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15" customHeight="1">
      <c r="A1886" s="1448">
        <f>COUNTIF($C$12:C1886,"x")</f>
        <v>145</v>
      </c>
      <c r="B1886" s="1460" t="s">
        <v>6587</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15"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15"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15"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15"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15"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15"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15"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15"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15"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15"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15"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15"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15"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15"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15"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15"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15"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15"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15"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15"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15"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15"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15"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15"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15"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15"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15"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15"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15"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15"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15"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15"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15"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15"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15"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15"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15"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15" hidden="1" customHeight="1">
      <c r="A1924" s="1448">
        <f>COUNTIF($C$12:C1924,"x")</f>
        <v>145</v>
      </c>
      <c r="B1924" s="1460" t="s">
        <v>5143</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15" hidden="1" customHeight="1">
      <c r="A1925" s="1448">
        <f>COUNTIF($C$12:C1925,"x")</f>
        <v>145</v>
      </c>
      <c r="B1925" s="1460" t="s">
        <v>5144</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15"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15" hidden="1" customHeight="1">
      <c r="A1927" s="1448">
        <f>COUNTIF($C$12:C1927,"x")</f>
        <v>145</v>
      </c>
      <c r="B1927" s="1455" t="s">
        <v>4460</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15"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15"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15"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15"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15"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15"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15" hidden="1" customHeight="1">
      <c r="A1934" s="1448">
        <f>COUNTIF($C$12:C1934,"x")</f>
        <v>145</v>
      </c>
      <c r="B1934" s="1455" t="s">
        <v>4461</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15"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15"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15"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15"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15"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15"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15"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15" hidden="1" customHeight="1">
      <c r="A1942" s="1448">
        <f>COUNTIF($C$12:C1942,"x")</f>
        <v>145</v>
      </c>
      <c r="B1942" s="1455" t="s">
        <v>4822</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15"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15"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15"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15"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15"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15"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15"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15"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15"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15" hidden="1" customHeight="1">
      <c r="A1952" s="1448">
        <f>COUNTIF($C$12:C1952,"x")</f>
        <v>145</v>
      </c>
      <c r="B1952" s="1455" t="s">
        <v>6104</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15" hidden="1" customHeight="1">
      <c r="A1953" s="1448">
        <f>COUNTIF($C$12:C1953,"x")</f>
        <v>145</v>
      </c>
      <c r="B1953" s="1451" t="s">
        <v>4463</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15" hidden="1" customHeight="1">
      <c r="A1954" s="1448">
        <f>COUNTIF($C$12:C1954,"x")</f>
        <v>145</v>
      </c>
      <c r="B1954" s="1455" t="s">
        <v>4341</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15" hidden="1" customHeight="1">
      <c r="A1955" s="1448">
        <f>COUNTIF($C$12:C1955,"x")</f>
        <v>145</v>
      </c>
      <c r="B1955" s="1455" t="s">
        <v>6106</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15"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15" customHeight="1">
      <c r="A1957" s="1448">
        <f>COUNTIF($C$12:C1957,"x")</f>
        <v>147</v>
      </c>
      <c r="B1957" s="1455" t="s">
        <v>6579</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15"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15"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15"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15"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15"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15"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15"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15"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15"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15"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15"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15"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15"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15"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15"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15"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15"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15"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15"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15"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15"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15"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15"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15"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15"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15"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15"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15"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15" hidden="1" customHeight="1">
      <c r="A1986" s="1448">
        <f>COUNTIF($C$12:C1986,"x")</f>
        <v>151</v>
      </c>
      <c r="B1986" s="1455" t="s">
        <v>6429</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15"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15"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15"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15"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15"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15"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15"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15"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15"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15"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15"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15"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15"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15"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15"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15"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15"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15"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15"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15"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15"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15"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15"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15" hidden="1" customHeight="1">
      <c r="A2010" s="1448">
        <f>COUNTIF($C$12:C2010,"x")</f>
        <v>151</v>
      </c>
      <c r="B2010" s="1452" t="s">
        <v>1978</v>
      </c>
      <c r="C2010" s="970" t="str">
        <f t="shared" si="360"/>
        <v xml:space="preserve"> </v>
      </c>
      <c r="D2010" s="1412"/>
      <c r="E2010" s="982" t="s">
        <v>2170</v>
      </c>
      <c r="F2010" s="1276" t="s">
        <v>4539</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15"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15"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15"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15"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15"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15"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15"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15"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15"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15"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15"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15"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15"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15"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15"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15"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15"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15"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15"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15"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15"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15"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15"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15"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15"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15"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15"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15"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15"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15"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15"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15"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15"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15"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15"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15"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15"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15"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15"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15"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15" hidden="1" customHeight="1">
      <c r="A2051" s="1448">
        <f>COUNTIF($C$12:C2051,"x")</f>
        <v>151</v>
      </c>
      <c r="B2051" s="1455" t="s">
        <v>4494</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15"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15"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15"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15"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15"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15"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15"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15"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15"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15"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15"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15"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15"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15"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15"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15"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15"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15"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15"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15"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15"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15"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15"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15"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15"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15"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15" hidden="1" customHeight="1">
      <c r="A2078" s="1448">
        <f>COUNTIF($C$12:C2078,"x")</f>
        <v>151</v>
      </c>
      <c r="B2078" s="1460" t="s">
        <v>4538</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15"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15"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15"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15"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15"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15"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15"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15" hidden="1" customHeight="1">
      <c r="A2086" s="1448">
        <f>COUNTIF($C$12:C2086,"x")</f>
        <v>151</v>
      </c>
      <c r="B2086" s="1460" t="s">
        <v>4728</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15"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15"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15"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15"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15"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15"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15"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15"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15"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15"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15"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15"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15"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15"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15"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15"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15"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15"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15"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15"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15"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15"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15"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15"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15"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15"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15"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15"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15"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15"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15"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15"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15"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15"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15"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15"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15"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15"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15"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15"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15"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15"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15"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15" hidden="1" customHeight="1">
      <c r="A2130" s="1448">
        <f>COUNTIF($C$12:C2130,"x")</f>
        <v>151</v>
      </c>
      <c r="B2130" s="1455" t="s">
        <v>4320</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15"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15"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15"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15"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15"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15" hidden="1" customHeight="1">
      <c r="A2136" s="1448">
        <f>COUNTIF($C$12:C2136,"x")</f>
        <v>151</v>
      </c>
      <c r="B2136" s="1455" t="s">
        <v>4322</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15"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15"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15"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15"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15"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15"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15"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15"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15"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15"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15"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15"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15"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15"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15"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15"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15" hidden="1" customHeight="1">
      <c r="A2153" s="1448">
        <f>COUNTIF($C$12:C2153,"x")</f>
        <v>151</v>
      </c>
      <c r="B2153" s="1455" t="s">
        <v>4290</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15"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15" hidden="1" customHeight="1">
      <c r="A2155" s="1448">
        <f>COUNTIF($C$12:C2155,"x")</f>
        <v>151</v>
      </c>
      <c r="B2155" s="1483" t="s">
        <v>4289</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15"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15"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15"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15"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15"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15"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15"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15"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15"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15"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15"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15"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15"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15"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15"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15"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15"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15"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15"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15"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15"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15"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15"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15"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15"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15"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15"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15"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15"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15"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15"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15"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15"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15"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15"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15"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15"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15"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15"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15"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15"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15"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15"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15"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15"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15"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15"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15"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15"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15"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15"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15"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15"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15"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15"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15"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15"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15"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15"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15"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15"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15"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15"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15"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15"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15"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15"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15"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15"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15"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15"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15"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15"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15"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15"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15"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15"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15"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15"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15"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15"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15"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15"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15"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15"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15"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15"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15"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15"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15"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15"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15"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15"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15"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15"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15"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15"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15"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15"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15"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15"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15"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15"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15"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15"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15"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15"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15"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15"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15"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15"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15"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15"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15"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15"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15"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15"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15"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15"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15"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15"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15"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15"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15"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15"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15"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15"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15"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15"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15"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15"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15"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15"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15"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15"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15"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15"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15"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15"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15"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15"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15"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15"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15" hidden="1" customHeight="1">
      <c r="A2299" s="1448">
        <f>COUNTIF($C$12:C2299,"x")</f>
        <v>151</v>
      </c>
      <c r="B2299" s="1460" t="s">
        <v>4596</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15"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15"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15"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15" hidden="1" customHeight="1">
      <c r="A2303" s="1448">
        <f>COUNTIF($C$12:C2303,"x")</f>
        <v>151</v>
      </c>
      <c r="B2303" s="1459" t="s">
        <v>4342</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15"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15"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15"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15"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15"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15"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15"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15"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15"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15"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15"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15"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15"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15"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15"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15"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15"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15"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15"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15" hidden="1" customHeight="1">
      <c r="A2323" s="1448">
        <f>COUNTIF($C$12:C2323,"x")</f>
        <v>153</v>
      </c>
      <c r="B2323" s="1460" t="s">
        <v>4596</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15"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15"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15"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15" customHeight="1">
      <c r="A2327" s="1448">
        <f>COUNTIF($C$12:C2327,"x")</f>
        <v>156</v>
      </c>
      <c r="B2327" s="1460" t="s">
        <v>6588</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15" customHeight="1">
      <c r="A2328" s="1448">
        <f>COUNTIF($C$12:C2328,"x")</f>
        <v>157</v>
      </c>
      <c r="B2328" s="1460" t="s">
        <v>6589</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15" hidden="1" customHeight="1">
      <c r="A2329" s="1448">
        <f>COUNTIF($C$12:C2329,"x")</f>
        <v>157</v>
      </c>
      <c r="B2329" s="1460" t="s">
        <v>6107</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15" hidden="1" customHeight="1">
      <c r="A2330" s="1448">
        <f>COUNTIF($C$12:C2330,"x")</f>
        <v>157</v>
      </c>
      <c r="B2330" s="1460" t="s">
        <v>4501</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15"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15"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15"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15"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15"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15" customHeight="1">
      <c r="A2336" s="1448">
        <f>COUNTIF($C$12:C2336,"x")</f>
        <v>158</v>
      </c>
      <c r="B2336" s="1460" t="s">
        <v>6590</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15"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15"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15"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15"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15"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15"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15"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15"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15"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15"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15"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15"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15"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15"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15"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15"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15"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15"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15"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15"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15"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15"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15"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15"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15"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15"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15"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15"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15"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15"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15"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15"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15"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15"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15" hidden="1" customHeight="1">
      <c r="A2371" s="1448">
        <f>COUNTIF($C$12:C2371,"x")</f>
        <v>159</v>
      </c>
      <c r="B2371" s="1449" t="s">
        <v>4729</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15"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15"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15"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15"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15"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15"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15"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15"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15"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15"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15"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15"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15"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15"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15"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15"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15"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15"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15"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15"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15"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15"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15"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15"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15"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15"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15"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15"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15"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15"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15"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15"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15"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15"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15"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15"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15" hidden="1" customHeight="1">
      <c r="A2408" s="1448">
        <f>COUNTIF($C$12:C2408,"x")</f>
        <v>159</v>
      </c>
      <c r="B2408" s="1454" t="s">
        <v>4413</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15"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15"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15"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15"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15"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15"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15"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15"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15"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15"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15"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15"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15"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15"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15"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15"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5.75">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5.75" hidden="1">
      <c r="A2426" s="56"/>
      <c r="C2426" s="971"/>
      <c r="D2426" s="1445"/>
      <c r="Q2426" s="53"/>
      <c r="T2426" s="53"/>
    </row>
    <row r="2427" spans="1:20" ht="15.75">
      <c r="D2427" s="1445"/>
    </row>
    <row r="2428" spans="1:20" ht="15.75">
      <c r="D2428" s="1445"/>
    </row>
    <row r="2429" spans="1:20" ht="15.75">
      <c r="D2429" s="1445"/>
    </row>
    <row r="2430" spans="1:20" ht="15.75">
      <c r="D2430" s="1445"/>
    </row>
    <row r="2431" spans="1:20" ht="15.75">
      <c r="D2431" s="1445"/>
      <c r="F2431" s="956"/>
    </row>
    <row r="2432" spans="1:20" ht="16.5">
      <c r="D2432" s="1445"/>
      <c r="F2432" s="957"/>
    </row>
    <row r="2433" spans="4:4" ht="15.75">
      <c r="D2433" s="1445"/>
    </row>
    <row r="2434" spans="4:4" ht="15.75">
      <c r="D2434" s="1445"/>
    </row>
    <row r="2435" spans="4:4" ht="15.75">
      <c r="D2435" s="1445"/>
    </row>
    <row r="2436" spans="4:4" ht="15.75">
      <c r="D2436" s="1445"/>
    </row>
    <row r="2437" spans="4:4" ht="15.75">
      <c r="D2437" s="1445"/>
    </row>
    <row r="2438" spans="4:4" ht="15.75">
      <c r="D2438" s="1445"/>
    </row>
    <row r="2439" spans="4:4" ht="15.75">
      <c r="D2439" s="1445"/>
    </row>
    <row r="2440" spans="4:4" ht="15.75">
      <c r="D2440" s="1445"/>
    </row>
    <row r="2441" spans="4:4" ht="15.75">
      <c r="D2441" s="1445"/>
    </row>
    <row r="2442" spans="4:4" ht="15.75">
      <c r="D2442" s="1445"/>
    </row>
    <row r="2443" spans="4:4" ht="15.75">
      <c r="D2443" s="1445"/>
    </row>
    <row r="2444" spans="4:4" ht="15.75">
      <c r="D2444" s="1445"/>
    </row>
    <row r="2445" spans="4:4" ht="15.75">
      <c r="D2445" s="1445"/>
    </row>
    <row r="2446" spans="4:4" ht="15.75">
      <c r="D2446" s="1445"/>
    </row>
    <row r="2447" spans="4:4" ht="15.75">
      <c r="D2447" s="1445"/>
    </row>
    <row r="2448" spans="4:4" ht="15.75">
      <c r="D2448" s="1445"/>
    </row>
    <row r="2449" spans="4:4" ht="15.75">
      <c r="D2449" s="1445"/>
    </row>
    <row r="2450" spans="4:4" ht="15.75">
      <c r="D2450" s="1445"/>
    </row>
    <row r="2451" spans="4:4" ht="15.75">
      <c r="D2451" s="1445"/>
    </row>
    <row r="2452" spans="4:4" ht="15.75">
      <c r="D2452" s="1445"/>
    </row>
    <row r="2453" spans="4:4" ht="15.75">
      <c r="D2453" s="1445"/>
    </row>
    <row r="2454" spans="4:4" ht="15.75">
      <c r="D2454" s="1445"/>
    </row>
    <row r="2455" spans="4:4" ht="15.75">
      <c r="D2455" s="1445"/>
    </row>
    <row r="2456" spans="4:4" ht="15.75">
      <c r="D2456" s="1445"/>
    </row>
    <row r="2457" spans="4:4" ht="15.75">
      <c r="D2457" s="1445"/>
    </row>
    <row r="2458" spans="4:4" ht="15.75">
      <c r="D2458" s="1445"/>
    </row>
    <row r="2459" spans="4:4" ht="15.75">
      <c r="D2459" s="1445"/>
    </row>
    <row r="2460" spans="4:4" ht="15.75">
      <c r="D2460" s="1445"/>
    </row>
    <row r="2461" spans="4:4" ht="15.75">
      <c r="D2461" s="1445"/>
    </row>
    <row r="2462" spans="4:4" ht="15.75">
      <c r="D2462" s="1445"/>
    </row>
    <row r="2463" spans="4:4" ht="15.75">
      <c r="D2463" s="1445"/>
    </row>
    <row r="2464" spans="4:4" ht="15.75">
      <c r="D2464" s="1445"/>
    </row>
    <row r="2465" spans="4:4" ht="15.75">
      <c r="D2465" s="1445"/>
    </row>
    <row r="2466" spans="4:4" ht="15.75">
      <c r="D2466" s="1445"/>
    </row>
    <row r="2467" spans="4:4" ht="15.75">
      <c r="D2467" s="1445"/>
    </row>
    <row r="2468" spans="4:4" ht="15.75">
      <c r="D2468" s="1445"/>
    </row>
    <row r="2469" spans="4:4" ht="15.75">
      <c r="D2469" s="1445"/>
    </row>
    <row r="2470" spans="4:4" ht="15.75">
      <c r="D2470" s="1445"/>
    </row>
    <row r="2471" spans="4:4" ht="15.75">
      <c r="D2471" s="1445"/>
    </row>
    <row r="2472" spans="4:4" ht="15.75">
      <c r="D2472" s="1445"/>
    </row>
    <row r="2473" spans="4:4" ht="15.75">
      <c r="D2473" s="1445"/>
    </row>
    <row r="2474" spans="4:4" ht="15.75">
      <c r="D2474" s="1445"/>
    </row>
    <row r="2475" spans="4:4" ht="15.75">
      <c r="D2475" s="1445"/>
    </row>
    <row r="2476" spans="4:4" ht="15.75">
      <c r="D2476" s="1445"/>
    </row>
    <row r="2477" spans="4:4" ht="15.75">
      <c r="D2477" s="1445"/>
    </row>
    <row r="2478" spans="4:4" ht="15.75">
      <c r="D2478" s="1445"/>
    </row>
    <row r="2479" spans="4:4" ht="15.75">
      <c r="D2479" s="1445"/>
    </row>
    <row r="2480" spans="4:4" ht="15.75">
      <c r="D2480" s="1445"/>
    </row>
    <row r="2481" spans="4:4" ht="15.75">
      <c r="D2481" s="1445"/>
    </row>
    <row r="2482" spans="4:4" ht="15.75">
      <c r="D2482" s="1445"/>
    </row>
    <row r="2483" spans="4:4" ht="15.75">
      <c r="D2483" s="1445"/>
    </row>
    <row r="2484" spans="4:4" ht="15.75">
      <c r="D2484" s="1445"/>
    </row>
    <row r="2485" spans="4:4" ht="15.75">
      <c r="D2485" s="1445"/>
    </row>
    <row r="2486" spans="4:4" ht="15.75">
      <c r="D2486" s="1445"/>
    </row>
    <row r="2487" spans="4:4" ht="15.75">
      <c r="D2487" s="1445"/>
    </row>
    <row r="2488" spans="4:4" ht="15.75">
      <c r="D2488" s="1445"/>
    </row>
    <row r="2489" spans="4:4" ht="15.75">
      <c r="D2489" s="1445"/>
    </row>
    <row r="2490" spans="4:4" ht="15.75">
      <c r="D2490" s="1445"/>
    </row>
    <row r="2491" spans="4:4" ht="15.75">
      <c r="D2491" s="1445"/>
    </row>
    <row r="2492" spans="4:4" ht="15.75">
      <c r="D2492" s="1445"/>
    </row>
    <row r="2493" spans="4:4" ht="15.75">
      <c r="D2493" s="1445"/>
    </row>
    <row r="2494" spans="4:4" ht="15.75">
      <c r="D2494" s="1445"/>
    </row>
    <row r="2495" spans="4:4" ht="15.75">
      <c r="D2495" s="1445"/>
    </row>
    <row r="2496" spans="4:4" ht="15.75">
      <c r="D2496" s="1445"/>
    </row>
    <row r="2497" spans="4:4" ht="15.75">
      <c r="D2497" s="1445"/>
    </row>
    <row r="2498" spans="4:4" ht="15.75">
      <c r="D2498" s="1445"/>
    </row>
    <row r="2499" spans="4:4" ht="15.75">
      <c r="D2499" s="1445"/>
    </row>
    <row r="2500" spans="4:4" ht="15.75">
      <c r="D2500" s="1445"/>
    </row>
    <row r="2501" spans="4:4" ht="15.75">
      <c r="D2501" s="1445"/>
    </row>
    <row r="2502" spans="4:4" ht="15.75">
      <c r="D2502" s="1445"/>
    </row>
    <row r="2503" spans="4:4" ht="15.75">
      <c r="D2503" s="1445"/>
    </row>
    <row r="2504" spans="4:4" ht="15.75">
      <c r="D2504" s="1445"/>
    </row>
    <row r="2505" spans="4:4" ht="15.75">
      <c r="D2505" s="1445"/>
    </row>
    <row r="2506" spans="4:4" ht="15.75">
      <c r="D2506" s="1445"/>
    </row>
    <row r="2507" spans="4:4" ht="15.75">
      <c r="D2507" s="1445"/>
    </row>
    <row r="2508" spans="4:4" ht="15.75">
      <c r="D2508" s="1445"/>
    </row>
    <row r="2509" spans="4:4" ht="15.75">
      <c r="D2509" s="1445"/>
    </row>
    <row r="2510" spans="4:4" ht="15.75">
      <c r="D2510" s="1445"/>
    </row>
    <row r="2511" spans="4:4" ht="15.75">
      <c r="D2511" s="1445"/>
    </row>
    <row r="2512" spans="4:4" ht="15.75">
      <c r="D2512" s="1445"/>
    </row>
    <row r="2513" spans="4:4" ht="15.75">
      <c r="D2513" s="1445"/>
    </row>
    <row r="2514" spans="4:4" ht="15.75">
      <c r="D2514" s="1445"/>
    </row>
    <row r="2515" spans="4:4" ht="15.75">
      <c r="D2515" s="1445"/>
    </row>
    <row r="2516" spans="4:4" ht="15.75">
      <c r="D2516" s="1445"/>
    </row>
    <row r="2517" spans="4:4" ht="15.75">
      <c r="D2517" s="1445"/>
    </row>
    <row r="2518" spans="4:4" ht="15.75">
      <c r="D2518" s="1445"/>
    </row>
    <row r="2519" spans="4:4" ht="15.75">
      <c r="D2519" s="1445"/>
    </row>
    <row r="2520" spans="4:4" ht="15.75">
      <c r="D2520" s="1445"/>
    </row>
    <row r="2521" spans="4:4" ht="15.75">
      <c r="D2521" s="1445"/>
    </row>
    <row r="2522" spans="4:4" ht="15.75">
      <c r="D2522" s="1445"/>
    </row>
    <row r="2523" spans="4:4" ht="15.75">
      <c r="D2523" s="1445"/>
    </row>
    <row r="2524" spans="4:4" ht="15.75">
      <c r="D2524" s="1445"/>
    </row>
    <row r="2525" spans="4:4" ht="15.75">
      <c r="D2525" s="1445"/>
    </row>
    <row r="2526" spans="4:4" ht="15.75">
      <c r="D2526" s="1445"/>
    </row>
    <row r="2527" spans="4:4" ht="15.75">
      <c r="D2527" s="1445"/>
    </row>
    <row r="2528" spans="4:4" ht="15.75">
      <c r="D2528" s="1445"/>
    </row>
    <row r="2529" spans="4:4" ht="15.75">
      <c r="D2529" s="1445"/>
    </row>
    <row r="2530" spans="4:4" ht="15.75">
      <c r="D2530" s="1445"/>
    </row>
    <row r="2531" spans="4:4" ht="15.75">
      <c r="D2531" s="1445"/>
    </row>
    <row r="2532" spans="4:4" ht="15.75">
      <c r="D2532" s="1445"/>
    </row>
    <row r="2533" spans="4:4" ht="15.75">
      <c r="D2533" s="1445"/>
    </row>
    <row r="2534" spans="4:4" ht="15.75">
      <c r="D2534" s="1445"/>
    </row>
    <row r="2535" spans="4:4" ht="15.75">
      <c r="D2535" s="1445"/>
    </row>
    <row r="2536" spans="4:4" ht="15.75">
      <c r="D2536" s="1445"/>
    </row>
    <row r="2537" spans="4:4" ht="15.75">
      <c r="D2537" s="1445"/>
    </row>
    <row r="2538" spans="4:4" ht="15.75">
      <c r="D2538" s="1445"/>
    </row>
    <row r="2539" spans="4:4" ht="15.75">
      <c r="D2539" s="1445"/>
    </row>
    <row r="2540" spans="4:4" ht="15.75">
      <c r="D2540" s="1445"/>
    </row>
    <row r="2541" spans="4:4" ht="15.75">
      <c r="D2541" s="1445"/>
    </row>
    <row r="2542" spans="4:4" ht="15.75">
      <c r="D2542" s="1445"/>
    </row>
    <row r="2543" spans="4:4" ht="15.75">
      <c r="D2543" s="1445"/>
    </row>
    <row r="2544" spans="4:4" ht="15.75">
      <c r="D2544" s="1445"/>
    </row>
    <row r="2545" spans="4:4" ht="15.75">
      <c r="D2545" s="1445"/>
    </row>
    <row r="2546" spans="4:4" ht="15.75">
      <c r="D2546" s="1445"/>
    </row>
    <row r="2547" spans="4:4" ht="15.75">
      <c r="D2547" s="1445"/>
    </row>
    <row r="2548" spans="4:4" ht="15.75">
      <c r="D2548" s="1445"/>
    </row>
    <row r="2549" spans="4:4" ht="15.75">
      <c r="D2549" s="1445"/>
    </row>
    <row r="2550" spans="4:4" ht="15.75">
      <c r="D2550" s="1445"/>
    </row>
    <row r="2551" spans="4:4" ht="15.75">
      <c r="D2551" s="1445"/>
    </row>
    <row r="2552" spans="4:4" ht="15.75">
      <c r="D2552" s="1445"/>
    </row>
    <row r="2553" spans="4:4" ht="15.75">
      <c r="D2553" s="1445"/>
    </row>
    <row r="2554" spans="4:4" ht="15.75">
      <c r="D2554" s="1445"/>
    </row>
    <row r="2555" spans="4:4" ht="15.75">
      <c r="D2555" s="1445"/>
    </row>
    <row r="2556" spans="4:4" ht="15.75">
      <c r="D2556" s="1445"/>
    </row>
    <row r="2557" spans="4:4" ht="15.75">
      <c r="D2557" s="1445"/>
    </row>
    <row r="2558" spans="4:4" ht="15.75">
      <c r="D2558" s="1445"/>
    </row>
    <row r="2559" spans="4:4" ht="15.75">
      <c r="D2559" s="1445"/>
    </row>
    <row r="2560" spans="4:4" ht="15.75">
      <c r="D2560" s="1445"/>
    </row>
    <row r="2561" spans="4:4" ht="15.75">
      <c r="D2561" s="1445"/>
    </row>
    <row r="2562" spans="4:4" ht="15.75">
      <c r="D2562" s="1445"/>
    </row>
    <row r="2563" spans="4:4" ht="15.75">
      <c r="D2563" s="1445"/>
    </row>
    <row r="2564" spans="4:4" ht="15.75">
      <c r="D2564" s="1445"/>
    </row>
    <row r="2565" spans="4:4" ht="15.75">
      <c r="D2565" s="1445"/>
    </row>
    <row r="2566" spans="4:4" ht="15.75">
      <c r="D2566" s="1445"/>
    </row>
    <row r="2567" spans="4:4" ht="15.75">
      <c r="D2567" s="1445"/>
    </row>
    <row r="2568" spans="4:4" ht="15.75">
      <c r="D2568" s="1445"/>
    </row>
    <row r="2569" spans="4:4" ht="15.75">
      <c r="D2569" s="1445"/>
    </row>
    <row r="2570" spans="4:4" ht="15.75">
      <c r="D2570" s="1445"/>
    </row>
    <row r="2571" spans="4:4" ht="15.75">
      <c r="D2571" s="1445"/>
    </row>
    <row r="2572" spans="4:4" ht="15.75">
      <c r="D2572" s="1445"/>
    </row>
    <row r="2573" spans="4:4" ht="15.75">
      <c r="D2573" s="1445"/>
    </row>
    <row r="2574" spans="4:4" ht="15.75">
      <c r="D2574" s="1445"/>
    </row>
    <row r="2575" spans="4:4" ht="15.75">
      <c r="D2575" s="1445"/>
    </row>
    <row r="2576" spans="4:4" ht="15.75">
      <c r="D2576" s="1445"/>
    </row>
    <row r="2577" spans="4:4" ht="15.75">
      <c r="D2577" s="1445"/>
    </row>
    <row r="2578" spans="4:4" ht="15.75">
      <c r="D2578" s="1445"/>
    </row>
    <row r="2579" spans="4:4" ht="15.75">
      <c r="D2579" s="1445"/>
    </row>
    <row r="2580" spans="4:4" ht="15.75">
      <c r="D2580" s="1445"/>
    </row>
    <row r="2581" spans="4:4" ht="15.75">
      <c r="D2581" s="1445"/>
    </row>
    <row r="2582" spans="4:4" ht="15.75">
      <c r="D2582" s="1445"/>
    </row>
    <row r="2583" spans="4:4" ht="15.75">
      <c r="D2583" s="1445"/>
    </row>
    <row r="2584" spans="4:4" ht="15.75">
      <c r="D2584" s="1445"/>
    </row>
    <row r="2585" spans="4:4" ht="15.75">
      <c r="D2585" s="1445"/>
    </row>
    <row r="2586" spans="4:4" ht="15.75">
      <c r="D2586" s="1445"/>
    </row>
    <row r="2587" spans="4:4" ht="15.75">
      <c r="D2587" s="1445"/>
    </row>
    <row r="2588" spans="4:4" ht="15.75">
      <c r="D2588" s="1445"/>
    </row>
    <row r="2589" spans="4:4" ht="15.75">
      <c r="D2589" s="1445"/>
    </row>
    <row r="2590" spans="4:4" ht="15.75">
      <c r="D2590" s="1445"/>
    </row>
    <row r="2591" spans="4:4" ht="15.75">
      <c r="D2591" s="1445"/>
    </row>
    <row r="2592" spans="4:4" ht="15.75">
      <c r="D2592" s="1445"/>
    </row>
    <row r="2593" spans="4:4" ht="15.75">
      <c r="D2593" s="1445"/>
    </row>
    <row r="2594" spans="4:4" ht="15.75">
      <c r="D2594" s="1445"/>
    </row>
    <row r="2595" spans="4:4" ht="15.75">
      <c r="D2595" s="1445"/>
    </row>
    <row r="2596" spans="4:4" ht="15.75">
      <c r="D2596" s="1445"/>
    </row>
    <row r="2597" spans="4:4" ht="15.75">
      <c r="D2597" s="1445"/>
    </row>
    <row r="2598" spans="4:4" ht="15.75">
      <c r="D2598" s="1445"/>
    </row>
    <row r="2599" spans="4:4" ht="15.75">
      <c r="D2599" s="1445"/>
    </row>
    <row r="2600" spans="4:4" ht="15.75">
      <c r="D2600" s="1445"/>
    </row>
    <row r="2601" spans="4:4" ht="15.75">
      <c r="D2601" s="1445"/>
    </row>
    <row r="2602" spans="4:4" ht="15.75">
      <c r="D2602" s="1445"/>
    </row>
    <row r="2603" spans="4:4" ht="15.75">
      <c r="D2603" s="1445"/>
    </row>
    <row r="2604" spans="4:4" ht="15.75">
      <c r="D2604" s="1445"/>
    </row>
    <row r="2605" spans="4:4" ht="15.75">
      <c r="D2605" s="1445"/>
    </row>
    <row r="2606" spans="4:4" ht="15.75">
      <c r="D2606" s="1445"/>
    </row>
    <row r="2607" spans="4:4" ht="15.75">
      <c r="D2607" s="1445"/>
    </row>
    <row r="2608" spans="4:4" ht="15.75">
      <c r="D2608" s="1445"/>
    </row>
    <row r="2609" spans="4:4" ht="15.75">
      <c r="D2609" s="1445"/>
    </row>
    <row r="2610" spans="4:4" ht="15.75">
      <c r="D2610" s="1445"/>
    </row>
    <row r="2611" spans="4:4" ht="15.75">
      <c r="D2611" s="1445"/>
    </row>
    <row r="2612" spans="4:4" ht="15.75">
      <c r="D2612" s="1445"/>
    </row>
    <row r="2613" spans="4:4" ht="15.75">
      <c r="D2613" s="1445"/>
    </row>
    <row r="2614" spans="4:4" ht="15.75">
      <c r="D2614" s="1445"/>
    </row>
    <row r="2615" spans="4:4" ht="15.75">
      <c r="D2615" s="1445"/>
    </row>
    <row r="2616" spans="4:4" ht="15.75">
      <c r="D2616" s="1445"/>
    </row>
    <row r="2617" spans="4:4" ht="15.75">
      <c r="D2617" s="1445"/>
    </row>
    <row r="2618" spans="4:4" ht="15.75">
      <c r="D2618" s="1445"/>
    </row>
    <row r="2619" spans="4:4" ht="15.75">
      <c r="D2619" s="1445"/>
    </row>
    <row r="2620" spans="4:4" ht="15.75">
      <c r="D2620" s="1445"/>
    </row>
    <row r="2621" spans="4:4" ht="15.75">
      <c r="D2621" s="1445"/>
    </row>
    <row r="2622" spans="4:4" ht="15.75">
      <c r="D2622" s="1445"/>
    </row>
    <row r="2623" spans="4:4" ht="15.75">
      <c r="D2623" s="1445"/>
    </row>
    <row r="2624" spans="4:4" ht="15.75">
      <c r="D2624" s="1445"/>
    </row>
    <row r="2625" spans="4:4" ht="15.75">
      <c r="D2625" s="1445"/>
    </row>
    <row r="2626" spans="4:4" ht="15.75">
      <c r="D2626" s="1445"/>
    </row>
    <row r="2627" spans="4:4" ht="15.75">
      <c r="D2627" s="1445"/>
    </row>
    <row r="2628" spans="4:4" ht="15.75">
      <c r="D2628" s="1445"/>
    </row>
    <row r="2629" spans="4:4" ht="15.75">
      <c r="D2629" s="1445"/>
    </row>
    <row r="2630" spans="4:4" ht="15.75">
      <c r="D2630" s="1445"/>
    </row>
    <row r="2631" spans="4:4" ht="15.75">
      <c r="D2631" s="1445"/>
    </row>
    <row r="2632" spans="4:4" ht="15.75">
      <c r="D2632" s="1445"/>
    </row>
    <row r="2633" spans="4:4" ht="15.75">
      <c r="D2633" s="1445"/>
    </row>
    <row r="2634" spans="4:4" ht="15.75">
      <c r="D2634" s="1445"/>
    </row>
    <row r="2635" spans="4:4" ht="15.75">
      <c r="D2635" s="1445"/>
    </row>
    <row r="2636" spans="4:4" ht="15.75">
      <c r="D2636" s="1445"/>
    </row>
    <row r="2637" spans="4:4" ht="15.75">
      <c r="D2637" s="1445"/>
    </row>
    <row r="2638" spans="4:4" ht="15.75">
      <c r="D2638" s="1445"/>
    </row>
    <row r="2639" spans="4:4" ht="15.75">
      <c r="D2639" s="1445"/>
    </row>
    <row r="2640" spans="4:4" ht="15.75">
      <c r="D2640" s="1445"/>
    </row>
    <row r="2641" spans="4:4" ht="15.75">
      <c r="D2641" s="1445"/>
    </row>
    <row r="2642" spans="4:4" ht="15.75">
      <c r="D2642" s="1445"/>
    </row>
    <row r="2643" spans="4:4" ht="15.75">
      <c r="D2643" s="1445"/>
    </row>
    <row r="2644" spans="4:4" ht="15.75">
      <c r="D2644" s="1445"/>
    </row>
    <row r="2645" spans="4:4" ht="15.75">
      <c r="D2645" s="1445"/>
    </row>
    <row r="2646" spans="4:4" ht="15.75">
      <c r="D2646" s="1445"/>
    </row>
    <row r="2647" spans="4:4" ht="15.75">
      <c r="D2647" s="1445"/>
    </row>
    <row r="2648" spans="4:4" ht="15.75">
      <c r="D2648" s="1445"/>
    </row>
    <row r="2649" spans="4:4" ht="15.75">
      <c r="D2649" s="1445"/>
    </row>
    <row r="2650" spans="4:4" ht="15.75">
      <c r="D2650" s="1445"/>
    </row>
    <row r="2651" spans="4:4" ht="15.75">
      <c r="D2651" s="1445"/>
    </row>
    <row r="2652" spans="4:4" ht="15.75">
      <c r="D2652" s="1445"/>
    </row>
    <row r="2653" spans="4:4" ht="15.75">
      <c r="D2653" s="1445"/>
    </row>
    <row r="2654" spans="4:4" ht="15.75">
      <c r="D2654" s="1445"/>
    </row>
    <row r="2655" spans="4:4" ht="15.75">
      <c r="D2655" s="1445"/>
    </row>
    <row r="2656" spans="4:4" ht="15.75">
      <c r="D2656" s="1445"/>
    </row>
    <row r="2657" spans="4:4" ht="15.75">
      <c r="D2657" s="1445"/>
    </row>
    <row r="2658" spans="4:4" ht="15.75">
      <c r="D2658" s="1445"/>
    </row>
    <row r="2659" spans="4:4" ht="15.75">
      <c r="D2659" s="1445"/>
    </row>
    <row r="2660" spans="4:4" ht="15.75">
      <c r="D2660" s="1445"/>
    </row>
    <row r="2661" spans="4:4" ht="15.75">
      <c r="D2661" s="1445"/>
    </row>
    <row r="2662" spans="4:4" ht="15.75">
      <c r="D2662" s="1445"/>
    </row>
    <row r="2663" spans="4:4" ht="15.75">
      <c r="D2663" s="1445"/>
    </row>
    <row r="2664" spans="4:4" ht="15.75">
      <c r="D2664" s="1445"/>
    </row>
    <row r="2665" spans="4:4" ht="15.75">
      <c r="D2665" s="1445"/>
    </row>
    <row r="2666" spans="4:4" ht="15.75">
      <c r="D2666" s="1445"/>
    </row>
    <row r="2667" spans="4:4" ht="15.75">
      <c r="D2667" s="1445"/>
    </row>
    <row r="2668" spans="4:4" ht="15.75">
      <c r="D2668" s="1445"/>
    </row>
    <row r="2669" spans="4:4" ht="15.75">
      <c r="D2669" s="1445"/>
    </row>
    <row r="2670" spans="4:4" ht="15.75">
      <c r="D2670" s="1445"/>
    </row>
    <row r="2671" spans="4:4" ht="15.75">
      <c r="D2671" s="1445"/>
    </row>
    <row r="2672" spans="4:4" ht="15.75">
      <c r="D2672" s="1445"/>
    </row>
    <row r="2673" spans="4:4" ht="15.75">
      <c r="D2673" s="1445"/>
    </row>
    <row r="2674" spans="4:4" ht="15.75">
      <c r="D2674" s="1445"/>
    </row>
    <row r="2675" spans="4:4" ht="15.75">
      <c r="D2675" s="1445"/>
    </row>
    <row r="2676" spans="4:4" ht="15.75">
      <c r="D2676" s="1445"/>
    </row>
    <row r="2677" spans="4:4" ht="15.75">
      <c r="D2677" s="1445"/>
    </row>
    <row r="2678" spans="4:4" ht="15.75">
      <c r="D2678" s="1445"/>
    </row>
    <row r="2679" spans="4:4" ht="15.75">
      <c r="D2679" s="1445"/>
    </row>
    <row r="2680" spans="4:4" ht="15.75">
      <c r="D2680" s="1445"/>
    </row>
    <row r="2681" spans="4:4" ht="15.75">
      <c r="D2681" s="1445"/>
    </row>
    <row r="2682" spans="4:4" ht="15.75">
      <c r="D2682" s="1445"/>
    </row>
    <row r="2683" spans="4:4" ht="15.75">
      <c r="D2683" s="1445"/>
    </row>
    <row r="2684" spans="4:4" ht="15.75">
      <c r="D2684" s="1445"/>
    </row>
    <row r="2685" spans="4:4" ht="15.75">
      <c r="D2685" s="1445"/>
    </row>
    <row r="2686" spans="4:4" ht="15.75">
      <c r="D2686" s="1445"/>
    </row>
    <row r="2687" spans="4:4" ht="15.75">
      <c r="D2687" s="1445"/>
    </row>
    <row r="2688" spans="4:4" ht="15.75">
      <c r="D2688" s="1445"/>
    </row>
    <row r="2689" spans="4:4" ht="15.75">
      <c r="D2689" s="1445"/>
    </row>
    <row r="2690" spans="4:4" ht="15.75">
      <c r="D2690" s="1445"/>
    </row>
    <row r="2691" spans="4:4" ht="15.75">
      <c r="D2691" s="1445"/>
    </row>
    <row r="2692" spans="4:4" ht="15.75">
      <c r="D2692" s="1445"/>
    </row>
    <row r="2693" spans="4:4" ht="15.75">
      <c r="D2693" s="1445"/>
    </row>
    <row r="2694" spans="4:4" ht="15.75">
      <c r="D2694" s="1445"/>
    </row>
    <row r="2695" spans="4:4" ht="15.75">
      <c r="D2695" s="1445"/>
    </row>
    <row r="2696" spans="4:4" ht="15.75">
      <c r="D2696" s="1445"/>
    </row>
    <row r="2697" spans="4:4" ht="15.75">
      <c r="D2697" s="1445"/>
    </row>
    <row r="2698" spans="4:4" ht="15.75">
      <c r="D2698" s="1445"/>
    </row>
    <row r="2699" spans="4:4" ht="15.75">
      <c r="D2699" s="1445"/>
    </row>
    <row r="2700" spans="4:4" ht="15.75">
      <c r="D2700" s="1445"/>
    </row>
    <row r="2701" spans="4:4" ht="15.75">
      <c r="D2701" s="1445"/>
    </row>
    <row r="2702" spans="4:4" ht="15.75">
      <c r="D2702" s="1445"/>
    </row>
    <row r="2703" spans="4:4" ht="15.75">
      <c r="D2703" s="1445"/>
    </row>
    <row r="2704" spans="4:4" ht="15.75">
      <c r="D2704" s="1445"/>
    </row>
    <row r="2705" spans="4:4" ht="15.75">
      <c r="D2705" s="1445"/>
    </row>
    <row r="2706" spans="4:4" ht="15.75">
      <c r="D2706" s="1445"/>
    </row>
    <row r="2707" spans="4:4" ht="15.75">
      <c r="D2707" s="1445"/>
    </row>
    <row r="2708" spans="4:4" ht="15.75">
      <c r="D2708" s="1445"/>
    </row>
    <row r="2709" spans="4:4" ht="15.75">
      <c r="D2709" s="1445"/>
    </row>
    <row r="2710" spans="4:4" ht="15.75">
      <c r="D2710" s="1445"/>
    </row>
    <row r="2711" spans="4:4" ht="15.75">
      <c r="D2711" s="1445"/>
    </row>
    <row r="2712" spans="4:4" ht="15.75">
      <c r="D2712" s="1445"/>
    </row>
    <row r="2713" spans="4:4" ht="15.75">
      <c r="D2713" s="1445"/>
    </row>
    <row r="2714" spans="4:4" ht="15.75">
      <c r="D2714" s="1445"/>
    </row>
    <row r="2715" spans="4:4" ht="15.75">
      <c r="D2715" s="1445"/>
    </row>
    <row r="2716" spans="4:4" ht="15.75">
      <c r="D2716" s="1445"/>
    </row>
    <row r="2717" spans="4:4" ht="15.75">
      <c r="D2717" s="1445"/>
    </row>
    <row r="2718" spans="4:4" ht="15.75">
      <c r="D2718" s="1445"/>
    </row>
    <row r="2719" spans="4:4" ht="15.75">
      <c r="D2719" s="1445"/>
    </row>
    <row r="2720" spans="4:4" ht="15.75">
      <c r="D2720" s="1445"/>
    </row>
    <row r="2721" spans="4:4" ht="15.75">
      <c r="D2721" s="1445"/>
    </row>
    <row r="2722" spans="4:4" ht="15.75">
      <c r="D2722" s="1445"/>
    </row>
    <row r="2723" spans="4:4" ht="15.75">
      <c r="D2723" s="1445"/>
    </row>
    <row r="2724" spans="4:4" ht="15.75">
      <c r="D2724" s="1445"/>
    </row>
    <row r="2725" spans="4:4" ht="15.75">
      <c r="D2725" s="1445"/>
    </row>
    <row r="2726" spans="4:4" ht="15.75">
      <c r="D2726" s="1445"/>
    </row>
    <row r="2727" spans="4:4" ht="15.75">
      <c r="D2727" s="1445"/>
    </row>
    <row r="2728" spans="4:4" ht="15.75">
      <c r="D2728" s="1445"/>
    </row>
    <row r="2729" spans="4:4" ht="15.75">
      <c r="D2729" s="1445"/>
    </row>
    <row r="2730" spans="4:4" ht="15.75">
      <c r="D2730" s="1445"/>
    </row>
    <row r="2731" spans="4:4" ht="15.75">
      <c r="D2731" s="1445"/>
    </row>
    <row r="2732" spans="4:4" ht="15.75">
      <c r="D2732" s="1445"/>
    </row>
    <row r="2733" spans="4:4" ht="15.75">
      <c r="D2733" s="1445"/>
    </row>
    <row r="2734" spans="4:4" ht="15.75">
      <c r="D2734" s="1445"/>
    </row>
    <row r="2735" spans="4:4" ht="15.75">
      <c r="D2735" s="1445"/>
    </row>
    <row r="2736" spans="4:4" ht="15.75">
      <c r="D2736" s="1445"/>
    </row>
    <row r="2737" spans="4:4" ht="15.75">
      <c r="D2737" s="1445"/>
    </row>
    <row r="2738" spans="4:4" ht="15.75">
      <c r="D2738" s="1445"/>
    </row>
    <row r="2739" spans="4:4" ht="15.75">
      <c r="D2739" s="1445"/>
    </row>
    <row r="2740" spans="4:4" ht="15.75">
      <c r="D2740" s="1445"/>
    </row>
    <row r="2741" spans="4:4" ht="15.75">
      <c r="D2741" s="1445"/>
    </row>
    <row r="2742" spans="4:4" ht="15.75">
      <c r="D2742" s="1445"/>
    </row>
    <row r="2743" spans="4:4" ht="15.75">
      <c r="D2743" s="1445"/>
    </row>
    <row r="2744" spans="4:4" ht="15.75">
      <c r="D2744" s="1445"/>
    </row>
    <row r="2745" spans="4:4" ht="15.75">
      <c r="D2745" s="1445"/>
    </row>
    <row r="2746" spans="4:4" ht="15.75">
      <c r="D2746" s="1445"/>
    </row>
    <row r="2747" spans="4:4" ht="15.75">
      <c r="D2747" s="1445"/>
    </row>
    <row r="2748" spans="4:4" ht="15.75">
      <c r="D2748" s="1445"/>
    </row>
    <row r="2749" spans="4:4" ht="15.75">
      <c r="D2749" s="1445"/>
    </row>
    <row r="2750" spans="4:4" ht="15.75">
      <c r="D2750" s="1445"/>
    </row>
    <row r="2751" spans="4:4" ht="15.75">
      <c r="D2751" s="1445"/>
    </row>
    <row r="2752" spans="4:4" ht="15.75">
      <c r="D2752" s="1445"/>
    </row>
    <row r="2753" spans="4:4" ht="15.75">
      <c r="D2753" s="1445"/>
    </row>
    <row r="2754" spans="4:4" ht="15.75">
      <c r="D2754" s="1445"/>
    </row>
    <row r="2755" spans="4:4" ht="15.75">
      <c r="D2755" s="1445"/>
    </row>
    <row r="2756" spans="4:4" ht="15.75">
      <c r="D2756" s="1445"/>
    </row>
    <row r="2757" spans="4:4" ht="15.75">
      <c r="D2757" s="1445"/>
    </row>
    <row r="2758" spans="4:4" ht="15.75">
      <c r="D2758" s="1445"/>
    </row>
    <row r="2759" spans="4:4" ht="15.75">
      <c r="D2759" s="1445"/>
    </row>
    <row r="2760" spans="4:4" ht="15.75">
      <c r="D2760" s="1445"/>
    </row>
    <row r="2761" spans="4:4" ht="15.75">
      <c r="D2761" s="1445"/>
    </row>
    <row r="2762" spans="4:4" ht="15.75">
      <c r="D2762" s="1445"/>
    </row>
    <row r="2763" spans="4:4" ht="15.75">
      <c r="D2763" s="1445"/>
    </row>
    <row r="2764" spans="4:4" ht="15.75">
      <c r="D2764" s="1445"/>
    </row>
    <row r="2765" spans="4:4" ht="15.75">
      <c r="D2765" s="1445"/>
    </row>
    <row r="2766" spans="4:4" ht="15.75">
      <c r="D2766" s="1445"/>
    </row>
    <row r="2767" spans="4:4" ht="15.75">
      <c r="D2767" s="1445"/>
    </row>
    <row r="2768" spans="4:4" ht="15.75">
      <c r="D2768" s="1445"/>
    </row>
    <row r="2769" spans="4:4" ht="15.75">
      <c r="D2769" s="1445"/>
    </row>
    <row r="2770" spans="4:4" ht="15.75">
      <c r="D2770" s="1445"/>
    </row>
    <row r="2771" spans="4:4" ht="15.75">
      <c r="D2771" s="1445"/>
    </row>
    <row r="2772" spans="4:4" ht="15.75">
      <c r="D2772" s="1445"/>
    </row>
    <row r="2773" spans="4:4" ht="15.75">
      <c r="D2773" s="1445"/>
    </row>
    <row r="2774" spans="4:4" ht="15.75">
      <c r="D2774" s="1445"/>
    </row>
    <row r="2775" spans="4:4" ht="15.75">
      <c r="D2775" s="1445"/>
    </row>
    <row r="2776" spans="4:4" ht="15.75">
      <c r="D2776" s="1445"/>
    </row>
    <row r="2777" spans="4:4" ht="15.75">
      <c r="D2777" s="1445"/>
    </row>
    <row r="2778" spans="4:4" ht="15.75">
      <c r="D2778" s="1445"/>
    </row>
    <row r="2779" spans="4:4" ht="15.75">
      <c r="D2779" s="1445"/>
    </row>
    <row r="2780" spans="4:4" ht="15.75">
      <c r="D2780" s="1445"/>
    </row>
    <row r="2781" spans="4:4" ht="15.75">
      <c r="D2781" s="1445"/>
    </row>
    <row r="2782" spans="4:4" ht="15.75">
      <c r="D2782" s="1445"/>
    </row>
    <row r="2783" spans="4:4" ht="15.75">
      <c r="D2783" s="1445"/>
    </row>
    <row r="2784" spans="4:4" ht="15.75">
      <c r="D2784" s="1445"/>
    </row>
    <row r="2785" spans="4:4" ht="15.75">
      <c r="D2785" s="1445"/>
    </row>
    <row r="2786" spans="4:4" ht="15.75">
      <c r="D2786" s="1445"/>
    </row>
    <row r="2787" spans="4:4" ht="15.75">
      <c r="D2787" s="1445"/>
    </row>
    <row r="2788" spans="4:4" ht="15.75">
      <c r="D2788" s="1445"/>
    </row>
    <row r="2789" spans="4:4" ht="15.75">
      <c r="D2789" s="1445"/>
    </row>
    <row r="2790" spans="4:4" ht="15.75">
      <c r="D2790" s="1445"/>
    </row>
    <row r="2791" spans="4:4" ht="15.75">
      <c r="D2791" s="1445"/>
    </row>
    <row r="2792" spans="4:4" ht="15.75">
      <c r="D2792" s="1445"/>
    </row>
    <row r="2793" spans="4:4" ht="15.75">
      <c r="D2793" s="1445"/>
    </row>
    <row r="2794" spans="4:4" ht="15.75">
      <c r="D2794" s="1445"/>
    </row>
    <row r="2795" spans="4:4" ht="15.75">
      <c r="D2795" s="1445"/>
    </row>
    <row r="2796" spans="4:4" ht="15.75">
      <c r="D2796" s="1445"/>
    </row>
    <row r="2797" spans="4:4" ht="15.75">
      <c r="D2797" s="1445"/>
    </row>
    <row r="2798" spans="4:4" ht="15.75">
      <c r="D2798" s="1445"/>
    </row>
    <row r="2799" spans="4:4" ht="15.75">
      <c r="D2799" s="1445"/>
    </row>
    <row r="2800" spans="4:4" ht="15.75">
      <c r="D2800" s="1445"/>
    </row>
    <row r="2801" spans="4:4" ht="15.75">
      <c r="D2801" s="1445"/>
    </row>
    <row r="2802" spans="4:4" ht="15.75">
      <c r="D2802" s="1445"/>
    </row>
    <row r="2803" spans="4:4" ht="15.75">
      <c r="D2803" s="1445"/>
    </row>
    <row r="2804" spans="4:4" ht="15.75">
      <c r="D2804" s="1445"/>
    </row>
    <row r="2805" spans="4:4" ht="15.75">
      <c r="D2805" s="1445"/>
    </row>
    <row r="2806" spans="4:4" ht="15.75">
      <c r="D2806" s="1445"/>
    </row>
    <row r="2807" spans="4:4" ht="15.75">
      <c r="D2807" s="1445"/>
    </row>
    <row r="2808" spans="4:4" ht="15.75">
      <c r="D2808" s="1445"/>
    </row>
    <row r="2809" spans="4:4" ht="15.75">
      <c r="D2809" s="1445"/>
    </row>
    <row r="2810" spans="4:4" ht="15.75">
      <c r="D2810" s="1445"/>
    </row>
    <row r="2811" spans="4:4" ht="15.75">
      <c r="D2811" s="1445"/>
    </row>
    <row r="2812" spans="4:4" ht="15.75">
      <c r="D2812" s="1445"/>
    </row>
    <row r="2813" spans="4:4" ht="15.75">
      <c r="D2813" s="1445"/>
    </row>
    <row r="2814" spans="4:4" ht="15.75">
      <c r="D2814" s="1445"/>
    </row>
    <row r="2815" spans="4:4" ht="15.75">
      <c r="D2815" s="1445"/>
    </row>
    <row r="2816" spans="4:4" ht="15.75">
      <c r="D2816" s="1445"/>
    </row>
    <row r="2817" spans="4:4" ht="15.75">
      <c r="D2817" s="1445"/>
    </row>
    <row r="2818" spans="4:4" ht="15.75">
      <c r="D2818" s="1445"/>
    </row>
    <row r="2819" spans="4:4" ht="15.75">
      <c r="D2819" s="1445"/>
    </row>
    <row r="2820" spans="4:4" ht="15.75">
      <c r="D2820" s="1445"/>
    </row>
    <row r="2821" spans="4:4" ht="15.75">
      <c r="D2821" s="1445"/>
    </row>
    <row r="2822" spans="4:4" ht="15.75">
      <c r="D2822" s="1445"/>
    </row>
    <row r="2823" spans="4:4" ht="15.75">
      <c r="D2823" s="1445"/>
    </row>
    <row r="2824" spans="4:4" ht="15.75">
      <c r="D2824" s="1445"/>
    </row>
    <row r="2825" spans="4:4" ht="15.75">
      <c r="D2825" s="1445"/>
    </row>
    <row r="2826" spans="4:4" ht="15.75">
      <c r="D2826" s="1445"/>
    </row>
    <row r="2827" spans="4:4" ht="15.75">
      <c r="D2827" s="1445"/>
    </row>
    <row r="2828" spans="4:4" ht="15.75">
      <c r="D2828" s="1445"/>
    </row>
    <row r="2829" spans="4:4" ht="15.75">
      <c r="D2829" s="1445"/>
    </row>
    <row r="2830" spans="4:4" ht="15.75">
      <c r="D2830" s="1445"/>
    </row>
    <row r="2831" spans="4:4" ht="15.75">
      <c r="D2831" s="1445"/>
    </row>
    <row r="2832" spans="4:4" ht="15.75">
      <c r="D2832" s="1445"/>
    </row>
    <row r="2833" spans="4:4" ht="15.75">
      <c r="D2833" s="1445"/>
    </row>
    <row r="2834" spans="4:4" ht="15.75">
      <c r="D2834" s="1445"/>
    </row>
    <row r="2835" spans="4:4" ht="15.75">
      <c r="D2835" s="1445"/>
    </row>
    <row r="2836" spans="4:4" ht="15.75">
      <c r="D2836" s="1445"/>
    </row>
    <row r="2837" spans="4:4" ht="15.75">
      <c r="D2837" s="1445"/>
    </row>
    <row r="2838" spans="4:4" ht="15.75">
      <c r="D2838" s="1445"/>
    </row>
    <row r="2839" spans="4:4" ht="15.75">
      <c r="D2839" s="1445"/>
    </row>
    <row r="2840" spans="4:4" ht="15.75">
      <c r="D2840" s="1445"/>
    </row>
    <row r="2841" spans="4:4" ht="15.75">
      <c r="D2841" s="1445"/>
    </row>
    <row r="2842" spans="4:4" ht="15.75">
      <c r="D2842" s="1445"/>
    </row>
    <row r="2843" spans="4:4" ht="15.75">
      <c r="D2843" s="1445"/>
    </row>
    <row r="2844" spans="4:4" ht="15.75">
      <c r="D2844" s="1445"/>
    </row>
    <row r="2845" spans="4:4" ht="15.75">
      <c r="D2845" s="1445"/>
    </row>
    <row r="2846" spans="4:4" ht="15.75">
      <c r="D2846" s="1445"/>
    </row>
    <row r="2847" spans="4:4" ht="15.75">
      <c r="D2847" s="1445"/>
    </row>
    <row r="2848" spans="4:4" ht="15.75">
      <c r="D2848" s="1445"/>
    </row>
    <row r="2849" spans="4:4" ht="15.75">
      <c r="D2849" s="1445"/>
    </row>
    <row r="2850" spans="4:4" ht="15.75">
      <c r="D2850" s="1445"/>
    </row>
    <row r="2851" spans="4:4" ht="15.75">
      <c r="D2851" s="1445"/>
    </row>
    <row r="2852" spans="4:4" ht="15.75">
      <c r="D2852" s="1445"/>
    </row>
    <row r="2853" spans="4:4" ht="15.75">
      <c r="D2853" s="1445"/>
    </row>
    <row r="2854" spans="4:4" ht="15.75">
      <c r="D2854" s="1445"/>
    </row>
    <row r="2855" spans="4:4" ht="15.75">
      <c r="D2855" s="1445"/>
    </row>
    <row r="2856" spans="4:4" ht="15.75">
      <c r="D2856" s="1445"/>
    </row>
    <row r="2857" spans="4:4" ht="15.75">
      <c r="D2857" s="1445"/>
    </row>
    <row r="2858" spans="4:4" ht="15.75">
      <c r="D2858" s="1445"/>
    </row>
    <row r="2859" spans="4:4" ht="15.75">
      <c r="D2859" s="1445"/>
    </row>
    <row r="2860" spans="4:4" ht="15.75">
      <c r="D2860" s="1445"/>
    </row>
    <row r="2861" spans="4:4" ht="15.75">
      <c r="D2861" s="1445"/>
    </row>
    <row r="2862" spans="4:4" ht="15.75">
      <c r="D2862" s="1445"/>
    </row>
    <row r="2863" spans="4:4" ht="15.75">
      <c r="D2863" s="1445"/>
    </row>
    <row r="2864" spans="4:4" ht="15.75">
      <c r="D2864" s="1445"/>
    </row>
    <row r="2865" spans="4:4" ht="15.75">
      <c r="D2865" s="1445"/>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4" customWidth="1"/>
    <col min="2" max="3" width="8.33203125" style="814" customWidth="1"/>
    <col min="4" max="4" width="7.88671875" style="814" customWidth="1"/>
    <col min="5" max="6" width="7.21875" style="814" customWidth="1"/>
    <col min="7" max="7" width="9.109375" style="814" customWidth="1"/>
    <col min="8" max="10" width="8.21875" style="814" customWidth="1"/>
    <col min="11" max="16" width="10.109375" style="814" customWidth="1"/>
    <col min="17" max="17" width="8.88671875" style="814"/>
    <col min="18" max="19" width="3.33203125" style="814" customWidth="1"/>
    <col min="20" max="20" width="3.6640625" style="814" customWidth="1"/>
    <col min="21" max="21" width="4.6640625" style="814" customWidth="1"/>
    <col min="22" max="22" width="7.33203125" style="814" customWidth="1"/>
    <col min="23" max="24" width="3.33203125" style="814" customWidth="1"/>
    <col min="25" max="16384" width="8.88671875" style="814"/>
  </cols>
  <sheetData>
    <row r="1" spans="1:24" ht="27.75" customHeight="1">
      <c r="A1" s="3215" t="s">
        <v>4209</v>
      </c>
      <c r="B1" s="3215"/>
      <c r="C1" s="3215"/>
      <c r="D1" s="3215"/>
      <c r="E1" s="3215"/>
      <c r="F1" s="3215"/>
      <c r="G1" s="3215"/>
      <c r="H1" s="3215"/>
      <c r="I1" s="3215"/>
      <c r="J1" s="3215"/>
      <c r="K1" s="3215"/>
      <c r="L1" s="3215"/>
      <c r="M1" s="3215"/>
      <c r="N1" s="3215"/>
      <c r="O1" s="3215"/>
      <c r="P1" s="3215"/>
      <c r="R1" s="816"/>
    </row>
    <row r="2" spans="1:24" ht="35.25" customHeight="1">
      <c r="A2" s="3214" t="str">
        <f>"Tên công trình: "&amp;Solieu!C6</f>
        <v xml:space="preserve">Tên công trình: </v>
      </c>
      <c r="B2" s="3214"/>
      <c r="C2" s="3214"/>
      <c r="D2" s="3214"/>
      <c r="E2" s="3214"/>
      <c r="F2" s="3214"/>
      <c r="G2" s="3214"/>
      <c r="H2" s="3214"/>
      <c r="I2" s="3214"/>
      <c r="J2" s="3214"/>
      <c r="K2" s="3216" t="str">
        <f>"Đơn vị thi công: "&amp;Solieu!C10</f>
        <v>Đơn vị thi công: x</v>
      </c>
      <c r="L2" s="3216"/>
      <c r="M2" s="3216"/>
      <c r="N2" s="3216"/>
      <c r="O2" s="3216"/>
      <c r="P2" s="3216"/>
    </row>
    <row r="3" spans="1:24" ht="26.25" customHeight="1" thickBot="1">
      <c r="A3" s="3214" t="s">
        <v>4210</v>
      </c>
      <c r="B3" s="3214"/>
      <c r="C3" s="3214"/>
      <c r="D3" s="3214"/>
      <c r="E3" s="3214"/>
      <c r="F3" s="3214"/>
      <c r="G3" s="3214"/>
      <c r="H3" s="3214"/>
      <c r="I3" s="3214"/>
      <c r="J3" s="3214"/>
      <c r="K3" s="3217" t="s">
        <v>4211</v>
      </c>
      <c r="L3" s="3218"/>
      <c r="M3" s="3218"/>
      <c r="N3" s="3218"/>
      <c r="O3" s="3218"/>
      <c r="P3" s="3219"/>
    </row>
    <row r="4" spans="1:24" ht="26.25" customHeight="1" thickTop="1">
      <c r="A4" s="3214" t="s">
        <v>4212</v>
      </c>
      <c r="B4" s="3214"/>
      <c r="C4" s="3214"/>
      <c r="D4" s="3214"/>
      <c r="E4" s="3214"/>
      <c r="F4" s="3214"/>
      <c r="G4" s="3214"/>
      <c r="H4" s="3214"/>
      <c r="I4" s="3214"/>
      <c r="J4" s="3214"/>
      <c r="K4" s="3214"/>
      <c r="L4" s="3214"/>
      <c r="M4" s="3214"/>
      <c r="N4" s="3214"/>
      <c r="O4" s="3214"/>
      <c r="P4" s="3214"/>
      <c r="R4" s="904"/>
      <c r="S4" s="736"/>
      <c r="T4" s="737"/>
      <c r="U4" s="914"/>
      <c r="V4" s="903"/>
      <c r="W4" s="915"/>
      <c r="X4" s="916"/>
    </row>
    <row r="5" spans="1:24" ht="28.5" customHeight="1">
      <c r="A5" s="3216" t="s">
        <v>4213</v>
      </c>
      <c r="B5" s="3216" t="s">
        <v>4214</v>
      </c>
      <c r="C5" s="3216"/>
      <c r="D5" s="3216" t="s">
        <v>4215</v>
      </c>
      <c r="E5" s="859" t="s">
        <v>4216</v>
      </c>
      <c r="F5" s="859"/>
      <c r="G5" s="859"/>
      <c r="H5" s="859"/>
      <c r="I5" s="859"/>
      <c r="J5" s="859"/>
      <c r="K5" s="859"/>
      <c r="L5" s="859"/>
      <c r="M5" s="859"/>
      <c r="N5" s="3220" t="s">
        <v>4217</v>
      </c>
      <c r="O5" s="3216" t="s">
        <v>4218</v>
      </c>
      <c r="P5" s="3216"/>
      <c r="R5" s="904"/>
      <c r="S5" s="736"/>
      <c r="T5" s="737"/>
      <c r="U5" s="917"/>
      <c r="V5" s="902"/>
      <c r="W5" s="901"/>
      <c r="X5" s="902"/>
    </row>
    <row r="6" spans="1:24" ht="28.5" customHeight="1">
      <c r="A6" s="3216"/>
      <c r="B6" s="3216" t="s">
        <v>4219</v>
      </c>
      <c r="C6" s="3216" t="s">
        <v>4220</v>
      </c>
      <c r="D6" s="3216"/>
      <c r="E6" s="3216" t="s">
        <v>4221</v>
      </c>
      <c r="F6" s="3216" t="s">
        <v>4222</v>
      </c>
      <c r="G6" s="3216" t="s">
        <v>4223</v>
      </c>
      <c r="H6" s="3216" t="s">
        <v>4224</v>
      </c>
      <c r="I6" s="3216"/>
      <c r="J6" s="3216" t="s">
        <v>4225</v>
      </c>
      <c r="K6" s="3216"/>
      <c r="L6" s="3216"/>
      <c r="M6" s="3216"/>
      <c r="N6" s="3221"/>
      <c r="O6" s="3216" t="s">
        <v>4226</v>
      </c>
      <c r="P6" s="3216" t="s">
        <v>4227</v>
      </c>
      <c r="R6" s="904"/>
      <c r="S6" s="736"/>
      <c r="T6" s="737"/>
      <c r="U6" s="913"/>
      <c r="V6" s="913"/>
      <c r="W6" s="913"/>
      <c r="X6" s="913"/>
    </row>
    <row r="7" spans="1:24" ht="48" customHeight="1">
      <c r="A7" s="3216"/>
      <c r="B7" s="3216"/>
      <c r="C7" s="3216"/>
      <c r="D7" s="3216"/>
      <c r="E7" s="3216"/>
      <c r="F7" s="3216"/>
      <c r="G7" s="3216"/>
      <c r="H7" s="824" t="s">
        <v>4228</v>
      </c>
      <c r="I7" s="824" t="s">
        <v>4229</v>
      </c>
      <c r="J7" s="824" t="s">
        <v>4230</v>
      </c>
      <c r="K7" s="824" t="s">
        <v>4231</v>
      </c>
      <c r="L7" s="824" t="s">
        <v>4228</v>
      </c>
      <c r="M7" s="824" t="s">
        <v>4232</v>
      </c>
      <c r="N7" s="3222"/>
      <c r="O7" s="3216"/>
      <c r="P7" s="3216"/>
      <c r="Q7" s="814" t="s">
        <v>512</v>
      </c>
      <c r="R7" s="904"/>
      <c r="S7" s="735"/>
      <c r="T7" s="735"/>
      <c r="U7" s="736"/>
      <c r="V7" s="737"/>
      <c r="W7" s="737"/>
      <c r="X7" s="737"/>
    </row>
    <row r="8" spans="1:24" ht="23.25" customHeight="1">
      <c r="A8" s="865"/>
      <c r="B8" s="918" t="s">
        <v>4298</v>
      </c>
      <c r="C8" s="861" t="str">
        <f t="shared" ref="C8:C26" si="0">B8</f>
        <v>01/13</v>
      </c>
      <c r="D8" s="736">
        <v>25</v>
      </c>
      <c r="E8" s="862" t="s">
        <v>4296</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4299</v>
      </c>
      <c r="C9" s="861" t="str">
        <f t="shared" si="0"/>
        <v>01/14</v>
      </c>
      <c r="D9" s="736">
        <v>38</v>
      </c>
      <c r="E9" s="862" t="s">
        <v>4296</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4300</v>
      </c>
      <c r="C10" s="861" t="str">
        <f t="shared" si="0"/>
        <v>01/15</v>
      </c>
      <c r="D10" s="735">
        <v>40</v>
      </c>
      <c r="E10" s="862" t="s">
        <v>4296</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4301</v>
      </c>
      <c r="C11" s="861" t="str">
        <f t="shared" si="0"/>
        <v>01/16</v>
      </c>
      <c r="D11" s="735">
        <v>40</v>
      </c>
      <c r="E11" s="862" t="s">
        <v>4296</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4302</v>
      </c>
      <c r="C12" s="861" t="str">
        <f t="shared" si="0"/>
        <v>01/17</v>
      </c>
      <c r="D12" s="735">
        <v>38</v>
      </c>
      <c r="E12" s="862" t="s">
        <v>4296</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4303</v>
      </c>
      <c r="C13" s="861" t="str">
        <f t="shared" si="0"/>
        <v>01/18</v>
      </c>
      <c r="D13" s="735">
        <v>40</v>
      </c>
      <c r="E13" s="862" t="s">
        <v>4296</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4304</v>
      </c>
      <c r="C14" s="861" t="str">
        <f t="shared" si="0"/>
        <v>01/19</v>
      </c>
      <c r="D14" s="735">
        <v>40</v>
      </c>
      <c r="E14" s="862" t="s">
        <v>4296</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4305</v>
      </c>
      <c r="C15" s="861" t="str">
        <f t="shared" si="0"/>
        <v>01/20</v>
      </c>
      <c r="D15" s="735">
        <v>38</v>
      </c>
      <c r="E15" s="862" t="s">
        <v>4296</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4306</v>
      </c>
      <c r="C16" s="861" t="str">
        <f t="shared" si="0"/>
        <v>01/21</v>
      </c>
      <c r="D16" s="735">
        <v>40</v>
      </c>
      <c r="E16" s="862" t="s">
        <v>4296</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4307</v>
      </c>
      <c r="C17" s="861" t="str">
        <f t="shared" si="0"/>
        <v>01/22</v>
      </c>
      <c r="D17" s="735">
        <v>40</v>
      </c>
      <c r="E17" s="862" t="s">
        <v>4296</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4308</v>
      </c>
      <c r="C18" s="861" t="str">
        <f t="shared" si="0"/>
        <v>01/23</v>
      </c>
      <c r="D18" s="735">
        <v>40</v>
      </c>
      <c r="E18" s="862" t="s">
        <v>4296</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4309</v>
      </c>
      <c r="C19" s="861" t="str">
        <f t="shared" si="0"/>
        <v>01/24</v>
      </c>
      <c r="D19" s="905">
        <v>40</v>
      </c>
      <c r="E19" s="862" t="s">
        <v>4296</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4310</v>
      </c>
      <c r="C20" s="861" t="str">
        <f t="shared" si="0"/>
        <v>01/25</v>
      </c>
      <c r="D20" s="906">
        <v>38</v>
      </c>
      <c r="E20" s="862" t="s">
        <v>4296</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4311</v>
      </c>
      <c r="C21" s="861" t="str">
        <f t="shared" si="0"/>
        <v>01/26</v>
      </c>
      <c r="D21" s="906">
        <v>35</v>
      </c>
      <c r="E21" s="862" t="s">
        <v>4296</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4312</v>
      </c>
      <c r="C22" s="861" t="str">
        <f t="shared" si="0"/>
        <v>01/27</v>
      </c>
      <c r="D22" s="735">
        <v>35</v>
      </c>
      <c r="E22" s="862" t="s">
        <v>4296</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4313</v>
      </c>
      <c r="C23" s="861" t="str">
        <f t="shared" si="0"/>
        <v>01/28</v>
      </c>
      <c r="D23" s="905">
        <v>38</v>
      </c>
      <c r="E23" s="862" t="s">
        <v>4296</v>
      </c>
      <c r="F23" s="863">
        <v>1.2</v>
      </c>
      <c r="G23" s="864" t="s">
        <v>87</v>
      </c>
      <c r="H23" s="862"/>
      <c r="I23" s="862"/>
      <c r="J23" s="862"/>
      <c r="K23" s="862"/>
      <c r="L23" s="862"/>
      <c r="M23" s="862"/>
      <c r="N23" s="862"/>
      <c r="O23" s="862"/>
      <c r="P23" s="862"/>
      <c r="Q23" s="814" t="str">
        <f t="shared" si="1"/>
        <v>x</v>
      </c>
    </row>
    <row r="24" spans="1:20" ht="28.5" customHeight="1">
      <c r="A24" s="865"/>
      <c r="B24" s="918" t="s">
        <v>4314</v>
      </c>
      <c r="C24" s="861" t="str">
        <f t="shared" si="0"/>
        <v>01/29</v>
      </c>
      <c r="D24" s="535">
        <v>40</v>
      </c>
      <c r="E24" s="862" t="s">
        <v>4296</v>
      </c>
      <c r="F24" s="863">
        <v>1.2</v>
      </c>
      <c r="G24" s="864" t="s">
        <v>87</v>
      </c>
      <c r="H24" s="862"/>
      <c r="I24" s="862"/>
      <c r="J24" s="862"/>
      <c r="K24" s="862"/>
      <c r="L24" s="862"/>
      <c r="M24" s="862"/>
      <c r="N24" s="862"/>
      <c r="O24" s="862"/>
      <c r="P24" s="862"/>
      <c r="Q24" s="814" t="str">
        <f t="shared" si="1"/>
        <v>x</v>
      </c>
    </row>
    <row r="25" spans="1:20" ht="28.5" customHeight="1">
      <c r="A25" s="865"/>
      <c r="B25" s="918" t="s">
        <v>4315</v>
      </c>
      <c r="C25" s="861" t="str">
        <f t="shared" si="0"/>
        <v>01/30</v>
      </c>
      <c r="D25" s="535">
        <v>40</v>
      </c>
      <c r="E25" s="862" t="s">
        <v>4296</v>
      </c>
      <c r="F25" s="863">
        <v>1.2</v>
      </c>
      <c r="G25" s="864" t="s">
        <v>87</v>
      </c>
      <c r="H25" s="862"/>
      <c r="I25" s="862"/>
      <c r="J25" s="862"/>
      <c r="K25" s="862"/>
      <c r="L25" s="862"/>
      <c r="M25" s="862"/>
      <c r="N25" s="862"/>
      <c r="O25" s="862"/>
      <c r="P25" s="862"/>
      <c r="Q25" s="814" t="str">
        <f t="shared" si="1"/>
        <v>x</v>
      </c>
    </row>
    <row r="26" spans="1:20" ht="28.5" customHeight="1">
      <c r="A26" s="865"/>
      <c r="B26" s="918" t="s">
        <v>4316</v>
      </c>
      <c r="C26" s="861" t="str">
        <f t="shared" si="0"/>
        <v>01/31</v>
      </c>
      <c r="D26" s="535">
        <v>40</v>
      </c>
      <c r="E26" s="862" t="s">
        <v>4296</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3" t="str">
        <f>"- Tổng chiều dài tuyến: "&amp;ROUND(SUM(D8:D50),1)&amp;" m"</f>
        <v>- Tổng chiều dài tuyến: 725 m</v>
      </c>
      <c r="D52" s="3214"/>
      <c r="E52" s="3214"/>
      <c r="F52" s="3214"/>
      <c r="G52" s="3214"/>
      <c r="H52" s="3214"/>
      <c r="I52" s="3214"/>
      <c r="J52" s="3214"/>
      <c r="K52" s="3214"/>
      <c r="L52" s="3214"/>
      <c r="M52" s="3214"/>
      <c r="N52" s="3214"/>
      <c r="O52" s="3214"/>
      <c r="P52" s="3214"/>
    </row>
    <row r="53" spans="1:17" ht="21.75" customHeight="1">
      <c r="A53" s="928" t="s">
        <v>4233</v>
      </c>
      <c r="B53" s="922"/>
      <c r="C53" s="3213" t="str">
        <f>"- Tổng số lượng trụ "&amp;$E$8&amp;"m: "&amp;COUNTIF(E8:E51,$E$8)&amp;" trụ."</f>
        <v>- Tổng số lượng trụ 7,5m: 19 trụ.</v>
      </c>
      <c r="D53" s="3214"/>
      <c r="E53" s="3214"/>
      <c r="F53" s="3214"/>
      <c r="G53" s="3214"/>
      <c r="H53" s="3214"/>
      <c r="I53" s="3214"/>
      <c r="J53" s="3214"/>
      <c r="K53" s="3214"/>
      <c r="L53" s="3214"/>
      <c r="M53" s="3214"/>
      <c r="N53" s="3214"/>
      <c r="O53" s="3214"/>
      <c r="P53" s="3214"/>
    </row>
    <row r="54" spans="1:17" ht="21.75" customHeight="1">
      <c r="A54" s="923"/>
      <c r="B54" s="924"/>
      <c r="C54" s="3213" t="str">
        <f>"- Tổng số lượng móng M7BT đôi: "&amp;TEXT(COUNTIF(G6:G51,"M7BT ĐÔI"),"00")&amp;" móng."</f>
        <v>- Tổng số lượng móng M7BT đôi: 00 móng.</v>
      </c>
      <c r="D54" s="3214"/>
      <c r="E54" s="3214"/>
      <c r="F54" s="3214"/>
      <c r="G54" s="3214"/>
      <c r="H54" s="3214"/>
      <c r="I54" s="3214"/>
      <c r="J54" s="3214"/>
      <c r="K54" s="3214"/>
      <c r="L54" s="3214"/>
      <c r="M54" s="3214"/>
      <c r="N54" s="3214"/>
      <c r="O54" s="3214"/>
      <c r="P54" s="3214"/>
    </row>
    <row r="55" spans="1:17" ht="21.75" hidden="1" customHeight="1">
      <c r="A55" s="923"/>
      <c r="B55" s="924"/>
      <c r="C55" s="3213" t="str">
        <f>"- Tổng số lượng móng M12BT đơn: "&amp;TEXT(COUNTIF(G6:G13,"M12BT ĐƠN"),"00")&amp;" móng."</f>
        <v>- Tổng số lượng móng M12BT đơn: 00 móng.</v>
      </c>
      <c r="D55" s="3214"/>
      <c r="E55" s="3214"/>
      <c r="F55" s="3214"/>
      <c r="G55" s="3214"/>
      <c r="H55" s="3214"/>
      <c r="I55" s="3214"/>
      <c r="J55" s="3214"/>
      <c r="K55" s="3214"/>
      <c r="L55" s="3214"/>
      <c r="M55" s="3214"/>
      <c r="N55" s="3214"/>
      <c r="O55" s="3214"/>
      <c r="P55" s="3214"/>
      <c r="Q55" s="814">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4" customWidth="1"/>
    <col min="2" max="3" width="8.88671875" style="814" customWidth="1"/>
    <col min="4" max="4" width="7.77734375" style="814" customWidth="1"/>
    <col min="5" max="5" width="7.6640625" style="814" customWidth="1"/>
    <col min="6" max="6" width="6.44140625" style="814" customWidth="1"/>
    <col min="7" max="7" width="8.88671875" style="814" customWidth="1"/>
    <col min="8" max="8" width="6.33203125" style="814" customWidth="1"/>
    <col min="9" max="9" width="7.33203125" style="814" customWidth="1"/>
    <col min="10" max="10" width="6.88671875" style="814" customWidth="1"/>
    <col min="11" max="11" width="8.44140625" style="814" customWidth="1"/>
    <col min="12" max="12" width="9.6640625" style="814" customWidth="1"/>
    <col min="13" max="13" width="11.21875" style="814" customWidth="1"/>
    <col min="14" max="14" width="17.77734375" style="814" customWidth="1"/>
    <col min="15" max="15" width="8.88671875" style="814"/>
    <col min="16" max="16" width="11.88671875" style="814" customWidth="1"/>
    <col min="17" max="17" width="8.88671875" style="814"/>
    <col min="18" max="18" width="0" style="814" hidden="1" customWidth="1"/>
    <col min="19" max="20" width="8.88671875" style="825"/>
    <col min="21" max="16384" width="8.88671875" style="814"/>
  </cols>
  <sheetData>
    <row r="1" spans="1:20" ht="32.25" customHeight="1">
      <c r="A1" s="3215" t="s">
        <v>4234</v>
      </c>
      <c r="B1" s="3215"/>
      <c r="C1" s="3215"/>
      <c r="D1" s="3215"/>
      <c r="E1" s="3215"/>
      <c r="F1" s="3215"/>
      <c r="G1" s="3215"/>
      <c r="H1" s="3215"/>
      <c r="I1" s="3215"/>
      <c r="J1" s="3215"/>
      <c r="K1" s="3215"/>
      <c r="L1" s="3215"/>
      <c r="M1" s="3215"/>
      <c r="N1" s="3215"/>
      <c r="O1" s="3215"/>
      <c r="P1" s="3215"/>
      <c r="R1" s="816" t="s">
        <v>4141</v>
      </c>
    </row>
    <row r="2" spans="1:20" ht="33.75" customHeight="1">
      <c r="A2" s="3223" t="e">
        <f>"Tên công trình: "&amp;Solieu!#REF!</f>
        <v>#REF!</v>
      </c>
      <c r="B2" s="3224"/>
      <c r="C2" s="3224"/>
      <c r="D2" s="3224"/>
      <c r="E2" s="3224"/>
      <c r="F2" s="3224"/>
      <c r="G2" s="3224"/>
      <c r="H2" s="3224"/>
      <c r="I2" s="3224"/>
      <c r="J2" s="3225"/>
      <c r="K2" s="3216" t="str">
        <f>"Đơn vị thi công: "&amp;Solieu!C10</f>
        <v>Đơn vị thi công: x</v>
      </c>
      <c r="L2" s="3216"/>
      <c r="M2" s="3216"/>
      <c r="N2" s="3216"/>
      <c r="O2" s="3216"/>
      <c r="P2" s="3216"/>
    </row>
    <row r="3" spans="1:20" ht="25.5" customHeight="1">
      <c r="A3" s="3214" t="s">
        <v>4235</v>
      </c>
      <c r="B3" s="3214"/>
      <c r="C3" s="3214"/>
      <c r="D3" s="3214"/>
      <c r="E3" s="3214"/>
      <c r="F3" s="3214"/>
      <c r="G3" s="3214"/>
      <c r="H3" s="3214"/>
      <c r="I3" s="3214"/>
      <c r="J3" s="3214"/>
      <c r="K3" s="3217" t="s">
        <v>4211</v>
      </c>
      <c r="L3" s="3218"/>
      <c r="M3" s="3218"/>
      <c r="N3" s="3218"/>
      <c r="O3" s="3218"/>
      <c r="P3" s="3219"/>
    </row>
    <row r="4" spans="1:20" ht="25.5" customHeight="1">
      <c r="A4" s="3214" t="s">
        <v>4212</v>
      </c>
      <c r="B4" s="3214"/>
      <c r="C4" s="3214"/>
      <c r="D4" s="3214"/>
      <c r="E4" s="3214"/>
      <c r="F4" s="3214"/>
      <c r="G4" s="3214"/>
      <c r="H4" s="3214"/>
      <c r="I4" s="3214"/>
      <c r="J4" s="3214"/>
      <c r="K4" s="3214"/>
      <c r="L4" s="3214"/>
      <c r="M4" s="3214"/>
      <c r="N4" s="3214"/>
      <c r="O4" s="3214"/>
      <c r="P4" s="3214"/>
    </row>
    <row r="5" spans="1:20">
      <c r="A5" s="3216" t="s">
        <v>4213</v>
      </c>
      <c r="B5" s="3216" t="s">
        <v>4236</v>
      </c>
      <c r="C5" s="3216"/>
      <c r="D5" s="3216" t="s">
        <v>3776</v>
      </c>
      <c r="E5" s="3216" t="s">
        <v>4237</v>
      </c>
      <c r="F5" s="3216" t="s">
        <v>4238</v>
      </c>
      <c r="G5" s="3216"/>
      <c r="H5" s="3216" t="s">
        <v>4239</v>
      </c>
      <c r="I5" s="3216"/>
      <c r="J5" s="3216"/>
      <c r="K5" s="3216"/>
      <c r="L5" s="3216" t="s">
        <v>4240</v>
      </c>
      <c r="M5" s="3216"/>
      <c r="N5" s="3216" t="s">
        <v>4217</v>
      </c>
      <c r="O5" s="3216" t="s">
        <v>4218</v>
      </c>
      <c r="P5" s="3216"/>
    </row>
    <row r="6" spans="1:20">
      <c r="A6" s="3216"/>
      <c r="B6" s="3216"/>
      <c r="C6" s="3216"/>
      <c r="D6" s="3216"/>
      <c r="E6" s="3216"/>
      <c r="F6" s="3216"/>
      <c r="G6" s="3216"/>
      <c r="H6" s="3216"/>
      <c r="I6" s="3216"/>
      <c r="J6" s="3216"/>
      <c r="K6" s="3216"/>
      <c r="L6" s="3216"/>
      <c r="M6" s="3216"/>
      <c r="N6" s="3216"/>
      <c r="O6" s="3216"/>
      <c r="P6" s="3216"/>
    </row>
    <row r="7" spans="1:20">
      <c r="A7" s="3216"/>
      <c r="B7" s="3216"/>
      <c r="C7" s="3216"/>
      <c r="D7" s="3216"/>
      <c r="E7" s="3216"/>
      <c r="F7" s="3216"/>
      <c r="G7" s="3216"/>
      <c r="H7" s="3216"/>
      <c r="I7" s="3216"/>
      <c r="J7" s="3216"/>
      <c r="K7" s="3216"/>
      <c r="L7" s="3216"/>
      <c r="M7" s="3216"/>
      <c r="N7" s="3216"/>
      <c r="O7" s="3216"/>
      <c r="P7" s="3216"/>
    </row>
    <row r="8" spans="1:20" ht="69.75" customHeight="1">
      <c r="A8" s="3216"/>
      <c r="B8" s="824" t="s">
        <v>4219</v>
      </c>
      <c r="C8" s="824" t="s">
        <v>4241</v>
      </c>
      <c r="D8" s="3216"/>
      <c r="E8" s="3216"/>
      <c r="F8" s="824" t="s">
        <v>4242</v>
      </c>
      <c r="G8" s="824" t="s">
        <v>4243</v>
      </c>
      <c r="H8" s="824" t="s">
        <v>4244</v>
      </c>
      <c r="I8" s="824" t="s">
        <v>4232</v>
      </c>
      <c r="J8" s="824" t="s">
        <v>4245</v>
      </c>
      <c r="K8" s="868" t="s">
        <v>4232</v>
      </c>
      <c r="L8" s="824" t="s">
        <v>4246</v>
      </c>
      <c r="M8" s="824" t="s">
        <v>4232</v>
      </c>
      <c r="N8" s="3216"/>
      <c r="O8" s="824" t="s">
        <v>4226</v>
      </c>
      <c r="P8" s="824" t="s">
        <v>4227</v>
      </c>
      <c r="Q8" s="869" t="s">
        <v>512</v>
      </c>
      <c r="S8" s="825" t="s">
        <v>663</v>
      </c>
      <c r="T8" s="825" t="s">
        <v>664</v>
      </c>
    </row>
    <row r="9" spans="1:20" ht="33" customHeight="1">
      <c r="A9" s="854"/>
      <c r="B9" s="904" t="s">
        <v>4298</v>
      </c>
      <c r="C9" s="904" t="s">
        <v>4298</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4299</v>
      </c>
      <c r="C10" s="904" t="s">
        <v>4299</v>
      </c>
      <c r="D10" s="736" t="s">
        <v>4317</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4301</v>
      </c>
      <c r="C11" s="904" t="s">
        <v>4301</v>
      </c>
      <c r="D11" s="736" t="s">
        <v>4317</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4302</v>
      </c>
      <c r="C12" s="904" t="s">
        <v>4302</v>
      </c>
      <c r="D12" s="736" t="s">
        <v>4317</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4304</v>
      </c>
      <c r="C13" s="904" t="s">
        <v>4304</v>
      </c>
      <c r="D13" s="736" t="s">
        <v>4317</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4305</v>
      </c>
      <c r="C14" s="904" t="s">
        <v>4305</v>
      </c>
      <c r="D14" s="736" t="s">
        <v>4317</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4310</v>
      </c>
      <c r="C15" s="904" t="s">
        <v>4310</v>
      </c>
      <c r="D15" s="737" t="s">
        <v>4317</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4311</v>
      </c>
      <c r="C16" s="904" t="s">
        <v>4311</v>
      </c>
      <c r="D16" s="737" t="s">
        <v>4317</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4316</v>
      </c>
      <c r="C17" s="904" t="s">
        <v>4316</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4" t="str">
        <f>"Tổng cộng: "&amp;TEXT((17-COUNTBLANK(B9:B25)),"00")&amp;" bộ."</f>
        <v>Tổng cộng: 09 bộ.</v>
      </c>
      <c r="B26" s="3214"/>
      <c r="C26" s="3214"/>
      <c r="D26" s="874"/>
      <c r="E26" s="874"/>
      <c r="F26" s="874"/>
      <c r="G26" s="874"/>
      <c r="H26" s="874"/>
      <c r="I26" s="874"/>
      <c r="J26" s="874"/>
      <c r="K26" s="875"/>
      <c r="L26" s="874"/>
      <c r="M26" s="874"/>
      <c r="N26" s="874"/>
      <c r="O26" s="874"/>
      <c r="P26" s="874"/>
    </row>
    <row r="27" spans="1:18" ht="28.5" customHeight="1">
      <c r="A27" s="3214" t="s">
        <v>4247</v>
      </c>
      <c r="B27" s="3214"/>
      <c r="C27" s="3214"/>
      <c r="D27" s="3214" t="str">
        <f>"NXL:  "&amp;TEXT(COUNTIF(R:R,"CL"),"00")&amp;" bộ."</f>
        <v>NXL:  00 bộ.</v>
      </c>
      <c r="E27" s="3214"/>
      <c r="F27" s="3214"/>
      <c r="G27" s="3214"/>
      <c r="H27" s="3214"/>
      <c r="I27" s="3214"/>
      <c r="J27" s="3214"/>
      <c r="K27" s="3214"/>
      <c r="L27" s="3214"/>
      <c r="M27" s="3214"/>
      <c r="N27" s="3214"/>
      <c r="O27" s="3214"/>
      <c r="P27" s="3214"/>
    </row>
    <row r="28" spans="1:18" ht="28.5" customHeight="1">
      <c r="A28" s="3214"/>
      <c r="B28" s="3214"/>
      <c r="C28" s="3214"/>
      <c r="D28" s="3214" t="str">
        <f>"NXX:  "&amp;TEXT(COUNTIF(R:R,"CX"),"00")&amp;" bộ."</f>
        <v>NXX:  09 bộ.</v>
      </c>
      <c r="E28" s="3214"/>
      <c r="F28" s="3214"/>
      <c r="G28" s="3214"/>
      <c r="H28" s="3214"/>
      <c r="I28" s="3214"/>
      <c r="J28" s="3214"/>
      <c r="K28" s="3214"/>
      <c r="L28" s="3214"/>
      <c r="M28" s="3214"/>
      <c r="N28" s="3214"/>
      <c r="O28" s="3214"/>
      <c r="P28" s="3214"/>
    </row>
    <row r="29" spans="1:18">
      <c r="A29" s="815"/>
      <c r="B29" s="815"/>
      <c r="C29" s="815"/>
      <c r="D29" s="815"/>
      <c r="E29" s="815"/>
      <c r="F29" s="815"/>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4" customWidth="1"/>
    <col min="2" max="2" width="6.21875" style="814" customWidth="1"/>
    <col min="3" max="3" width="5.88671875" style="814" customWidth="1"/>
    <col min="4" max="4" width="7.21875" style="814" customWidth="1"/>
    <col min="5" max="5" width="6.33203125" style="814" customWidth="1"/>
    <col min="6" max="6" width="6.77734375" style="814" customWidth="1"/>
    <col min="7" max="11" width="6.6640625" style="814" customWidth="1"/>
    <col min="12" max="12" width="6.77734375" style="814" customWidth="1"/>
    <col min="13" max="14" width="7.109375" style="814" customWidth="1"/>
    <col min="15" max="15" width="8.6640625" style="814" customWidth="1"/>
    <col min="16" max="16" width="7.33203125" style="814" customWidth="1"/>
    <col min="17" max="17" width="7.109375" style="814" customWidth="1"/>
    <col min="18" max="20" width="11.109375" style="814" customWidth="1"/>
    <col min="21" max="16384" width="8.88671875" style="814"/>
  </cols>
  <sheetData>
    <row r="1" spans="1:30" ht="32.25" customHeight="1">
      <c r="A1" s="3227" t="s">
        <v>4248</v>
      </c>
      <c r="B1" s="3227"/>
      <c r="C1" s="3227"/>
      <c r="D1" s="3227"/>
      <c r="E1" s="3227"/>
      <c r="F1" s="3227"/>
      <c r="G1" s="3227"/>
      <c r="H1" s="3227"/>
      <c r="I1" s="3227"/>
      <c r="J1" s="3227"/>
      <c r="K1" s="3227"/>
      <c r="L1" s="3227"/>
      <c r="M1" s="3227"/>
      <c r="N1" s="3227"/>
      <c r="O1" s="3227"/>
      <c r="P1" s="3227"/>
      <c r="Q1" s="3227"/>
      <c r="R1" s="3227"/>
      <c r="S1" s="3227"/>
      <c r="T1" s="3227"/>
      <c r="V1" s="816" t="s">
        <v>4141</v>
      </c>
    </row>
    <row r="2" spans="1:30" ht="33" customHeight="1">
      <c r="A2" s="3223" t="e">
        <f>"Tên công trình: "&amp;Solieu!#REF!</f>
        <v>#REF!</v>
      </c>
      <c r="B2" s="3224"/>
      <c r="C2" s="3224"/>
      <c r="D2" s="3224"/>
      <c r="E2" s="3224"/>
      <c r="F2" s="3224"/>
      <c r="G2" s="3224"/>
      <c r="H2" s="3224"/>
      <c r="I2" s="3224"/>
      <c r="J2" s="3224"/>
      <c r="K2" s="3224"/>
      <c r="L2" s="3224"/>
      <c r="M2" s="3224"/>
      <c r="N2" s="3225"/>
      <c r="O2" s="3228" t="str">
        <f>"Đơn vị thi công: "&amp;Solieu!C10</f>
        <v>Đơn vị thi công: x</v>
      </c>
      <c r="P2" s="3229"/>
      <c r="Q2" s="3229"/>
      <c r="R2" s="3229"/>
      <c r="S2" s="3229"/>
      <c r="T2" s="3230"/>
    </row>
    <row r="3" spans="1:30" ht="31.5" customHeight="1">
      <c r="A3" s="3223" t="s">
        <v>4249</v>
      </c>
      <c r="B3" s="3224"/>
      <c r="C3" s="3224"/>
      <c r="D3" s="3224"/>
      <c r="E3" s="3224"/>
      <c r="F3" s="3224"/>
      <c r="G3" s="3224"/>
      <c r="H3" s="3224"/>
      <c r="I3" s="3224"/>
      <c r="J3" s="3224"/>
      <c r="K3" s="3224"/>
      <c r="L3" s="3224"/>
      <c r="M3" s="3224"/>
      <c r="N3" s="3225"/>
      <c r="O3" s="3216" t="s">
        <v>4250</v>
      </c>
      <c r="P3" s="3216"/>
      <c r="Q3" s="3216"/>
      <c r="R3" s="3216"/>
      <c r="S3" s="3216"/>
      <c r="T3" s="3216"/>
    </row>
    <row r="4" spans="1:30" ht="15.75">
      <c r="A4" s="3214" t="s">
        <v>4212</v>
      </c>
      <c r="B4" s="3214"/>
      <c r="C4" s="3214"/>
      <c r="D4" s="3214"/>
      <c r="E4" s="3214"/>
      <c r="F4" s="3214"/>
      <c r="G4" s="3214"/>
      <c r="H4" s="3214"/>
      <c r="I4" s="3214"/>
      <c r="J4" s="3214"/>
      <c r="K4" s="3214"/>
      <c r="L4" s="3214"/>
      <c r="M4" s="3214"/>
      <c r="N4" s="3214"/>
      <c r="O4" s="3214"/>
      <c r="P4" s="3214"/>
      <c r="Q4" s="3214"/>
      <c r="R4" s="3214"/>
      <c r="S4" s="3214"/>
      <c r="T4" s="3214"/>
    </row>
    <row r="5" spans="1:30" ht="32.25" customHeight="1">
      <c r="A5" s="3226" t="s">
        <v>4213</v>
      </c>
      <c r="B5" s="3226" t="s">
        <v>4251</v>
      </c>
      <c r="C5" s="3226"/>
      <c r="D5" s="3226" t="s">
        <v>3776</v>
      </c>
      <c r="E5" s="3226" t="s">
        <v>3287</v>
      </c>
      <c r="F5" s="3226"/>
      <c r="G5" s="3226" t="s">
        <v>4252</v>
      </c>
      <c r="H5" s="3226"/>
      <c r="I5" s="3226"/>
      <c r="J5" s="3226"/>
      <c r="K5" s="3226"/>
      <c r="L5" s="3226" t="s">
        <v>4253</v>
      </c>
      <c r="M5" s="3226"/>
      <c r="N5" s="3226"/>
      <c r="O5" s="3226" t="s">
        <v>4254</v>
      </c>
      <c r="P5" s="3226"/>
      <c r="Q5" s="3226"/>
      <c r="R5" s="3226" t="s">
        <v>4255</v>
      </c>
      <c r="S5" s="3226" t="s">
        <v>4218</v>
      </c>
      <c r="T5" s="3226"/>
    </row>
    <row r="6" spans="1:30" ht="35.25" customHeight="1">
      <c r="A6" s="3226"/>
      <c r="B6" s="3226" t="s">
        <v>4256</v>
      </c>
      <c r="C6" s="3226" t="s">
        <v>4241</v>
      </c>
      <c r="D6" s="3226"/>
      <c r="E6" s="3226" t="s">
        <v>4257</v>
      </c>
      <c r="F6" s="3226" t="s">
        <v>4258</v>
      </c>
      <c r="G6" s="3226" t="s">
        <v>4259</v>
      </c>
      <c r="H6" s="3226" t="s">
        <v>4260</v>
      </c>
      <c r="I6" s="3226" t="s">
        <v>4261</v>
      </c>
      <c r="J6" s="3226" t="s">
        <v>4262</v>
      </c>
      <c r="K6" s="3226" t="s">
        <v>4263</v>
      </c>
      <c r="L6" s="3226" t="s">
        <v>4264</v>
      </c>
      <c r="M6" s="3226" t="s">
        <v>4265</v>
      </c>
      <c r="N6" s="3226"/>
      <c r="O6" s="3226" t="s">
        <v>4266</v>
      </c>
      <c r="P6" s="3226" t="s">
        <v>4267</v>
      </c>
      <c r="Q6" s="3226" t="s">
        <v>4268</v>
      </c>
      <c r="R6" s="3226"/>
      <c r="S6" s="3226" t="s">
        <v>4269</v>
      </c>
      <c r="T6" s="3226" t="s">
        <v>4270</v>
      </c>
      <c r="U6" s="876">
        <v>17</v>
      </c>
      <c r="V6" s="876">
        <v>18</v>
      </c>
      <c r="W6" s="876">
        <v>19</v>
      </c>
      <c r="X6" s="876">
        <v>20</v>
      </c>
      <c r="Y6" s="876">
        <v>21</v>
      </c>
      <c r="Z6" s="876">
        <v>22</v>
      </c>
      <c r="AA6" s="876">
        <v>23</v>
      </c>
      <c r="AB6" s="876">
        <v>24</v>
      </c>
      <c r="AC6" s="876">
        <v>25</v>
      </c>
      <c r="AD6" s="876">
        <v>28</v>
      </c>
    </row>
    <row r="7" spans="1:30" ht="61.5" customHeight="1">
      <c r="A7" s="3226"/>
      <c r="B7" s="3226"/>
      <c r="C7" s="3226"/>
      <c r="D7" s="3226"/>
      <c r="E7" s="3226"/>
      <c r="F7" s="3226"/>
      <c r="G7" s="3226"/>
      <c r="H7" s="3226"/>
      <c r="I7" s="3226"/>
      <c r="J7" s="3226"/>
      <c r="K7" s="3226"/>
      <c r="L7" s="3226"/>
      <c r="M7" s="852" t="s">
        <v>4271</v>
      </c>
      <c r="N7" s="852" t="s">
        <v>4232</v>
      </c>
      <c r="O7" s="3226"/>
      <c r="P7" s="3226"/>
      <c r="Q7" s="3226"/>
      <c r="R7" s="3226"/>
      <c r="S7" s="3226"/>
      <c r="T7" s="3226"/>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5"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5"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5"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5"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5"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5"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5"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75">
      <c r="U18" s="877"/>
      <c r="V18" s="877"/>
      <c r="W18" s="878"/>
      <c r="X18" s="878"/>
      <c r="Y18" s="878"/>
      <c r="Z18" s="894"/>
      <c r="AA18" s="894" t="e">
        <v>#N/A</v>
      </c>
      <c r="AB18" s="894" t="e">
        <v>#N/A</v>
      </c>
      <c r="AC18" s="894" t="e">
        <v>#N/A</v>
      </c>
      <c r="AD18" s="894"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4" customWidth="1"/>
    <col min="2" max="2" width="20.88671875" style="814" customWidth="1"/>
    <col min="3" max="9" width="15.21875" style="814" customWidth="1"/>
    <col min="10" max="16384" width="8.88671875" style="814"/>
  </cols>
  <sheetData>
    <row r="1" spans="1:9" ht="27.75" customHeight="1">
      <c r="A1" s="3234" t="s">
        <v>4272</v>
      </c>
      <c r="B1" s="3234"/>
      <c r="C1" s="3234"/>
      <c r="D1" s="3234"/>
      <c r="E1" s="3234"/>
      <c r="F1" s="3234"/>
      <c r="G1" s="3234"/>
      <c r="H1" s="3234"/>
      <c r="I1" s="3234"/>
    </row>
    <row r="2" spans="1:9" ht="47.25" customHeight="1">
      <c r="A2" s="3214" t="e">
        <f>"Tên công trình: "&amp;Solieu!#REF!</f>
        <v>#REF!</v>
      </c>
      <c r="B2" s="3214"/>
      <c r="C2" s="3214"/>
      <c r="D2" s="3214"/>
      <c r="E2" s="3214"/>
      <c r="F2" s="3214"/>
      <c r="G2" s="3217" t="str">
        <f>"Đơn vị thi công: "&amp;Solieu!C10</f>
        <v>Đơn vị thi công: x</v>
      </c>
      <c r="H2" s="3218"/>
      <c r="I2" s="3219"/>
    </row>
    <row r="3" spans="1:9" ht="31.5" customHeight="1">
      <c r="A3" s="3214" t="s">
        <v>4297</v>
      </c>
      <c r="B3" s="3214"/>
      <c r="C3" s="3214"/>
      <c r="D3" s="3214"/>
      <c r="E3" s="3214"/>
      <c r="F3" s="3214"/>
      <c r="G3" s="3235" t="s">
        <v>4211</v>
      </c>
      <c r="H3" s="3235"/>
      <c r="I3" s="3235"/>
    </row>
    <row r="4" spans="1:9" ht="15.75">
      <c r="A4" s="3214" t="s">
        <v>4212</v>
      </c>
      <c r="B4" s="3214"/>
      <c r="C4" s="3214"/>
      <c r="D4" s="3214"/>
      <c r="E4" s="3214"/>
      <c r="F4" s="3214"/>
      <c r="G4" s="3214"/>
      <c r="H4" s="3214"/>
      <c r="I4" s="3214"/>
    </row>
    <row r="5" spans="1:9" s="815" customFormat="1" ht="21" customHeight="1">
      <c r="A5" s="3216" t="s">
        <v>4213</v>
      </c>
      <c r="B5" s="3216" t="s">
        <v>4273</v>
      </c>
      <c r="C5" s="3216"/>
      <c r="D5" s="3216"/>
      <c r="E5" s="3216" t="s">
        <v>4274</v>
      </c>
      <c r="F5" s="3216"/>
      <c r="G5" s="3216" t="s">
        <v>4255</v>
      </c>
      <c r="H5" s="3216" t="s">
        <v>4218</v>
      </c>
      <c r="I5" s="3216"/>
    </row>
    <row r="6" spans="1:9" s="815" customFormat="1" ht="21" customHeight="1">
      <c r="A6" s="3216"/>
      <c r="B6" s="874" t="s">
        <v>4275</v>
      </c>
      <c r="C6" s="3216" t="s">
        <v>4276</v>
      </c>
      <c r="D6" s="3216" t="s">
        <v>4205</v>
      </c>
      <c r="E6" s="3216" t="s">
        <v>4277</v>
      </c>
      <c r="F6" s="3216" t="s">
        <v>4278</v>
      </c>
      <c r="G6" s="3216"/>
      <c r="H6" s="3216" t="s">
        <v>4269</v>
      </c>
      <c r="I6" s="3216" t="s">
        <v>4270</v>
      </c>
    </row>
    <row r="7" spans="1:9" s="815" customFormat="1" ht="21" customHeight="1">
      <c r="A7" s="3216"/>
      <c r="B7" s="874" t="s">
        <v>4279</v>
      </c>
      <c r="C7" s="3216"/>
      <c r="D7" s="3216"/>
      <c r="E7" s="3216"/>
      <c r="F7" s="3216"/>
      <c r="G7" s="3216"/>
      <c r="H7" s="3216"/>
      <c r="I7" s="3216"/>
    </row>
    <row r="8" spans="1:9" s="815" customFormat="1" ht="15.75">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1" t="s">
        <v>4280</v>
      </c>
      <c r="B10" s="3231"/>
      <c r="C10" s="3232" t="e">
        <f>C9</f>
        <v>#REF!</v>
      </c>
      <c r="D10" s="3233"/>
      <c r="E10" s="3233"/>
      <c r="F10" s="3233"/>
      <c r="G10" s="3233"/>
      <c r="H10" s="3233"/>
      <c r="I10" s="323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20" customWidth="1"/>
    <col min="2" max="10" width="8.88671875" style="1620"/>
    <col min="11" max="16384" width="8.88671875" style="1617"/>
  </cols>
  <sheetData>
    <row r="1" spans="1:11">
      <c r="A1" s="3237" t="s">
        <v>4160</v>
      </c>
      <c r="B1" s="3237"/>
      <c r="C1" s="3237"/>
      <c r="D1" s="3237"/>
      <c r="E1" s="3237"/>
      <c r="F1" s="3237"/>
      <c r="G1" s="3237"/>
      <c r="H1" s="3237"/>
      <c r="I1" s="3237"/>
      <c r="J1" s="3237"/>
      <c r="K1" s="816" t="s">
        <v>4141</v>
      </c>
    </row>
    <row r="2" spans="1:11" ht="18.75">
      <c r="A2" s="3238" t="s">
        <v>4161</v>
      </c>
      <c r="B2" s="3238"/>
      <c r="C2" s="3238"/>
      <c r="D2" s="3238"/>
      <c r="E2" s="3238"/>
      <c r="F2" s="3238"/>
      <c r="G2" s="3238"/>
      <c r="H2" s="3238"/>
      <c r="I2" s="3238"/>
      <c r="J2" s="3238"/>
    </row>
    <row r="3" spans="1:11" ht="15" customHeight="1">
      <c r="A3" s="3239" t="s">
        <v>4162</v>
      </c>
      <c r="B3" s="3239"/>
      <c r="C3" s="3239"/>
      <c r="D3" s="3239"/>
      <c r="E3" s="3239"/>
      <c r="F3" s="3239"/>
      <c r="G3" s="3239"/>
      <c r="H3" s="3239"/>
      <c r="I3" s="3239"/>
      <c r="J3" s="3239"/>
    </row>
    <row r="4" spans="1:11" ht="15" customHeight="1">
      <c r="A4" s="3240" t="s">
        <v>4591</v>
      </c>
      <c r="B4" s="3240"/>
      <c r="C4" s="3240"/>
      <c r="D4" s="3240"/>
      <c r="E4" s="3240"/>
      <c r="F4" s="3240"/>
      <c r="G4" s="3240"/>
      <c r="H4" s="3240"/>
      <c r="I4" s="3240"/>
      <c r="J4" s="3240"/>
    </row>
    <row r="5" spans="1:11" ht="31.5" customHeight="1">
      <c r="A5" s="3241" t="s">
        <v>4564</v>
      </c>
      <c r="B5" s="3241"/>
      <c r="C5" s="3241"/>
      <c r="D5" s="3241"/>
      <c r="E5" s="3241"/>
      <c r="F5" s="3241"/>
      <c r="G5" s="3241"/>
      <c r="H5" s="3241"/>
      <c r="I5" s="3241"/>
      <c r="J5" s="3241"/>
    </row>
    <row r="6" spans="1:11" s="1618" customFormat="1" ht="18.75" customHeight="1">
      <c r="A6" s="3241" t="s">
        <v>4565</v>
      </c>
      <c r="B6" s="3241"/>
      <c r="C6" s="3241"/>
      <c r="D6" s="3241"/>
      <c r="E6" s="3241"/>
      <c r="F6" s="3241"/>
      <c r="G6" s="3241"/>
      <c r="H6" s="3241"/>
      <c r="I6" s="3241"/>
      <c r="J6" s="3241"/>
    </row>
    <row r="7" spans="1:11" s="1618" customFormat="1" ht="18.75" customHeight="1">
      <c r="A7" s="3241" t="s">
        <v>4566</v>
      </c>
      <c r="B7" s="3241"/>
      <c r="C7" s="3241"/>
      <c r="D7" s="3241"/>
      <c r="E7" s="3241"/>
      <c r="F7" s="3241"/>
      <c r="G7" s="3241"/>
      <c r="H7" s="3241"/>
      <c r="I7" s="3241"/>
      <c r="J7" s="3241"/>
    </row>
    <row r="8" spans="1:11" ht="41.25" customHeight="1">
      <c r="A8" s="3242" t="s">
        <v>4592</v>
      </c>
      <c r="B8" s="3242"/>
      <c r="C8" s="3242"/>
      <c r="D8" s="3242"/>
      <c r="E8" s="3242"/>
      <c r="F8" s="3242"/>
      <c r="G8" s="3242"/>
      <c r="H8" s="3242"/>
      <c r="I8" s="3242"/>
      <c r="J8" s="3242"/>
    </row>
    <row r="9" spans="1:11" ht="28.5" customHeight="1">
      <c r="A9" s="1619" t="s">
        <v>4567</v>
      </c>
    </row>
    <row r="10" spans="1:11" ht="19.7" customHeight="1">
      <c r="B10" s="1621" t="s">
        <v>4163</v>
      </c>
    </row>
    <row r="11" spans="1:11" ht="19.7" customHeight="1">
      <c r="B11" s="1619" t="s">
        <v>4568</v>
      </c>
    </row>
    <row r="12" spans="1:11" ht="19.7" customHeight="1">
      <c r="B12" s="1619" t="s">
        <v>4164</v>
      </c>
    </row>
    <row r="13" spans="1:11" ht="19.7" customHeight="1">
      <c r="B13" s="1622" t="s">
        <v>4165</v>
      </c>
    </row>
    <row r="14" spans="1:11" ht="19.7" customHeight="1">
      <c r="C14" s="1620" t="s">
        <v>4593</v>
      </c>
    </row>
    <row r="15" spans="1:11" ht="19.7" customHeight="1">
      <c r="B15" s="1622" t="s">
        <v>4166</v>
      </c>
    </row>
    <row r="16" spans="1:11" ht="19.7" customHeight="1">
      <c r="B16" s="1623" t="s">
        <v>4569</v>
      </c>
      <c r="E16" s="1622" t="s">
        <v>4167</v>
      </c>
    </row>
    <row r="17" spans="1:10" ht="19.7" customHeight="1">
      <c r="B17" s="1620" t="s">
        <v>4594</v>
      </c>
      <c r="F17" s="1620" t="s">
        <v>4168</v>
      </c>
    </row>
    <row r="18" spans="1:10" ht="19.7" customHeight="1">
      <c r="B18" s="1620" t="s">
        <v>4570</v>
      </c>
      <c r="E18" s="1622" t="s">
        <v>4496</v>
      </c>
    </row>
    <row r="19" spans="1:10" ht="19.7" customHeight="1">
      <c r="B19" s="1620" t="s">
        <v>4571</v>
      </c>
      <c r="F19" s="1620" t="s">
        <v>4169</v>
      </c>
    </row>
    <row r="20" spans="1:10" ht="19.7" customHeight="1">
      <c r="B20" s="1622" t="s">
        <v>4572</v>
      </c>
    </row>
    <row r="21" spans="1:10" ht="19.7" customHeight="1">
      <c r="B21" s="1624" t="s">
        <v>4573</v>
      </c>
      <c r="C21" s="1625"/>
      <c r="D21" s="1625"/>
      <c r="E21" s="1625"/>
      <c r="F21" s="1625"/>
      <c r="G21" s="1625"/>
      <c r="H21" s="1625"/>
      <c r="I21" s="1625"/>
      <c r="J21" s="1625"/>
    </row>
    <row r="22" spans="1:10" s="1629" customFormat="1" ht="19.7" customHeight="1">
      <c r="A22" s="1626"/>
      <c r="B22" s="1627" t="s">
        <v>4574</v>
      </c>
      <c r="C22" s="1628"/>
      <c r="D22" s="1628"/>
      <c r="E22" s="1628"/>
      <c r="F22" s="1628"/>
      <c r="G22" s="1628"/>
      <c r="H22" s="1628"/>
      <c r="I22" s="1628"/>
      <c r="J22" s="1628"/>
    </row>
    <row r="23" spans="1:10" s="1629" customFormat="1" ht="19.7" customHeight="1">
      <c r="A23" s="1626"/>
      <c r="B23" s="1627" t="s">
        <v>4575</v>
      </c>
      <c r="C23" s="1628"/>
      <c r="D23" s="1628"/>
      <c r="E23" s="1628"/>
      <c r="F23" s="1628"/>
      <c r="G23" s="1628"/>
      <c r="H23" s="1628"/>
      <c r="I23" s="1628"/>
      <c r="J23" s="1628"/>
    </row>
    <row r="24" spans="1:10" s="1629" customFormat="1" ht="19.7" customHeight="1">
      <c r="A24" s="1626"/>
      <c r="B24" s="1627" t="s">
        <v>4576</v>
      </c>
      <c r="C24" s="1628"/>
      <c r="D24" s="1628"/>
      <c r="E24" s="1628"/>
      <c r="F24" s="1628"/>
      <c r="G24" s="1628"/>
      <c r="H24" s="1628"/>
      <c r="I24" s="1628"/>
      <c r="J24" s="1628"/>
    </row>
    <row r="25" spans="1:10" s="1629" customFormat="1" ht="19.7" customHeight="1">
      <c r="A25" s="1626"/>
      <c r="B25" s="1627" t="s">
        <v>4577</v>
      </c>
      <c r="C25" s="1628"/>
      <c r="D25" s="1628"/>
      <c r="E25" s="1628"/>
      <c r="F25" s="1628"/>
      <c r="G25" s="1628"/>
      <c r="H25" s="1628"/>
      <c r="I25" s="1628"/>
      <c r="J25" s="1628"/>
    </row>
    <row r="26" spans="1:10" s="1629" customFormat="1" ht="19.7" customHeight="1">
      <c r="A26" s="1626"/>
      <c r="B26" s="1627" t="s">
        <v>4578</v>
      </c>
      <c r="C26" s="1628"/>
      <c r="D26" s="1628"/>
      <c r="E26" s="1628"/>
      <c r="F26" s="1628"/>
      <c r="G26" s="1628"/>
      <c r="H26" s="1628"/>
      <c r="I26" s="1628"/>
      <c r="J26" s="1628"/>
    </row>
    <row r="27" spans="1:10" s="1629" customFormat="1" ht="19.7" customHeight="1">
      <c r="A27" s="1626"/>
      <c r="B27" s="1627" t="s">
        <v>4579</v>
      </c>
      <c r="C27" s="1628"/>
      <c r="D27" s="1628"/>
      <c r="E27" s="1628"/>
      <c r="F27" s="1628"/>
      <c r="G27" s="1628"/>
      <c r="H27" s="1628"/>
      <c r="I27" s="1628"/>
      <c r="J27" s="1628"/>
    </row>
    <row r="28" spans="1:10" s="1629" customFormat="1" ht="19.7" customHeight="1">
      <c r="A28" s="1626"/>
      <c r="B28" s="1627" t="s">
        <v>4580</v>
      </c>
      <c r="C28" s="1628"/>
      <c r="D28" s="1628"/>
      <c r="E28" s="1628"/>
      <c r="F28" s="1628"/>
      <c r="G28" s="1628"/>
      <c r="H28" s="1628"/>
      <c r="I28" s="1628"/>
      <c r="J28" s="1628"/>
    </row>
    <row r="29" spans="1:10" s="1629" customFormat="1" ht="19.7" customHeight="1">
      <c r="A29" s="1626"/>
      <c r="B29" s="1630" t="s">
        <v>4581</v>
      </c>
      <c r="C29" s="1628"/>
      <c r="D29" s="1628"/>
      <c r="E29" s="1628"/>
      <c r="F29" s="1628"/>
      <c r="G29" s="1628"/>
      <c r="H29" s="1628"/>
      <c r="I29" s="1628"/>
      <c r="J29" s="1628"/>
    </row>
    <row r="30" spans="1:10" ht="24" customHeight="1">
      <c r="B30" s="1622" t="s">
        <v>4582</v>
      </c>
    </row>
    <row r="31" spans="1:10" ht="72" customHeight="1">
      <c r="B31" s="3243" t="s">
        <v>4583</v>
      </c>
      <c r="C31" s="3243"/>
      <c r="D31" s="3243"/>
      <c r="E31" s="3243"/>
      <c r="F31" s="3243"/>
      <c r="G31" s="3243"/>
      <c r="H31" s="3243"/>
      <c r="I31" s="3243"/>
      <c r="J31" s="3243"/>
    </row>
    <row r="32" spans="1:10" ht="32.25" customHeight="1">
      <c r="A32" s="3244" t="s">
        <v>4584</v>
      </c>
      <c r="B32" s="3244"/>
      <c r="C32" s="3244"/>
      <c r="D32" s="3244"/>
      <c r="E32" s="3244"/>
      <c r="F32" s="3244"/>
      <c r="G32" s="3244"/>
      <c r="H32" s="3244"/>
      <c r="I32" s="3244"/>
      <c r="J32" s="3244"/>
    </row>
    <row r="33" spans="1:10" ht="42.75" customHeight="1">
      <c r="B33" s="3245" t="s">
        <v>4585</v>
      </c>
      <c r="C33" s="3245"/>
      <c r="D33" s="3245"/>
      <c r="E33" s="3245"/>
      <c r="F33" s="3245"/>
      <c r="G33" s="3245"/>
      <c r="H33" s="3245"/>
      <c r="I33" s="3245"/>
      <c r="J33" s="3245"/>
    </row>
    <row r="34" spans="1:10" ht="24.75" customHeight="1">
      <c r="B34" s="1623" t="s">
        <v>4586</v>
      </c>
    </row>
    <row r="35" spans="1:10" ht="19.7" customHeight="1">
      <c r="B35" s="1631" t="s">
        <v>4587</v>
      </c>
    </row>
    <row r="36" spans="1:10" ht="46.5" customHeight="1">
      <c r="A36" s="3236" t="s">
        <v>4588</v>
      </c>
      <c r="B36" s="3236"/>
      <c r="C36" s="3236"/>
      <c r="D36" s="3236"/>
      <c r="E36" s="3236"/>
      <c r="F36" s="3236"/>
      <c r="G36" s="3236"/>
      <c r="H36" s="3236"/>
      <c r="I36" s="3236"/>
      <c r="J36" s="3236"/>
    </row>
    <row r="37" spans="1:10" s="1635" customFormat="1">
      <c r="A37" s="1632"/>
      <c r="B37" s="1632"/>
      <c r="C37" s="1633" t="s">
        <v>4589</v>
      </c>
      <c r="D37" s="1632"/>
      <c r="E37" s="1632"/>
      <c r="F37" s="1632"/>
      <c r="G37" s="1632"/>
      <c r="H37" s="1634" t="s">
        <v>4590</v>
      </c>
      <c r="I37" s="1632"/>
      <c r="J37" s="1632"/>
    </row>
    <row r="44" spans="1:10" s="1618" customFormat="1" ht="18.75">
      <c r="A44" s="1636"/>
      <c r="B44" s="1636"/>
      <c r="C44" s="1637" t="s">
        <v>4595</v>
      </c>
      <c r="D44" s="1637"/>
      <c r="E44" s="1637"/>
      <c r="F44" s="1637"/>
      <c r="G44" s="1637"/>
      <c r="H44" s="1637" t="s">
        <v>4495</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18" activePane="bottomLeft" state="frozen"/>
      <selection activeCell="B1" sqref="B1"/>
      <selection pane="bottomLeft" activeCell="F19" sqref="F19"/>
    </sheetView>
  </sheetViews>
  <sheetFormatPr defaultRowHeight="25.15" customHeight="1"/>
  <cols>
    <col min="1" max="1" width="8.77734375" style="1215"/>
    <col min="2" max="2" width="13" style="1792" customWidth="1"/>
    <col min="3" max="3" width="3.88671875" style="1219" customWidth="1"/>
    <col min="4" max="4" width="3.88671875" style="1793" customWidth="1"/>
    <col min="5" max="5" width="3.88671875" style="1794" customWidth="1"/>
    <col min="6" max="6" width="56.5546875" style="1792" bestFit="1" customWidth="1"/>
    <col min="7" max="9" width="8.77734375" style="1304" customWidth="1"/>
    <col min="10" max="10" width="8.88671875" style="1791"/>
    <col min="11" max="11" width="16.109375" style="1790" bestFit="1" customWidth="1"/>
    <col min="12" max="12" width="19.44140625" style="1304" customWidth="1"/>
    <col min="13" max="13" width="9.6640625" style="1382" customWidth="1"/>
    <col min="15" max="15" width="8.88671875" style="1382"/>
  </cols>
  <sheetData>
    <row r="1" spans="1:15" s="1217" customFormat="1" ht="28.5" customHeight="1">
      <c r="A1" s="2946" t="s">
        <v>4779</v>
      </c>
      <c r="B1" s="2947" t="s">
        <v>2603</v>
      </c>
      <c r="C1" s="2946"/>
      <c r="D1" s="2946"/>
      <c r="E1" s="2948"/>
      <c r="F1" s="2946" t="s">
        <v>4228</v>
      </c>
      <c r="G1" s="2949" t="s">
        <v>2606</v>
      </c>
      <c r="H1" s="2949" t="s">
        <v>4377</v>
      </c>
      <c r="I1" s="2949" t="s">
        <v>4717</v>
      </c>
      <c r="J1" s="2946" t="s">
        <v>1708</v>
      </c>
      <c r="K1" s="2946" t="str">
        <f>COUNTIF(K2:K1048576,1)&amp;" loại VTTB"</f>
        <v>63 loại VTTB</v>
      </c>
      <c r="L1" s="1217" t="s">
        <v>356</v>
      </c>
      <c r="M1" s="1878"/>
      <c r="O1" s="1878"/>
    </row>
    <row r="2" spans="1:15" s="1305" customFormat="1" ht="25.15"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15"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15"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15"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15"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15"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15"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15"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15"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15"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15"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15"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15"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15"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15"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15"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15"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15"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15"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15"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15"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15"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15"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15"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15"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15"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15"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15"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15"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15"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15"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15"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15"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15"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15"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15"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15"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15"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15"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15"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15"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15"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15"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15"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15"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15"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15"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15"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15"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15"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15"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15"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15"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15"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15"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15"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15"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15"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15"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15"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15"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15"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15"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15"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15"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15"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15"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15"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15"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15"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15"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15"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15"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15"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15"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15"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15"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15"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15"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15"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15"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15"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15"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15"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15"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15"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15"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15"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15"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15"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15"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15"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15"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15"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15"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15"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15"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15"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15"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15"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15"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15"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15"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15"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15"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15"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15"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15"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15"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15"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15"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15"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15"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15"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15"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15"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15"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15"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15"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15"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15"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15"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15"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15"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15"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15"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15"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15"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15"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15"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15"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15"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15"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15"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15"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15"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15"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15"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15"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15"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15"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15"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15"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15"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15"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15"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15"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15"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15"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15"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15"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15"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15"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15"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15"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15"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15"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15"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15"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15"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15"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15"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15"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15"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15"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15"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15"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15"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15"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15"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15"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15"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15"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15"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15"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15"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15"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15"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15"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15"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15"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15"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15"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15"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15"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15"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15"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15"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15"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15"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15"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15"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15"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15"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15"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15"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15"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15"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15"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15"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15"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15"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15"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15"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15"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15"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15"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15"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15"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15"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15"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15"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15"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15"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15"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15"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15"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15"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15"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15"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15"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15"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15"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15"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15"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15"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15"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15"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15"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15"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15"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15"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15"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15"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15"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15"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15"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15"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15"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15"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15"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15"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15"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15"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15"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15"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15"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15"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15"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15"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15"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15"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15"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15"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15"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15"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15"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15"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15"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15"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15"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15"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15"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15"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15"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15"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15"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5" sqref="N5"/>
    </sheetView>
  </sheetViews>
  <sheetFormatPr defaultColWidth="8.88671875" defaultRowHeight="35.1" customHeight="1" outlineLevelCol="1"/>
  <cols>
    <col min="1" max="1" width="11.33203125" style="1981" customWidth="1"/>
    <col min="2" max="2" width="15.109375" style="1981" customWidth="1"/>
    <col min="3" max="3" width="11.6640625" style="1215" customWidth="1"/>
    <col min="4" max="4" width="6.21875" style="1981" customWidth="1"/>
    <col min="5" max="5" width="16.6640625" style="1981" customWidth="1"/>
    <col min="6" max="6" width="8.21875" style="1215" customWidth="1"/>
    <col min="7" max="7" width="17.6640625" style="1790" customWidth="1"/>
    <col min="8" max="8" width="23.33203125" style="1880" customWidth="1" outlineLevel="1"/>
    <col min="9" max="9" width="26.77734375" style="1880" customWidth="1" outlineLevel="1"/>
    <col min="10" max="10" width="14.33203125" style="1881" hidden="1" customWidth="1" outlineLevel="1"/>
    <col min="11" max="11" width="11.21875" style="1881" hidden="1" customWidth="1" outlineLevel="1"/>
    <col min="12" max="12" width="17.6640625" style="1881" customWidth="1" collapsed="1"/>
    <col min="13" max="13" width="10.77734375" style="1328" customWidth="1"/>
    <col min="14" max="14" width="10.44140625" style="1215" customWidth="1"/>
    <col min="15" max="16" width="13.33203125" style="1790" customWidth="1"/>
    <col min="17" max="17" width="8.88671875" style="1981" customWidth="1"/>
    <col min="18" max="19" width="26" style="1210" customWidth="1" outlineLevel="1"/>
    <col min="20" max="20" width="13.88671875" style="1215" customWidth="1" outlineLevel="1"/>
    <col min="21" max="21" width="13.88671875" style="1368" customWidth="1" outlineLevel="1"/>
    <col min="22" max="23" width="13.109375" style="1215" customWidth="1" outlineLevel="1"/>
    <col min="24" max="25" width="8.88671875" style="1215"/>
    <col min="26" max="26" width="27.6640625" style="1215" customWidth="1"/>
    <col min="27" max="32" width="8.88671875" style="1215"/>
    <col min="33" max="33" width="8.88671875" style="1981"/>
    <col min="34" max="34" width="45.44140625" style="1981" customWidth="1"/>
    <col min="35" max="41" width="8.88671875" style="1981"/>
    <col min="42" max="42" width="21.6640625" style="1981" customWidth="1"/>
    <col min="43" max="45" width="8.88671875" style="1981"/>
    <col min="46" max="46" width="6" style="1981" customWidth="1"/>
    <col min="47" max="47" width="31.21875" style="1981" customWidth="1"/>
    <col min="48" max="48" width="7.21875" style="1981" customWidth="1"/>
    <col min="49" max="54" width="8.88671875" style="1981"/>
    <col min="55" max="55" width="22.5546875" style="1981" bestFit="1" customWidth="1"/>
    <col min="56" max="56" width="12.5546875" style="1981" customWidth="1"/>
    <col min="57" max="62" width="8.88671875" style="1981"/>
    <col min="63" max="63" width="22.21875" style="1981" customWidth="1"/>
    <col min="64" max="64" width="20.5546875" style="1981" customWidth="1"/>
    <col min="65" max="72" width="8.88671875" style="1981"/>
    <col min="73" max="73" width="28.77734375" style="1981" customWidth="1"/>
    <col min="74" max="74" width="8.88671875" style="1981"/>
    <col min="75" max="75" width="14.21875" style="1981" customWidth="1"/>
    <col min="76" max="16384" width="8.88671875" style="1981"/>
  </cols>
  <sheetData>
    <row r="1" spans="1:26" s="1961" customFormat="1" ht="35.1" customHeight="1" thickBot="1">
      <c r="A1" s="2018" t="s">
        <v>4471</v>
      </c>
      <c r="B1" s="2019" t="s">
        <v>4171</v>
      </c>
      <c r="C1" s="2019" t="s">
        <v>4480</v>
      </c>
      <c r="D1" s="2019"/>
      <c r="E1" s="2019" t="s">
        <v>4844</v>
      </c>
      <c r="F1" s="2020"/>
      <c r="G1" s="1973">
        <f>'NT-VT'!A5</f>
        <v>0</v>
      </c>
      <c r="H1" s="1962" t="s">
        <v>4179</v>
      </c>
      <c r="I1" s="1962" t="s">
        <v>4180</v>
      </c>
      <c r="J1" s="1963" t="s">
        <v>4484</v>
      </c>
      <c r="K1" s="1963" t="s">
        <v>4184</v>
      </c>
      <c r="L1" s="1964" t="s">
        <v>4482</v>
      </c>
      <c r="M1" s="1965" t="s">
        <v>4184</v>
      </c>
      <c r="N1" s="1965" t="s">
        <v>4185</v>
      </c>
      <c r="O1" s="1990" t="s">
        <v>4780</v>
      </c>
      <c r="P1" s="2004">
        <v>44067</v>
      </c>
      <c r="Q1" s="1882" t="s">
        <v>2603</v>
      </c>
      <c r="R1" s="1966" t="s">
        <v>4179</v>
      </c>
      <c r="S1" s="1966" t="s">
        <v>4180</v>
      </c>
      <c r="T1" s="1967" t="s">
        <v>4484</v>
      </c>
      <c r="U1" s="1968" t="s">
        <v>4184</v>
      </c>
      <c r="V1" s="1969" t="s">
        <v>4482</v>
      </c>
      <c r="W1" s="1970" t="s">
        <v>4184</v>
      </c>
      <c r="Z1" s="1971" t="s">
        <v>4293</v>
      </c>
    </row>
    <row r="2" spans="1:26" ht="66" customHeight="1">
      <c r="A2" s="2034" t="s">
        <v>4845</v>
      </c>
      <c r="B2" s="2035"/>
      <c r="C2" s="2036"/>
      <c r="D2" s="2035">
        <v>1</v>
      </c>
      <c r="E2" s="2037">
        <v>43936</v>
      </c>
      <c r="F2" s="2038"/>
      <c r="G2" s="1973" t="s">
        <v>4505</v>
      </c>
      <c r="H2" s="1974" t="s">
        <v>4768</v>
      </c>
      <c r="I2" s="1974" t="s">
        <v>4768</v>
      </c>
      <c r="J2" s="1975"/>
      <c r="K2" s="1976">
        <v>43965</v>
      </c>
      <c r="L2" s="1880" t="str">
        <f>IF(N2&gt;0,N2&amp;O2,P2&amp;O2&amp;CHAR(10)&amp;P3&amp;O2&amp;IF(P4&lt;&gt;0,CHAR(10)&amp;P4&amp;O2,""))</f>
        <v xml:space="preserve">            /BB-PXTN</v>
      </c>
      <c r="M2" s="1977"/>
      <c r="N2" s="1883" t="s">
        <v>6598</v>
      </c>
      <c r="O2" s="1790" t="s">
        <v>4482</v>
      </c>
      <c r="P2" s="1883"/>
      <c r="Q2" s="1978" t="s">
        <v>115</v>
      </c>
      <c r="R2" s="1979" t="s">
        <v>4473</v>
      </c>
      <c r="S2" s="1979" t="s">
        <v>4473</v>
      </c>
      <c r="T2" s="1215" t="s">
        <v>4794</v>
      </c>
      <c r="U2" s="1980">
        <v>43864</v>
      </c>
      <c r="V2" s="1215" t="s">
        <v>4720</v>
      </c>
      <c r="W2" s="1368">
        <v>43462</v>
      </c>
      <c r="Z2" s="1328" t="s">
        <v>4473</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6462</v>
      </c>
      <c r="H3" s="1974" t="str">
        <f t="shared" ref="H3:H11" si="2">IFERROR(VLOOKUP(G3,$Q:$U,2,0),"nt")</f>
        <v>Mitsubishi Electric</v>
      </c>
      <c r="I3" s="1974" t="str">
        <f t="shared" ref="I3:I11" si="3">IFERROR(VLOOKUP(G3,$Q:$U,3,0),"nt")</f>
        <v>Mitsubishi Electric</v>
      </c>
      <c r="J3" s="1982"/>
      <c r="K3" s="1983"/>
      <c r="L3" s="3034">
        <f t="shared" ref="L3:L11" si="4">IF(N3&gt;0,N3&amp;O3,IFERROR(VLOOKUP(G3,Q:U,4,0),""))</f>
        <v>0</v>
      </c>
      <c r="M3" s="2003">
        <f t="shared" ref="M3:M11" si="5">IF(N3&gt;0,$P$1,IFERROR(VLOOKUP(G3,Q:U,5,0),""))</f>
        <v>0</v>
      </c>
      <c r="O3" s="1790" t="str">
        <f t="shared" ref="O3:O11" si="6">VLOOKUP(G3,Q:X,8,0)</f>
        <v>/BB-ACB</v>
      </c>
      <c r="P3" s="1883"/>
      <c r="Q3" s="1978" t="s">
        <v>274</v>
      </c>
      <c r="R3" s="1984" t="s">
        <v>4196</v>
      </c>
      <c r="S3" s="1984" t="s">
        <v>4196</v>
      </c>
      <c r="T3" s="1975" t="s">
        <v>1016</v>
      </c>
      <c r="U3" s="1976" t="s">
        <v>1016</v>
      </c>
      <c r="X3" s="1215" t="s">
        <v>4781</v>
      </c>
      <c r="Z3" s="1985" t="s">
        <v>4518</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4935</v>
      </c>
      <c r="K4" s="1983">
        <v>43955</v>
      </c>
      <c r="L4" s="3034" t="str">
        <f t="shared" si="4"/>
        <v xml:space="preserve"> </v>
      </c>
      <c r="M4" s="2003" t="str">
        <f t="shared" si="5"/>
        <v xml:space="preserve"> </v>
      </c>
      <c r="O4" s="1790" t="str">
        <f t="shared" si="6"/>
        <v>/BB-FCO</v>
      </c>
      <c r="P4" s="1883"/>
      <c r="Q4" s="1978" t="s">
        <v>1013</v>
      </c>
      <c r="R4" s="1984" t="s">
        <v>4196</v>
      </c>
      <c r="S4" s="1984" t="s">
        <v>4196</v>
      </c>
      <c r="T4" s="1986" t="s">
        <v>4628</v>
      </c>
      <c r="U4" s="1980">
        <v>43525</v>
      </c>
      <c r="X4" s="1215" t="s">
        <v>4781</v>
      </c>
      <c r="Z4" s="1985" t="s">
        <v>4186</v>
      </c>
    </row>
    <row r="5" spans="1:26" ht="35.1" customHeight="1">
      <c r="A5" s="2023" t="s">
        <v>4472</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 xml:space="preserve"> </v>
      </c>
      <c r="M5" s="2003" t="str">
        <f t="shared" si="5"/>
        <v xml:space="preserve"> </v>
      </c>
      <c r="O5" s="1790" t="str">
        <f t="shared" si="6"/>
        <v>/BB-LA</v>
      </c>
      <c r="Q5" s="1978" t="s">
        <v>697</v>
      </c>
      <c r="R5" s="1984" t="s">
        <v>4196</v>
      </c>
      <c r="S5" s="1984" t="s">
        <v>4196</v>
      </c>
      <c r="T5" s="1986" t="s">
        <v>4626</v>
      </c>
      <c r="U5" s="1980">
        <v>43494</v>
      </c>
      <c r="X5" s="1215" t="s">
        <v>4782</v>
      </c>
      <c r="Z5" s="1985" t="s">
        <v>4189</v>
      </c>
    </row>
    <row r="6" spans="1:26" ht="35.1" customHeight="1">
      <c r="A6" s="2027" t="s">
        <v>4474</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0103.CTTL.19</v>
      </c>
      <c r="M6" s="2003">
        <f t="shared" si="5"/>
        <v>43525</v>
      </c>
      <c r="N6" s="3033"/>
      <c r="O6" s="1790" t="str">
        <f t="shared" si="6"/>
        <v>/BB-SCĐ</v>
      </c>
      <c r="Q6" s="1978" t="s">
        <v>360</v>
      </c>
      <c r="R6" s="1984" t="s">
        <v>4196</v>
      </c>
      <c r="S6" s="1984" t="s">
        <v>4196</v>
      </c>
      <c r="T6" s="1986" t="s">
        <v>4625</v>
      </c>
      <c r="U6" s="1980">
        <v>43665</v>
      </c>
      <c r="X6" s="1215" t="s">
        <v>4782</v>
      </c>
      <c r="Z6" s="1985" t="s">
        <v>4294</v>
      </c>
    </row>
    <row r="7" spans="1:26" ht="35.1" customHeight="1">
      <c r="A7" s="2027" t="s">
        <v>4475</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4936</v>
      </c>
      <c r="K7" s="1983">
        <v>43957</v>
      </c>
      <c r="L7" s="3034" t="str">
        <f t="shared" si="4"/>
        <v xml:space="preserve"> </v>
      </c>
      <c r="M7" s="2003" t="str">
        <f t="shared" si="5"/>
        <v xml:space="preserve"> </v>
      </c>
      <c r="N7" s="3033"/>
      <c r="O7" s="1790" t="str">
        <f t="shared" si="6"/>
        <v>/BB-LVC</v>
      </c>
      <c r="Q7" s="1978" t="s">
        <v>103</v>
      </c>
      <c r="R7" s="1984" t="s">
        <v>4196</v>
      </c>
      <c r="S7" s="1984" t="s">
        <v>4196</v>
      </c>
      <c r="T7" s="1986" t="s">
        <v>6411</v>
      </c>
      <c r="U7" s="1980">
        <v>43721</v>
      </c>
      <c r="V7" s="1215" t="s">
        <v>4724</v>
      </c>
      <c r="W7" s="1368">
        <v>43522</v>
      </c>
      <c r="Z7" s="1985" t="s">
        <v>4192</v>
      </c>
    </row>
    <row r="8" spans="1:26" ht="35.1" customHeight="1">
      <c r="A8" s="2023" t="s">
        <v>4852</v>
      </c>
      <c r="B8" s="2024" t="str">
        <f ca="1">IF('7day'!F5,"X","")</f>
        <v/>
      </c>
      <c r="C8" s="2025" t="str">
        <f t="shared" ca="1" si="0"/>
        <v/>
      </c>
      <c r="D8" s="2026">
        <f t="shared" ca="1" si="7"/>
        <v>3</v>
      </c>
      <c r="E8" s="2021">
        <f t="shared" si="1"/>
        <v>43943</v>
      </c>
      <c r="F8" s="2022"/>
      <c r="G8" s="1973" t="s">
        <v>4905</v>
      </c>
      <c r="H8" s="1974" t="str">
        <f t="shared" si="2"/>
        <v>Cty TNHHSX-TM Dây &amp; Cáp Điện Tài Trường Thành</v>
      </c>
      <c r="I8" s="1974" t="str">
        <f t="shared" si="3"/>
        <v>Cty TNHHSX-TM Dây &amp; Cáp Điện Tài Trường Thành</v>
      </c>
      <c r="J8" s="1982"/>
      <c r="K8" s="1983"/>
      <c r="L8" s="3034">
        <f t="shared" si="4"/>
        <v>0</v>
      </c>
      <c r="M8" s="2003">
        <f t="shared" si="5"/>
        <v>0</v>
      </c>
      <c r="O8" s="1790" t="str">
        <f t="shared" si="6"/>
        <v>/BB-MVC</v>
      </c>
      <c r="Q8" s="1981" t="s">
        <v>2276</v>
      </c>
      <c r="R8" s="1984" t="s">
        <v>4196</v>
      </c>
      <c r="S8" s="1984" t="s">
        <v>4196</v>
      </c>
      <c r="T8" s="1986" t="s">
        <v>4627</v>
      </c>
      <c r="U8" s="1980">
        <v>43494</v>
      </c>
      <c r="X8" s="1215" t="s">
        <v>4781</v>
      </c>
      <c r="Z8" s="1985" t="s">
        <v>4198</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4940</v>
      </c>
      <c r="K9" s="1983">
        <v>43959</v>
      </c>
      <c r="L9" s="3034" t="str">
        <f t="shared" si="4"/>
        <v>TTT-027KCS0119/14</v>
      </c>
      <c r="M9" s="2003">
        <f t="shared" si="5"/>
        <v>43494</v>
      </c>
      <c r="O9" s="1790" t="str">
        <f t="shared" si="6"/>
        <v>/BB-LVC</v>
      </c>
      <c r="Q9" s="1978" t="s">
        <v>88</v>
      </c>
      <c r="R9" s="1984" t="s">
        <v>4196</v>
      </c>
      <c r="S9" s="1984" t="s">
        <v>4196</v>
      </c>
      <c r="T9" s="1986" t="s">
        <v>4722</v>
      </c>
      <c r="U9" s="1980">
        <v>43665</v>
      </c>
      <c r="V9" s="1215" t="s">
        <v>4721</v>
      </c>
      <c r="W9" s="1368">
        <v>42387</v>
      </c>
      <c r="Z9" s="1985" t="s">
        <v>4468</v>
      </c>
    </row>
    <row r="10" spans="1:26" ht="35.1" customHeight="1">
      <c r="A10" s="2028" t="s">
        <v>4479</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4939</v>
      </c>
      <c r="K10" s="1983">
        <v>43959</v>
      </c>
      <c r="L10" s="3034" t="str">
        <f t="shared" si="4"/>
        <v>TTT - 061KCS0718/112</v>
      </c>
      <c r="M10" s="2003">
        <f t="shared" si="5"/>
        <v>43721</v>
      </c>
      <c r="O10" s="1790">
        <f t="shared" si="6"/>
        <v>0</v>
      </c>
      <c r="Q10" s="1978" t="s">
        <v>1359</v>
      </c>
      <c r="R10" s="1984" t="s">
        <v>4196</v>
      </c>
      <c r="S10" s="1984" t="s">
        <v>4196</v>
      </c>
      <c r="T10" s="1986" t="s">
        <v>4624</v>
      </c>
      <c r="U10" s="1980">
        <v>43665</v>
      </c>
      <c r="V10" s="1215" t="s">
        <v>4723</v>
      </c>
      <c r="W10" s="1368">
        <v>42445</v>
      </c>
      <c r="Z10" s="1985" t="s">
        <v>4196</v>
      </c>
    </row>
    <row r="11" spans="1:26" ht="35.1" customHeight="1" thickBot="1">
      <c r="A11" s="2029" t="s">
        <v>4491</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6254</v>
      </c>
      <c r="R11" s="1984" t="s">
        <v>4189</v>
      </c>
      <c r="S11" s="1984" t="s">
        <v>4189</v>
      </c>
      <c r="T11" s="1975" t="s">
        <v>4621</v>
      </c>
      <c r="U11" s="1976">
        <v>43525</v>
      </c>
      <c r="Z11" s="1985" t="s">
        <v>4195</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4387</v>
      </c>
      <c r="S12" s="1988" t="s">
        <v>4387</v>
      </c>
      <c r="T12" s="1215" t="s">
        <v>1016</v>
      </c>
      <c r="U12" s="1368" t="s">
        <v>1016</v>
      </c>
      <c r="Z12" s="1985" t="s">
        <v>4193</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4937</v>
      </c>
      <c r="K13" s="1983">
        <v>43959</v>
      </c>
      <c r="L13" s="3034" t="str">
        <f t="shared" ref="L13:L19" si="15">IF(N13&gt;0,N13&amp;O13,IFERROR(VLOOKUP(G13,Q:U,4,0),""))</f>
        <v/>
      </c>
      <c r="M13" s="2003" t="str">
        <f t="shared" ref="M13:M44" si="16">IF(N13&gt;0,$P$1,IFERROR(VLOOKUP(G13,Q:U,5,0),""))</f>
        <v/>
      </c>
      <c r="O13" s="1790" t="e">
        <f t="shared" ref="O13:O44" si="17">VLOOKUP(G13,Q:X,8,0)</f>
        <v>#N/A</v>
      </c>
      <c r="Q13" s="1981" t="s">
        <v>4413</v>
      </c>
      <c r="R13" s="1988" t="s">
        <v>4622</v>
      </c>
      <c r="S13" s="1988" t="s">
        <v>4622</v>
      </c>
      <c r="T13" s="1215" t="s">
        <v>1016</v>
      </c>
      <c r="U13" s="1368" t="s">
        <v>1016</v>
      </c>
      <c r="Z13" s="1985" t="s">
        <v>4191</v>
      </c>
    </row>
    <row r="14" spans="1:26" ht="35.1" customHeight="1">
      <c r="A14" s="1987"/>
      <c r="D14" s="1972"/>
      <c r="E14" s="1215"/>
      <c r="G14" s="1973" t="str">
        <f>'NT-VT'!A18</f>
        <v>B16300</v>
      </c>
      <c r="H14" s="1974" t="str">
        <f t="shared" si="13"/>
        <v>nt</v>
      </c>
      <c r="I14" s="1974" t="str">
        <f t="shared" si="14"/>
        <v>nt</v>
      </c>
      <c r="J14" s="1982" t="s">
        <v>4938</v>
      </c>
      <c r="K14" s="1983">
        <v>43959</v>
      </c>
      <c r="L14" s="3034" t="str">
        <f t="shared" si="15"/>
        <v/>
      </c>
      <c r="M14" s="2003" t="str">
        <f t="shared" si="16"/>
        <v/>
      </c>
      <c r="O14" s="1790" t="e">
        <f t="shared" si="17"/>
        <v>#N/A</v>
      </c>
      <c r="Q14" s="1981" t="s">
        <v>867</v>
      </c>
      <c r="R14" s="1988" t="s">
        <v>4622</v>
      </c>
      <c r="S14" s="1988" t="s">
        <v>4622</v>
      </c>
      <c r="T14" s="1215" t="s">
        <v>1016</v>
      </c>
      <c r="U14" s="1368" t="s">
        <v>1016</v>
      </c>
      <c r="Z14" s="1985" t="s">
        <v>4620</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4191</v>
      </c>
      <c r="S15" s="1984" t="s">
        <v>4192</v>
      </c>
      <c r="T15" s="1215" t="s">
        <v>1016</v>
      </c>
      <c r="U15" s="1368">
        <v>43525</v>
      </c>
      <c r="X15" s="1215" t="s">
        <v>4783</v>
      </c>
      <c r="Z15" s="1985" t="s">
        <v>4194</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4194</v>
      </c>
      <c r="S16" s="1984" t="s">
        <v>4194</v>
      </c>
      <c r="T16" s="1215" t="s">
        <v>4719</v>
      </c>
      <c r="U16" s="1368">
        <v>43525</v>
      </c>
      <c r="X16" s="1215" t="s">
        <v>4784</v>
      </c>
      <c r="Z16" s="1985" t="s">
        <v>4190</v>
      </c>
    </row>
    <row r="17" spans="1:26" ht="35.1" customHeight="1">
      <c r="A17" s="1987"/>
      <c r="D17" s="1972"/>
      <c r="E17" s="1989"/>
      <c r="G17" s="1973" t="str">
        <f>'NT-VT'!A21</f>
        <v>B1650</v>
      </c>
      <c r="H17" s="1974" t="str">
        <f t="shared" si="13"/>
        <v>nt</v>
      </c>
      <c r="I17" s="1974" t="str">
        <f t="shared" si="14"/>
        <v>nt</v>
      </c>
      <c r="J17" s="1982" t="s">
        <v>4941</v>
      </c>
      <c r="K17" s="1983">
        <v>43954</v>
      </c>
      <c r="L17" s="3034" t="str">
        <f t="shared" si="15"/>
        <v/>
      </c>
      <c r="M17" s="2003" t="str">
        <f t="shared" si="16"/>
        <v/>
      </c>
      <c r="O17" s="1790" t="e">
        <f t="shared" si="17"/>
        <v>#N/A</v>
      </c>
      <c r="Q17" s="1981" t="s">
        <v>1222</v>
      </c>
      <c r="R17" s="1984" t="s">
        <v>4196</v>
      </c>
      <c r="S17" s="1984" t="s">
        <v>4196</v>
      </c>
      <c r="T17" s="1986" t="s">
        <v>4725</v>
      </c>
      <c r="U17" s="1368">
        <v>43626</v>
      </c>
      <c r="X17" s="1215" t="s">
        <v>4781</v>
      </c>
      <c r="Z17" s="1985" t="s">
        <v>4534</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4191</v>
      </c>
      <c r="S18" s="1210" t="s">
        <v>4192</v>
      </c>
      <c r="T18" s="1215" t="s">
        <v>1016</v>
      </c>
      <c r="X18" s="1215" t="s">
        <v>4783</v>
      </c>
      <c r="Z18" s="1985" t="s">
        <v>4768</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4196</v>
      </c>
      <c r="S19" s="1984" t="s">
        <v>4196</v>
      </c>
      <c r="T19" s="1215" t="s">
        <v>4785</v>
      </c>
      <c r="U19" s="1368">
        <v>43356</v>
      </c>
      <c r="X19" s="1215" t="s">
        <v>4781</v>
      </c>
      <c r="Z19" s="1985" t="s">
        <v>4188</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4195</v>
      </c>
      <c r="S20" s="1984" t="s">
        <v>4189</v>
      </c>
      <c r="T20" s="1215" t="s">
        <v>1016</v>
      </c>
      <c r="U20" s="1368" t="s">
        <v>1016</v>
      </c>
      <c r="X20" s="1215" t="s">
        <v>4784</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4756</v>
      </c>
      <c r="R21" s="1984" t="s">
        <v>4196</v>
      </c>
      <c r="S21" s="1984" t="s">
        <v>4196</v>
      </c>
      <c r="T21" s="1215" t="s">
        <v>1016</v>
      </c>
      <c r="U21" s="1368" t="s">
        <v>1016</v>
      </c>
      <c r="X21" s="1215" t="s">
        <v>4781</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4772</v>
      </c>
      <c r="R22" s="1984" t="s">
        <v>4196</v>
      </c>
      <c r="S22" s="1984" t="s">
        <v>4196</v>
      </c>
      <c r="T22" s="1215" t="s">
        <v>1016</v>
      </c>
      <c r="U22" s="1368" t="s">
        <v>4773</v>
      </c>
      <c r="X22" s="1215" t="s">
        <v>4781</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4786</v>
      </c>
      <c r="R23" s="1984" t="s">
        <v>4196</v>
      </c>
      <c r="S23" s="1984" t="s">
        <v>4196</v>
      </c>
      <c r="T23" s="1215" t="s">
        <v>4787</v>
      </c>
      <c r="U23" s="1368">
        <v>43721</v>
      </c>
      <c r="X23" s="1215" t="s">
        <v>4781</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4516</v>
      </c>
      <c r="R24" s="1984" t="s">
        <v>4196</v>
      </c>
      <c r="S24" s="1984" t="s">
        <v>4196</v>
      </c>
      <c r="T24" s="1215" t="s">
        <v>4788</v>
      </c>
      <c r="U24" s="1368">
        <v>43805</v>
      </c>
      <c r="X24" s="1215" t="s">
        <v>4781</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4789</v>
      </c>
      <c r="R25" s="1984" t="s">
        <v>4196</v>
      </c>
      <c r="S25" s="1984" t="s">
        <v>4196</v>
      </c>
      <c r="T25" s="1215" t="s">
        <v>4790</v>
      </c>
      <c r="U25" s="1368">
        <v>43668</v>
      </c>
      <c r="X25" s="1215" t="s">
        <v>4781</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4196</v>
      </c>
      <c r="S26" s="1984" t="s">
        <v>4196</v>
      </c>
      <c r="T26" s="1215" t="s">
        <v>4791</v>
      </c>
      <c r="U26" s="1368">
        <v>43356</v>
      </c>
      <c r="X26" s="1215" t="s">
        <v>4781</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4473</v>
      </c>
      <c r="S27" s="1210" t="s">
        <v>4473</v>
      </c>
      <c r="T27" s="1215" t="s">
        <v>4794</v>
      </c>
      <c r="U27" s="1980">
        <v>43864</v>
      </c>
      <c r="V27" s="1215" t="s">
        <v>4720</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4188</v>
      </c>
      <c r="S28" s="1984" t="s">
        <v>4189</v>
      </c>
      <c r="T28" s="1215" t="s">
        <v>1016</v>
      </c>
      <c r="U28" s="1368" t="s">
        <v>1016</v>
      </c>
      <c r="X28" s="1215" t="s">
        <v>4792</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4620</v>
      </c>
      <c r="S29" s="1984" t="s">
        <v>4189</v>
      </c>
      <c r="T29" s="1215" t="s">
        <v>1016</v>
      </c>
      <c r="U29" s="1368" t="s">
        <v>1016</v>
      </c>
      <c r="X29" s="1215" t="s">
        <v>4793</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4191</v>
      </c>
      <c r="S30" s="1984" t="s">
        <v>4192</v>
      </c>
      <c r="T30" s="1215" t="s">
        <v>1016</v>
      </c>
      <c r="U30" s="1368">
        <v>43525</v>
      </c>
      <c r="X30" s="1215" t="s">
        <v>4783</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4196</v>
      </c>
      <c r="S31" s="1984" t="s">
        <v>4196</v>
      </c>
      <c r="T31" s="1215" t="s">
        <v>4795</v>
      </c>
      <c r="U31" s="1368">
        <v>43805</v>
      </c>
      <c r="X31" s="1215" t="s">
        <v>4781</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4191</v>
      </c>
      <c r="S32" s="1984" t="s">
        <v>4192</v>
      </c>
      <c r="T32" s="1215" t="s">
        <v>1016</v>
      </c>
      <c r="U32" s="1368">
        <v>43525</v>
      </c>
      <c r="X32" s="1215" t="s">
        <v>4783</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4644</v>
      </c>
      <c r="R33" s="1979" t="s">
        <v>4473</v>
      </c>
      <c r="S33" s="1979" t="s">
        <v>4473</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4473</v>
      </c>
      <c r="S34" s="1979" t="s">
        <v>4473</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4191</v>
      </c>
      <c r="S35" s="1984" t="s">
        <v>4192</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4196</v>
      </c>
      <c r="S36" s="1984" t="s">
        <v>4196</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4661</v>
      </c>
      <c r="R37" s="1984" t="s">
        <v>4196</v>
      </c>
      <c r="S37" s="1984" t="s">
        <v>4196</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5091</v>
      </c>
      <c r="R38" s="1984" t="s">
        <v>4196</v>
      </c>
      <c r="S38" s="1984" t="s">
        <v>4196</v>
      </c>
      <c r="U38" s="1368"/>
      <c r="X38" s="1215" t="s">
        <v>4782</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6273</v>
      </c>
      <c r="R39" s="1210" t="s">
        <v>6409</v>
      </c>
      <c r="S39" s="1210" t="s">
        <v>6409</v>
      </c>
      <c r="U39" s="1368"/>
      <c r="X39" s="1215" t="s">
        <v>6410</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6431</v>
      </c>
      <c r="R40" s="1984" t="s">
        <v>4196</v>
      </c>
      <c r="S40" s="1984" t="s">
        <v>4196</v>
      </c>
      <c r="U40" s="1368"/>
      <c r="X40" s="1215" t="s">
        <v>4782</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4191</v>
      </c>
      <c r="S41" s="1984" t="s">
        <v>4192</v>
      </c>
      <c r="U41" s="1368"/>
      <c r="X41" s="1215" t="s">
        <v>4783</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6567</v>
      </c>
      <c r="R42" s="1984" t="s">
        <v>4196</v>
      </c>
      <c r="S42" s="1984" t="s">
        <v>4196</v>
      </c>
      <c r="U42" s="1368"/>
      <c r="X42" s="1215" t="s">
        <v>4782</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6566</v>
      </c>
      <c r="R43" s="1984" t="s">
        <v>4196</v>
      </c>
      <c r="S43" s="1984" t="s">
        <v>4196</v>
      </c>
      <c r="U43" s="1368"/>
      <c r="X43" s="1215" t="s">
        <v>4782</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4905</v>
      </c>
      <c r="R44" s="1984" t="s">
        <v>4196</v>
      </c>
      <c r="S44" s="1984" t="s">
        <v>4196</v>
      </c>
      <c r="U44" s="1368"/>
      <c r="X44" s="1215" t="s">
        <v>4782</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6525</v>
      </c>
      <c r="R45" s="1984" t="s">
        <v>4196</v>
      </c>
      <c r="S45" s="1984" t="s">
        <v>4196</v>
      </c>
      <c r="U45" s="1368"/>
      <c r="X45" s="1215" t="s">
        <v>4782</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4188</v>
      </c>
      <c r="S46" s="1984" t="s">
        <v>4189</v>
      </c>
      <c r="T46" s="1215" t="s">
        <v>1016</v>
      </c>
      <c r="U46" s="1368" t="s">
        <v>1016</v>
      </c>
      <c r="X46" s="1215" t="s">
        <v>4792</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4196</v>
      </c>
      <c r="S47" s="1210" t="s">
        <v>4196</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6462</v>
      </c>
      <c r="R48" s="1210" t="s">
        <v>6409</v>
      </c>
      <c r="S48" s="1210" t="s">
        <v>6409</v>
      </c>
      <c r="X48" s="1215" t="s">
        <v>6410</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4393</v>
      </c>
      <c r="BL150" s="1331"/>
      <c r="BM150" s="963"/>
      <c r="BN150" s="965"/>
      <c r="BP150" s="1972"/>
    </row>
    <row r="151" spans="5:68" ht="35.1" customHeight="1">
      <c r="BJ151" s="958">
        <v>6</v>
      </c>
      <c r="BK151" s="1330" t="s">
        <v>4207</v>
      </c>
      <c r="BL151" s="1331"/>
      <c r="BM151" s="958"/>
      <c r="BN151" s="943" t="s">
        <v>4187</v>
      </c>
      <c r="BP151" s="1972"/>
    </row>
    <row r="152" spans="5:68" ht="35.1" customHeight="1">
      <c r="BJ152" s="960"/>
      <c r="BK152" s="1330" t="s">
        <v>4394</v>
      </c>
      <c r="BL152" s="1331"/>
      <c r="BM152" s="960"/>
      <c r="BN152" s="962"/>
      <c r="BP152" s="1972"/>
    </row>
    <row r="153" spans="5:68" ht="35.1" customHeight="1">
      <c r="BJ153" s="960"/>
      <c r="BK153" s="1330" t="s">
        <v>4395</v>
      </c>
      <c r="BL153" s="1331"/>
      <c r="BM153" s="960"/>
      <c r="BN153" s="962"/>
      <c r="BP153" s="1972"/>
    </row>
    <row r="154" spans="5:68" ht="35.1" customHeight="1">
      <c r="BJ154" s="960"/>
      <c r="BK154" s="1330" t="s">
        <v>4396</v>
      </c>
      <c r="BL154" s="1331"/>
      <c r="BM154" s="960"/>
      <c r="BN154" s="962"/>
      <c r="BP154" s="1972"/>
    </row>
    <row r="155" spans="5:68" ht="35.1" customHeight="1">
      <c r="BJ155" s="963"/>
      <c r="BK155" s="1330" t="s">
        <v>4397</v>
      </c>
      <c r="BL155" s="1331"/>
      <c r="BM155" s="963"/>
      <c r="BN155" s="965"/>
      <c r="BP155" s="1972"/>
    </row>
    <row r="156" spans="5:68" ht="35.1" customHeight="1">
      <c r="BJ156" s="951" t="s">
        <v>501</v>
      </c>
      <c r="BK156" s="1332" t="s">
        <v>4398</v>
      </c>
      <c r="BL156" s="1333"/>
      <c r="BM156" s="853" t="e">
        <v>#N/A</v>
      </c>
      <c r="BN156" s="858"/>
      <c r="BP156" s="1972"/>
    </row>
    <row r="157" spans="5:68" ht="35.1" customHeight="1">
      <c r="BJ157" s="958">
        <v>1</v>
      </c>
      <c r="BK157" s="1330" t="s">
        <v>4393</v>
      </c>
      <c r="BL157" s="1331"/>
      <c r="BM157" s="959"/>
      <c r="BN157" s="943" t="s">
        <v>4187</v>
      </c>
      <c r="BP157" s="1972"/>
    </row>
    <row r="158" spans="5:68" ht="35.1" customHeight="1">
      <c r="BJ158" s="960"/>
      <c r="BK158" s="1330" t="s">
        <v>4393</v>
      </c>
      <c r="BL158" s="1331"/>
      <c r="BM158" s="961"/>
      <c r="BN158" s="962"/>
      <c r="BP158" s="1972"/>
    </row>
    <row r="159" spans="5:68" ht="35.1" customHeight="1">
      <c r="BJ159" s="960"/>
      <c r="BK159" s="1330" t="s">
        <v>4393</v>
      </c>
      <c r="BL159" s="1331"/>
      <c r="BM159" s="961"/>
      <c r="BN159" s="962"/>
      <c r="BP159" s="1972"/>
    </row>
    <row r="160" spans="5:68" ht="35.1" customHeight="1">
      <c r="BJ160" s="960"/>
      <c r="BK160" s="1330" t="s">
        <v>4393</v>
      </c>
      <c r="BL160" s="1331"/>
      <c r="BM160" s="961"/>
      <c r="BN160" s="962"/>
      <c r="BP160" s="1972"/>
    </row>
    <row r="161" spans="62:68" ht="35.1" customHeight="1">
      <c r="BJ161" s="960"/>
      <c r="BK161" s="1330" t="s">
        <v>4393</v>
      </c>
      <c r="BL161" s="1331"/>
      <c r="BM161" s="961"/>
      <c r="BN161" s="962"/>
      <c r="BP161" s="1972"/>
    </row>
    <row r="162" spans="62:68" ht="35.1" customHeight="1">
      <c r="BJ162" s="960"/>
      <c r="BK162" s="1330" t="s">
        <v>4393</v>
      </c>
      <c r="BL162" s="1331"/>
      <c r="BM162" s="961"/>
      <c r="BN162" s="962"/>
      <c r="BP162" s="1972"/>
    </row>
    <row r="163" spans="62:68" ht="35.1" customHeight="1">
      <c r="BJ163" s="963"/>
      <c r="BK163" s="1330" t="s">
        <v>4393</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L7" sqref="L7"/>
    </sheetView>
  </sheetViews>
  <sheetFormatPr defaultColWidth="8.88671875" defaultRowHeight="24.95" customHeight="1"/>
  <cols>
    <col min="1" max="1" width="12.88671875" style="822" customWidth="1"/>
    <col min="2" max="2" width="6.77734375" style="826" customWidth="1"/>
    <col min="3" max="3" width="27.44140625" style="844" customWidth="1"/>
    <col min="4" max="4" width="8.109375" style="844" customWidth="1"/>
    <col min="5" max="5" width="7.21875" style="826" customWidth="1"/>
    <col min="6" max="6" width="28.6640625" style="826" customWidth="1"/>
    <col min="7" max="7" width="23.6640625" style="826" customWidth="1"/>
    <col min="8" max="8" width="18.33203125" style="826" hidden="1" customWidth="1"/>
    <col min="9" max="9" width="1" style="826" hidden="1" customWidth="1"/>
    <col min="10" max="10" width="16.6640625" style="826" hidden="1" customWidth="1"/>
    <col min="11" max="11" width="4.6640625" style="845" hidden="1" customWidth="1"/>
    <col min="12" max="12" width="17.88671875" style="826" customWidth="1"/>
    <col min="13" max="13" width="11.77734375" style="846" customWidth="1"/>
    <col min="14" max="14" width="11.44140625" style="826" customWidth="1"/>
    <col min="15" max="15" width="8.88671875" style="826"/>
    <col min="16" max="16" width="12.77734375" style="841" customWidth="1"/>
    <col min="17" max="17" width="12.77734375" style="1314" customWidth="1"/>
    <col min="18" max="18" width="10.77734375" style="827" customWidth="1"/>
    <col min="19" max="19" width="5.33203125" style="827" customWidth="1"/>
    <col min="20" max="20" width="54.33203125" style="827" customWidth="1"/>
    <col min="21" max="27" width="8.88671875" style="827"/>
    <col min="28" max="16384" width="8.88671875" style="814"/>
  </cols>
  <sheetData>
    <row r="1" spans="1:27" s="820" customFormat="1" ht="27" customHeight="1">
      <c r="A1" s="1933"/>
      <c r="B1" s="3247" t="s">
        <v>4174</v>
      </c>
      <c r="C1" s="3247"/>
      <c r="D1" s="3247"/>
      <c r="E1" s="3247"/>
      <c r="F1" s="3247"/>
      <c r="G1" s="3247"/>
      <c r="H1" s="3247"/>
      <c r="I1" s="3247"/>
      <c r="J1" s="3247"/>
      <c r="K1" s="3248"/>
      <c r="L1" s="3247"/>
      <c r="M1" s="3247"/>
      <c r="N1" s="3247"/>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MTV Kỹ thuật điện Việt Anh</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9" t="str">
        <f>WORD!Z2&amp;", ngày            tháng           năm 2020"</f>
        <v>Xuân Hòa, ngày            tháng           năm 2020</v>
      </c>
      <c r="C3" s="3249"/>
      <c r="D3" s="3249"/>
      <c r="E3" s="3249"/>
      <c r="F3" s="3249"/>
      <c r="G3" s="3249"/>
      <c r="H3" s="3250"/>
      <c r="I3" s="3250"/>
      <c r="J3" s="3249"/>
      <c r="K3" s="3251"/>
      <c r="L3" s="3249"/>
      <c r="M3" s="3249"/>
      <c r="N3" s="3249"/>
      <c r="O3" s="942"/>
      <c r="P3" s="942"/>
      <c r="Q3" s="1366"/>
      <c r="R3" s="1207"/>
      <c r="S3" s="1207"/>
      <c r="T3" s="1207"/>
      <c r="U3" s="1207"/>
      <c r="V3" s="1207"/>
      <c r="W3" s="1207"/>
      <c r="X3" s="1207"/>
      <c r="Y3" s="1207"/>
      <c r="Z3" s="1207"/>
      <c r="AA3" s="1207"/>
    </row>
    <row r="4" spans="1:27" s="829" customFormat="1" ht="44.25" customHeight="1">
      <c r="A4" s="1353"/>
      <c r="B4" s="3246" t="s">
        <v>1708</v>
      </c>
      <c r="C4" s="3246" t="s">
        <v>4176</v>
      </c>
      <c r="D4" s="3246" t="s">
        <v>4177</v>
      </c>
      <c r="E4" s="3246" t="s">
        <v>4178</v>
      </c>
      <c r="F4" s="3246" t="s">
        <v>4179</v>
      </c>
      <c r="G4" s="3246" t="s">
        <v>4180</v>
      </c>
      <c r="H4" s="3246" t="s">
        <v>4483</v>
      </c>
      <c r="I4" s="3246"/>
      <c r="J4" s="3246" t="s">
        <v>4181</v>
      </c>
      <c r="K4" s="3252"/>
      <c r="L4" s="3246" t="s">
        <v>6601</v>
      </c>
      <c r="M4" s="3246"/>
      <c r="N4" s="1349" t="s">
        <v>4182</v>
      </c>
      <c r="O4" s="1355"/>
      <c r="P4" s="1316" t="s">
        <v>4470</v>
      </c>
      <c r="Q4" s="1317"/>
      <c r="R4" s="1354"/>
      <c r="S4" s="828"/>
      <c r="T4" s="828"/>
      <c r="U4" s="828"/>
      <c r="V4" s="828"/>
      <c r="W4" s="828"/>
      <c r="X4" s="828"/>
      <c r="Y4" s="828"/>
      <c r="Z4" s="828"/>
      <c r="AA4" s="828"/>
    </row>
    <row r="5" spans="1:27" s="829" customFormat="1" ht="24.95" customHeight="1">
      <c r="A5" s="1353"/>
      <c r="B5" s="3246"/>
      <c r="C5" s="3246"/>
      <c r="D5" s="3246"/>
      <c r="E5" s="3246"/>
      <c r="F5" s="3246"/>
      <c r="G5" s="3246"/>
      <c r="H5" s="1198" t="s">
        <v>4183</v>
      </c>
      <c r="I5" s="1198" t="s">
        <v>4184</v>
      </c>
      <c r="J5" s="1349" t="s">
        <v>4183</v>
      </c>
      <c r="K5" s="1351" t="s">
        <v>4184</v>
      </c>
      <c r="L5" s="1349" t="s">
        <v>4185</v>
      </c>
      <c r="M5" s="1313" t="s">
        <v>4184</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4187</v>
      </c>
      <c r="O6" s="1356">
        <f>IF(ISERROR(C6),"",1)</f>
        <v>1</v>
      </c>
      <c r="P6" s="52" t="e">
        <f>VLOOKUP(A6,TongHopKL!D:M,8,0)</f>
        <v>#N/A</v>
      </c>
      <c r="Q6" s="1318"/>
      <c r="R6" s="1357"/>
      <c r="S6" s="830"/>
      <c r="T6" s="830"/>
      <c r="U6" s="828"/>
      <c r="V6" s="828"/>
      <c r="W6" s="828"/>
      <c r="X6" s="828"/>
      <c r="Y6" s="828"/>
      <c r="Z6" s="828"/>
      <c r="AA6" s="828"/>
    </row>
    <row r="7" spans="1:27" s="829" customFormat="1" ht="34.9"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3035" t="s">
        <v>6599</v>
      </c>
      <c r="G7" s="3035" t="s">
        <v>6599</v>
      </c>
      <c r="H7" s="1600"/>
      <c r="I7" s="1604"/>
      <c r="J7" s="1605">
        <f>IFERROR(VLOOKUP(A7,Solieu!G:M,4,0),"")</f>
        <v>0</v>
      </c>
      <c r="K7" s="1606">
        <f>IFERROR(VLOOKUP(A7,Solieu!G:M,5,0),"")</f>
        <v>0</v>
      </c>
      <c r="L7" s="3036" t="s">
        <v>6600</v>
      </c>
      <c r="M7" s="3037">
        <v>44064</v>
      </c>
      <c r="N7" s="1198" t="s">
        <v>4187</v>
      </c>
      <c r="O7" s="1356">
        <f t="shared" ref="O7:O70" si="0">IF(ISERROR(C7),"",1)</f>
        <v>1</v>
      </c>
      <c r="P7" s="52" t="e">
        <f>VLOOKUP(A7,TongHopKL!D:M,8,0)</f>
        <v>#N/A</v>
      </c>
      <c r="Q7" s="1318"/>
      <c r="R7" s="1357"/>
      <c r="S7" s="830"/>
      <c r="T7" s="831"/>
      <c r="U7" s="828"/>
      <c r="V7" s="828"/>
      <c r="W7" s="828"/>
      <c r="X7" s="828"/>
      <c r="Y7" s="828"/>
      <c r="Z7" s="828"/>
      <c r="AA7" s="828"/>
    </row>
    <row r="8" spans="1:27" s="829" customFormat="1" ht="34.9"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 xml:space="preserve"> </v>
      </c>
      <c r="M8" s="1604" t="str">
        <f>IFERROR(VLOOKUP(A8,Solieu!G:M,7,0),"")</f>
        <v xml:space="preserve"> </v>
      </c>
      <c r="N8" s="1198" t="s">
        <v>4187</v>
      </c>
      <c r="O8" s="1356">
        <f t="shared" si="0"/>
        <v>1</v>
      </c>
      <c r="P8" s="52" t="e">
        <f>VLOOKUP(A8,TongHopKL!D:M,8,0)</f>
        <v>#N/A</v>
      </c>
      <c r="Q8" s="1318"/>
      <c r="R8" s="1357"/>
      <c r="S8" s="830"/>
      <c r="T8" s="831"/>
      <c r="U8" s="828"/>
      <c r="V8" s="828"/>
      <c r="W8" s="828"/>
      <c r="X8" s="828"/>
      <c r="Y8" s="828"/>
      <c r="Z8" s="828"/>
      <c r="AA8" s="828"/>
    </row>
    <row r="9" spans="1:27" s="829" customFormat="1" ht="34.9"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 xml:space="preserve"> </v>
      </c>
      <c r="M9" s="1604" t="str">
        <f>IFERROR(VLOOKUP(A9,Solieu!G:M,7,0),"")</f>
        <v xml:space="preserve"> </v>
      </c>
      <c r="N9" s="1198" t="s">
        <v>4187</v>
      </c>
      <c r="O9" s="1356">
        <f t="shared" si="0"/>
        <v>1</v>
      </c>
      <c r="P9" s="52" t="e">
        <f>VLOOKUP(A9,TongHopKL!D:M,8,0)</f>
        <v>#N/A</v>
      </c>
      <c r="Q9" s="1318"/>
      <c r="R9" s="1354"/>
      <c r="S9" s="828"/>
      <c r="T9" s="831"/>
      <c r="U9" s="828"/>
      <c r="V9" s="828"/>
      <c r="W9" s="828"/>
      <c r="X9" s="828"/>
      <c r="Y9" s="828"/>
      <c r="Z9" s="828"/>
      <c r="AA9" s="828"/>
    </row>
    <row r="10" spans="1:27" s="829" customFormat="1" ht="34.9"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0103.CTTL.19</v>
      </c>
      <c r="M10" s="1604">
        <f>IFERROR(VLOOKUP(A10,Solieu!G:M,7,0),"")</f>
        <v>43525</v>
      </c>
      <c r="N10" s="1198" t="s">
        <v>4187</v>
      </c>
      <c r="O10" s="1356">
        <f t="shared" si="0"/>
        <v>1</v>
      </c>
      <c r="P10" s="52" t="e">
        <f>VLOOKUP(A10,TongHopKL!D:M,8,0)</f>
        <v>#N/A</v>
      </c>
      <c r="Q10" s="1318"/>
      <c r="R10" s="1354"/>
      <c r="S10" s="828"/>
      <c r="T10" s="831"/>
      <c r="U10" s="828"/>
      <c r="V10" s="828"/>
      <c r="W10" s="828"/>
      <c r="X10" s="828"/>
      <c r="Y10" s="828"/>
      <c r="Z10" s="828"/>
      <c r="AA10" s="828"/>
    </row>
    <row r="11" spans="1:27" s="1197" customFormat="1" ht="34.9"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 xml:space="preserve"> </v>
      </c>
      <c r="M11" s="1604" t="str">
        <f>IFERROR(VLOOKUP(A11,Solieu!G:M,7,0),"")</f>
        <v xml:space="preserve"> </v>
      </c>
      <c r="N11" s="1198" t="s">
        <v>4187</v>
      </c>
      <c r="O11" s="1356">
        <f t="shared" si="0"/>
        <v>1</v>
      </c>
      <c r="P11" s="52" t="e">
        <f>VLOOKUP(A11,TongHopKL!D:M,8,0)</f>
        <v>#N/A</v>
      </c>
      <c r="Q11" s="1318"/>
      <c r="R11" s="1196"/>
      <c r="S11" s="1195"/>
      <c r="T11" s="1195"/>
      <c r="U11" s="1195"/>
      <c r="V11" s="1195"/>
      <c r="W11" s="1195"/>
      <c r="X11" s="1195"/>
      <c r="Y11" s="1195"/>
      <c r="Z11" s="1195"/>
      <c r="AA11" s="1195"/>
    </row>
    <row r="12" spans="1:27" s="1197" customFormat="1" ht="34.9"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f>IFERROR(VLOOKUP(A12,Solieu!G:M,6,0),"")</f>
        <v>0</v>
      </c>
      <c r="M12" s="1604">
        <f>IFERROR(VLOOKUP(A12,Solieu!G:M,7,0),"")</f>
        <v>0</v>
      </c>
      <c r="N12" s="1198" t="s">
        <v>4187</v>
      </c>
      <c r="O12" s="1356">
        <f t="shared" si="0"/>
        <v>1</v>
      </c>
      <c r="P12" s="52" t="e">
        <f>VLOOKUP(A12,TongHopKL!D:M,8,0)</f>
        <v>#N/A</v>
      </c>
      <c r="Q12" s="1318"/>
      <c r="R12" s="1196"/>
      <c r="S12" s="1195"/>
      <c r="T12" s="1195"/>
      <c r="U12" s="1195"/>
      <c r="V12" s="1195"/>
      <c r="W12" s="1195"/>
      <c r="X12" s="1195"/>
      <c r="Y12" s="1195"/>
      <c r="Z12" s="1195"/>
      <c r="AA12" s="1195"/>
    </row>
    <row r="13" spans="1:27" s="1197" customFormat="1" ht="34.9"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TTT-027KCS0119/14</v>
      </c>
      <c r="M13" s="1604">
        <f>IFERROR(VLOOKUP(A13,Solieu!G:M,7,0),"")</f>
        <v>43494</v>
      </c>
      <c r="N13" s="1198" t="s">
        <v>4187</v>
      </c>
      <c r="O13" s="1356">
        <f t="shared" si="0"/>
        <v>1</v>
      </c>
      <c r="P13" s="52" t="e">
        <f>VLOOKUP(A13,TongHopKL!D:M,8,0)</f>
        <v>#N/A</v>
      </c>
      <c r="Q13" s="1318"/>
      <c r="R13" s="1319"/>
      <c r="S13" s="1319"/>
      <c r="T13" s="1200"/>
      <c r="U13" s="1195"/>
      <c r="V13" s="1195"/>
      <c r="W13" s="1195"/>
      <c r="X13" s="1195"/>
      <c r="Y13" s="1195"/>
      <c r="Z13" s="1195"/>
      <c r="AA13" s="1195"/>
    </row>
    <row r="14" spans="1:27" s="829" customFormat="1" ht="34.9"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4187</v>
      </c>
      <c r="O14" s="1356">
        <f t="shared" si="0"/>
        <v>1</v>
      </c>
      <c r="P14" s="52" t="e">
        <f>VLOOKUP(A14,TongHopKL!D:M,8,0)</f>
        <v>#N/A</v>
      </c>
      <c r="Q14" s="1318"/>
      <c r="R14" s="1357"/>
      <c r="S14" s="830"/>
      <c r="T14" s="831"/>
      <c r="U14" s="828"/>
      <c r="V14" s="828"/>
      <c r="W14" s="828"/>
      <c r="X14" s="828"/>
      <c r="Y14" s="828"/>
      <c r="Z14" s="828"/>
      <c r="AA14" s="828"/>
    </row>
    <row r="15" spans="1:27" s="829" customFormat="1" ht="34.9"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4187</v>
      </c>
      <c r="O15" s="1356">
        <f t="shared" si="0"/>
        <v>1</v>
      </c>
      <c r="P15" s="52" t="e">
        <f>VLOOKUP(A15,TongHopKL!D:M,8,0)</f>
        <v>#N/A</v>
      </c>
      <c r="Q15" s="1318"/>
      <c r="R15" s="1319"/>
      <c r="S15" s="1320"/>
      <c r="T15" s="828"/>
      <c r="U15" s="828"/>
      <c r="V15" s="828"/>
      <c r="W15" s="828"/>
      <c r="X15" s="828"/>
      <c r="Y15" s="828"/>
      <c r="Z15" s="828"/>
      <c r="AA15" s="828"/>
    </row>
    <row r="16" spans="1:27" s="829" customFormat="1" ht="34.9"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4187</v>
      </c>
      <c r="O16" s="1356">
        <f t="shared" si="0"/>
        <v>1</v>
      </c>
      <c r="P16" s="52" t="e">
        <f>VLOOKUP(A16,TongHopKL!D:M,8,0)</f>
        <v>#N/A</v>
      </c>
      <c r="Q16" s="1318"/>
      <c r="R16" s="1357"/>
      <c r="S16" s="828"/>
      <c r="T16" s="828"/>
      <c r="U16" s="828"/>
      <c r="V16" s="828"/>
      <c r="W16" s="828"/>
      <c r="X16" s="828"/>
      <c r="Y16" s="828"/>
      <c r="Z16" s="828"/>
      <c r="AA16" s="828"/>
    </row>
    <row r="17" spans="1:27" s="829" customFormat="1" ht="34.9"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4187</v>
      </c>
      <c r="O17" s="1356">
        <f t="shared" si="0"/>
        <v>1</v>
      </c>
      <c r="P17" s="52" t="e">
        <f>VLOOKUP(A17,TongHopKL!D:M,8,0)</f>
        <v>#N/A</v>
      </c>
      <c r="Q17" s="1315"/>
      <c r="R17" s="1357"/>
      <c r="S17" s="828"/>
      <c r="T17" s="828"/>
      <c r="U17" s="828"/>
      <c r="V17" s="828"/>
      <c r="W17" s="828"/>
      <c r="X17" s="828"/>
      <c r="Y17" s="828"/>
      <c r="Z17" s="828"/>
      <c r="AA17" s="828"/>
    </row>
    <row r="18" spans="1:27" s="829" customFormat="1" ht="34.9"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4187</v>
      </c>
      <c r="O18" s="1356">
        <f t="shared" si="0"/>
        <v>1</v>
      </c>
      <c r="P18" s="52" t="e">
        <f>VLOOKUP(A18,TongHopKL!D:M,8,0)</f>
        <v>#N/A</v>
      </c>
      <c r="Q18" s="1315"/>
      <c r="R18" s="1357"/>
      <c r="S18" s="828"/>
      <c r="T18" s="828"/>
      <c r="U18" s="828"/>
      <c r="V18" s="828"/>
      <c r="W18" s="828"/>
      <c r="X18" s="828"/>
      <c r="Y18" s="828"/>
      <c r="Z18" s="828"/>
      <c r="AA18" s="828"/>
    </row>
    <row r="19" spans="1:27" s="829" customFormat="1" ht="34.9"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4187</v>
      </c>
      <c r="O19" s="1356">
        <f t="shared" si="0"/>
        <v>1</v>
      </c>
      <c r="P19" s="52" t="e">
        <f>VLOOKUP(A19,TongHopKL!D:M,8,0)</f>
        <v>#N/A</v>
      </c>
      <c r="Q19" s="1315"/>
      <c r="R19" s="1357"/>
      <c r="S19" s="830"/>
      <c r="T19" s="830"/>
      <c r="U19" s="828"/>
      <c r="V19" s="828"/>
      <c r="W19" s="828"/>
      <c r="X19" s="828"/>
      <c r="Y19" s="828"/>
      <c r="Z19" s="828"/>
      <c r="AA19" s="828"/>
    </row>
    <row r="20" spans="1:27" s="829" customFormat="1" ht="34.9"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4187</v>
      </c>
      <c r="O20" s="1356">
        <f t="shared" si="0"/>
        <v>1</v>
      </c>
      <c r="P20" s="1194"/>
      <c r="Q20" s="1315"/>
      <c r="R20" s="1357"/>
      <c r="S20" s="830"/>
      <c r="T20" s="831"/>
      <c r="U20" s="828"/>
      <c r="V20" s="828"/>
      <c r="W20" s="828"/>
      <c r="X20" s="828"/>
      <c r="Y20" s="828"/>
      <c r="Z20" s="828"/>
      <c r="AA20" s="828"/>
    </row>
    <row r="21" spans="1:27" s="829" customFormat="1" ht="34.9"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4187</v>
      </c>
      <c r="O21" s="1356">
        <f t="shared" si="0"/>
        <v>1</v>
      </c>
      <c r="P21" s="1194"/>
      <c r="Q21" s="1315"/>
      <c r="R21" s="1357"/>
      <c r="S21" s="828"/>
      <c r="T21" s="828"/>
      <c r="U21" s="828"/>
      <c r="V21" s="828"/>
      <c r="W21" s="828"/>
      <c r="X21" s="828"/>
      <c r="Y21" s="828"/>
      <c r="Z21" s="828"/>
      <c r="AA21" s="828"/>
    </row>
    <row r="22" spans="1:27" s="829" customFormat="1" ht="34.9"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4187</v>
      </c>
      <c r="O22" s="1356">
        <f t="shared" si="0"/>
        <v>1</v>
      </c>
      <c r="P22" s="1194"/>
      <c r="Q22" s="1315"/>
      <c r="R22" s="1357"/>
      <c r="S22" s="828"/>
      <c r="T22" s="828"/>
      <c r="U22" s="828"/>
      <c r="V22" s="828"/>
      <c r="W22" s="828"/>
      <c r="X22" s="828"/>
      <c r="Y22" s="828"/>
      <c r="Z22" s="828"/>
      <c r="AA22" s="828"/>
    </row>
    <row r="23" spans="1:27" s="829" customFormat="1" ht="34.9"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4187</v>
      </c>
      <c r="O23" s="1356">
        <f t="shared" si="0"/>
        <v>1</v>
      </c>
      <c r="P23" s="1194"/>
      <c r="Q23" s="1315"/>
      <c r="R23" s="1357"/>
      <c r="S23" s="828"/>
      <c r="T23" s="828"/>
      <c r="U23" s="828"/>
      <c r="V23" s="828"/>
      <c r="W23" s="828"/>
      <c r="X23" s="828"/>
      <c r="Y23" s="828"/>
      <c r="Z23" s="828"/>
      <c r="AA23" s="828"/>
    </row>
    <row r="24" spans="1:27" s="829" customFormat="1" ht="34.9"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4187</v>
      </c>
      <c r="O24" s="1356">
        <f t="shared" si="0"/>
        <v>1</v>
      </c>
      <c r="P24" s="1194"/>
      <c r="Q24" s="1315"/>
      <c r="R24" s="1357"/>
      <c r="S24" s="828"/>
      <c r="T24" s="828"/>
      <c r="U24" s="828"/>
      <c r="V24" s="828"/>
      <c r="W24" s="828"/>
      <c r="X24" s="828"/>
      <c r="Y24" s="828"/>
      <c r="Z24" s="828"/>
      <c r="AA24" s="828"/>
    </row>
    <row r="25" spans="1:27" s="829" customFormat="1" ht="34.9"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4187</v>
      </c>
      <c r="O25" s="1356">
        <f t="shared" si="0"/>
        <v>1</v>
      </c>
      <c r="P25" s="1194"/>
      <c r="Q25" s="1315"/>
      <c r="R25" s="1357"/>
      <c r="S25" s="828"/>
      <c r="T25" s="828"/>
      <c r="U25" s="828"/>
      <c r="V25" s="828"/>
      <c r="W25" s="828"/>
      <c r="X25" s="828"/>
      <c r="Y25" s="828"/>
      <c r="Z25" s="828"/>
      <c r="AA25" s="828"/>
    </row>
    <row r="26" spans="1:27" s="829" customFormat="1" ht="34.9"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4187</v>
      </c>
      <c r="O26" s="1356">
        <f t="shared" si="0"/>
        <v>1</v>
      </c>
      <c r="P26" s="1194"/>
      <c r="Q26" s="1315"/>
      <c r="R26" s="1357"/>
      <c r="S26" s="828"/>
      <c r="T26" s="828"/>
      <c r="U26" s="828"/>
      <c r="V26" s="828"/>
      <c r="W26" s="828"/>
      <c r="X26" s="828"/>
      <c r="Y26" s="828"/>
      <c r="Z26" s="828"/>
      <c r="AA26" s="828"/>
    </row>
    <row r="27" spans="1:27" s="829" customFormat="1" ht="34.9"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4187</v>
      </c>
      <c r="O27" s="1356">
        <f t="shared" si="0"/>
        <v>1</v>
      </c>
      <c r="P27" s="1194"/>
      <c r="Q27" s="1315"/>
      <c r="R27" s="1357"/>
      <c r="S27" s="828"/>
      <c r="T27" s="828"/>
      <c r="U27" s="828"/>
      <c r="V27" s="828"/>
      <c r="W27" s="828"/>
      <c r="X27" s="828"/>
      <c r="Y27" s="828"/>
      <c r="Z27" s="828"/>
      <c r="AA27" s="828"/>
    </row>
    <row r="28" spans="1:27" s="829" customFormat="1" ht="34.9"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4187</v>
      </c>
      <c r="O28" s="1356">
        <f t="shared" si="0"/>
        <v>1</v>
      </c>
      <c r="P28" s="1194"/>
      <c r="Q28" s="1315"/>
      <c r="R28" s="1357"/>
      <c r="S28" s="828"/>
      <c r="T28" s="828"/>
      <c r="U28" s="828"/>
      <c r="V28" s="828"/>
      <c r="W28" s="828"/>
      <c r="X28" s="828"/>
      <c r="Y28" s="828"/>
      <c r="Z28" s="828"/>
      <c r="AA28" s="828"/>
    </row>
    <row r="29" spans="1:27" s="829" customFormat="1" ht="34.9"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4187</v>
      </c>
      <c r="O29" s="1356">
        <f t="shared" si="0"/>
        <v>1</v>
      </c>
      <c r="P29" s="1194"/>
      <c r="Q29" s="1315"/>
      <c r="R29" s="1357"/>
      <c r="S29" s="828"/>
      <c r="T29" s="828"/>
      <c r="U29" s="828"/>
      <c r="V29" s="828"/>
      <c r="W29" s="828"/>
      <c r="X29" s="828"/>
      <c r="Y29" s="828"/>
      <c r="Z29" s="828"/>
      <c r="AA29" s="828"/>
    </row>
    <row r="30" spans="1:27" s="829" customFormat="1" ht="34.9"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4187</v>
      </c>
      <c r="O30" s="1356">
        <f t="shared" si="0"/>
        <v>1</v>
      </c>
      <c r="P30" s="1194"/>
      <c r="Q30" s="1315"/>
      <c r="R30" s="1357"/>
      <c r="S30" s="828"/>
      <c r="T30" s="828"/>
      <c r="U30" s="828"/>
      <c r="V30" s="828"/>
      <c r="W30" s="828"/>
      <c r="X30" s="828"/>
      <c r="Y30" s="828"/>
      <c r="Z30" s="828"/>
      <c r="AA30" s="828"/>
    </row>
    <row r="31" spans="1:27" s="829" customFormat="1" ht="34.9"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4187</v>
      </c>
      <c r="O31" s="1356">
        <f t="shared" si="0"/>
        <v>1</v>
      </c>
      <c r="P31" s="1194"/>
      <c r="Q31" s="1315"/>
      <c r="R31" s="1357"/>
      <c r="S31" s="828"/>
      <c r="T31" s="828"/>
      <c r="U31" s="828"/>
      <c r="V31" s="828"/>
      <c r="W31" s="828"/>
      <c r="X31" s="828"/>
      <c r="Y31" s="828"/>
      <c r="Z31" s="828"/>
      <c r="AA31" s="828"/>
    </row>
    <row r="32" spans="1:27" s="829" customFormat="1" ht="34.9"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4187</v>
      </c>
      <c r="O32" s="1356">
        <f t="shared" si="0"/>
        <v>1</v>
      </c>
      <c r="P32" s="1194"/>
      <c r="Q32" s="1315"/>
      <c r="R32" s="1357"/>
      <c r="S32" s="828"/>
      <c r="T32" s="828"/>
      <c r="U32" s="828"/>
      <c r="V32" s="828"/>
      <c r="W32" s="828"/>
      <c r="X32" s="828"/>
      <c r="Y32" s="828"/>
      <c r="Z32" s="828"/>
      <c r="AA32" s="828"/>
    </row>
    <row r="33" spans="1:27" s="829" customFormat="1" ht="34.9"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4187</v>
      </c>
      <c r="O33" s="1356">
        <f t="shared" si="0"/>
        <v>1</v>
      </c>
      <c r="P33" s="1194"/>
      <c r="Q33" s="1315"/>
      <c r="R33" s="1357"/>
      <c r="S33" s="828"/>
      <c r="T33" s="828"/>
      <c r="U33" s="828"/>
      <c r="V33" s="828"/>
      <c r="W33" s="828"/>
      <c r="X33" s="828"/>
      <c r="Y33" s="828"/>
      <c r="Z33" s="828"/>
      <c r="AA33" s="828"/>
    </row>
    <row r="34" spans="1:27" s="829" customFormat="1" ht="34.9"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4187</v>
      </c>
      <c r="O34" s="1356">
        <f t="shared" si="0"/>
        <v>1</v>
      </c>
      <c r="P34" s="1194"/>
      <c r="Q34" s="1315"/>
      <c r="R34" s="1357"/>
      <c r="S34" s="828"/>
      <c r="T34" s="828"/>
      <c r="U34" s="828"/>
      <c r="V34" s="828"/>
      <c r="W34" s="828"/>
      <c r="X34" s="828"/>
      <c r="Y34" s="828"/>
      <c r="Z34" s="828"/>
      <c r="AA34" s="828"/>
    </row>
    <row r="35" spans="1:27" s="829" customFormat="1" ht="34.9"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4187</v>
      </c>
      <c r="O35" s="1356">
        <f t="shared" si="0"/>
        <v>1</v>
      </c>
      <c r="P35" s="1194"/>
      <c r="Q35" s="1315"/>
      <c r="R35" s="1357"/>
      <c r="S35" s="828"/>
      <c r="T35" s="828"/>
      <c r="U35" s="828"/>
      <c r="V35" s="828"/>
      <c r="W35" s="828"/>
      <c r="X35" s="828"/>
      <c r="Y35" s="828"/>
      <c r="Z35" s="828"/>
      <c r="AA35" s="828"/>
    </row>
    <row r="36" spans="1:27" s="829" customFormat="1" ht="34.9"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4187</v>
      </c>
      <c r="O36" s="1356">
        <f t="shared" si="0"/>
        <v>1</v>
      </c>
      <c r="P36" s="1194"/>
      <c r="Q36" s="1315"/>
      <c r="R36" s="1357"/>
      <c r="S36" s="828"/>
      <c r="T36" s="828"/>
      <c r="U36" s="828"/>
      <c r="V36" s="828"/>
      <c r="W36" s="828"/>
      <c r="X36" s="828"/>
      <c r="Y36" s="828"/>
      <c r="Z36" s="828"/>
      <c r="AA36" s="828"/>
    </row>
    <row r="37" spans="1:27" s="829" customFormat="1" ht="34.9"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4187</v>
      </c>
      <c r="O37" s="1356">
        <f t="shared" si="0"/>
        <v>1</v>
      </c>
      <c r="P37" s="1194"/>
      <c r="Q37" s="1315"/>
      <c r="R37" s="1357"/>
      <c r="S37" s="828"/>
      <c r="T37" s="828"/>
      <c r="U37" s="828"/>
      <c r="V37" s="828"/>
      <c r="W37" s="828"/>
      <c r="X37" s="828"/>
      <c r="Y37" s="828"/>
      <c r="Z37" s="828"/>
      <c r="AA37" s="828"/>
    </row>
    <row r="38" spans="1:27" s="829" customFormat="1" ht="34.9"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4187</v>
      </c>
      <c r="O38" s="1356">
        <f t="shared" si="0"/>
        <v>1</v>
      </c>
      <c r="P38" s="1194"/>
      <c r="Q38" s="1315"/>
      <c r="R38" s="1357"/>
      <c r="S38" s="828"/>
      <c r="T38" s="828"/>
      <c r="U38" s="828"/>
      <c r="V38" s="828"/>
      <c r="W38" s="828"/>
      <c r="X38" s="828"/>
      <c r="Y38" s="828"/>
      <c r="Z38" s="828"/>
      <c r="AA38" s="828"/>
    </row>
    <row r="39" spans="1:27" s="829" customFormat="1" ht="34.9"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4187</v>
      </c>
      <c r="O39" s="1356">
        <f t="shared" si="0"/>
        <v>1</v>
      </c>
      <c r="P39" s="1194"/>
      <c r="Q39" s="1315"/>
      <c r="R39" s="1357"/>
      <c r="S39" s="828"/>
      <c r="T39" s="828"/>
      <c r="U39" s="828"/>
      <c r="V39" s="828"/>
      <c r="W39" s="828"/>
      <c r="X39" s="828"/>
      <c r="Y39" s="828"/>
      <c r="Z39" s="828"/>
      <c r="AA39" s="828"/>
    </row>
    <row r="40" spans="1:27" s="829" customFormat="1" ht="34.9"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4187</v>
      </c>
      <c r="O40" s="1356">
        <f t="shared" si="0"/>
        <v>1</v>
      </c>
      <c r="P40" s="1194"/>
      <c r="Q40" s="1315"/>
      <c r="R40" s="1357"/>
      <c r="S40" s="828"/>
      <c r="T40" s="828"/>
      <c r="U40" s="828"/>
      <c r="V40" s="828"/>
      <c r="W40" s="828"/>
      <c r="X40" s="828"/>
      <c r="Y40" s="828"/>
      <c r="Z40" s="828"/>
      <c r="AA40" s="828"/>
    </row>
    <row r="41" spans="1:27" s="829" customFormat="1" ht="34.9"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4187</v>
      </c>
      <c r="O41" s="1356">
        <f t="shared" si="0"/>
        <v>1</v>
      </c>
      <c r="P41" s="1194"/>
      <c r="Q41" s="1315"/>
      <c r="R41" s="1357"/>
      <c r="S41" s="828"/>
      <c r="T41" s="828"/>
      <c r="U41" s="828"/>
      <c r="V41" s="828"/>
      <c r="W41" s="828"/>
      <c r="X41" s="828"/>
      <c r="Y41" s="828"/>
      <c r="Z41" s="828"/>
      <c r="AA41" s="828"/>
    </row>
    <row r="42" spans="1:27" s="829" customFormat="1" ht="34.9"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4187</v>
      </c>
      <c r="O42" s="1356">
        <f t="shared" si="0"/>
        <v>1</v>
      </c>
      <c r="P42" s="1194"/>
      <c r="Q42" s="1315"/>
      <c r="R42" s="1357"/>
      <c r="S42" s="828"/>
      <c r="T42" s="828"/>
      <c r="U42" s="828"/>
      <c r="V42" s="828"/>
      <c r="W42" s="828"/>
      <c r="X42" s="828"/>
      <c r="Y42" s="828"/>
      <c r="Z42" s="828"/>
      <c r="AA42" s="828"/>
    </row>
    <row r="43" spans="1:27" s="829" customFormat="1" ht="34.9"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4187</v>
      </c>
      <c r="O43" s="1356">
        <f t="shared" si="0"/>
        <v>1</v>
      </c>
      <c r="P43" s="1194"/>
      <c r="Q43" s="1315"/>
      <c r="R43" s="1357"/>
      <c r="S43" s="828"/>
      <c r="T43" s="828"/>
      <c r="U43" s="828"/>
      <c r="V43" s="828"/>
      <c r="W43" s="828"/>
      <c r="X43" s="828"/>
      <c r="Y43" s="828"/>
      <c r="Z43" s="828"/>
      <c r="AA43" s="828"/>
    </row>
    <row r="44" spans="1:27" s="829" customFormat="1" ht="34.9"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4187</v>
      </c>
      <c r="O44" s="1356">
        <f t="shared" si="0"/>
        <v>1</v>
      </c>
      <c r="P44" s="1194"/>
      <c r="Q44" s="1315"/>
      <c r="R44" s="1357"/>
      <c r="S44" s="828"/>
      <c r="T44" s="828"/>
      <c r="U44" s="828"/>
      <c r="V44" s="828"/>
      <c r="W44" s="828"/>
      <c r="X44" s="828"/>
      <c r="Y44" s="828"/>
      <c r="Z44" s="828"/>
      <c r="AA44" s="828"/>
    </row>
    <row r="45" spans="1:27" s="829" customFormat="1" ht="34.9"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4187</v>
      </c>
      <c r="O45" s="1356">
        <f t="shared" si="0"/>
        <v>1</v>
      </c>
      <c r="P45" s="1194"/>
      <c r="Q45" s="1315"/>
      <c r="R45" s="1357"/>
      <c r="S45" s="828"/>
      <c r="T45" s="828"/>
      <c r="U45" s="828"/>
      <c r="V45" s="828"/>
      <c r="W45" s="828"/>
      <c r="X45" s="828"/>
      <c r="Y45" s="828"/>
      <c r="Z45" s="828"/>
      <c r="AA45" s="828"/>
    </row>
    <row r="46" spans="1:27" s="829" customFormat="1" ht="34.9"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4187</v>
      </c>
      <c r="O46" s="1356">
        <f t="shared" si="0"/>
        <v>1</v>
      </c>
      <c r="P46" s="1194"/>
      <c r="Q46" s="1315"/>
      <c r="R46" s="1357"/>
      <c r="S46" s="828"/>
      <c r="T46" s="828"/>
      <c r="U46" s="828"/>
      <c r="V46" s="828"/>
      <c r="W46" s="828"/>
      <c r="X46" s="828"/>
      <c r="Y46" s="828"/>
      <c r="Z46" s="828"/>
      <c r="AA46" s="828"/>
    </row>
    <row r="47" spans="1:27" s="829" customFormat="1" ht="34.9"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4187</v>
      </c>
      <c r="O47" s="1356">
        <f t="shared" si="0"/>
        <v>1</v>
      </c>
      <c r="P47" s="1194"/>
      <c r="Q47" s="1315"/>
      <c r="R47" s="1357"/>
      <c r="S47" s="828"/>
      <c r="T47" s="828"/>
      <c r="U47" s="828"/>
      <c r="V47" s="828"/>
      <c r="W47" s="828"/>
      <c r="X47" s="828"/>
      <c r="Y47" s="828"/>
      <c r="Z47" s="828"/>
      <c r="AA47" s="828"/>
    </row>
    <row r="48" spans="1:27" s="829" customFormat="1" ht="34.9"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4187</v>
      </c>
      <c r="O48" s="1356">
        <f t="shared" si="0"/>
        <v>1</v>
      </c>
      <c r="P48" s="1194"/>
      <c r="Q48" s="1315"/>
      <c r="R48" s="1357"/>
      <c r="S48" s="828"/>
      <c r="T48" s="828"/>
      <c r="U48" s="828"/>
      <c r="V48" s="828"/>
      <c r="W48" s="828"/>
      <c r="X48" s="828"/>
      <c r="Y48" s="828"/>
      <c r="Z48" s="828"/>
      <c r="AA48" s="828"/>
    </row>
    <row r="49" spans="1:27" s="829" customFormat="1" ht="34.9"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4187</v>
      </c>
      <c r="O49" s="1356">
        <f t="shared" si="0"/>
        <v>1</v>
      </c>
      <c r="P49" s="1194"/>
      <c r="Q49" s="1315"/>
      <c r="R49" s="1357"/>
      <c r="S49" s="828"/>
      <c r="T49" s="828"/>
      <c r="U49" s="828"/>
      <c r="V49" s="828"/>
      <c r="W49" s="828"/>
      <c r="X49" s="828"/>
      <c r="Y49" s="828"/>
      <c r="Z49" s="828"/>
      <c r="AA49" s="828"/>
    </row>
    <row r="50" spans="1:27" s="829" customFormat="1" ht="34.9"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4187</v>
      </c>
      <c r="O50" s="1356">
        <f t="shared" si="0"/>
        <v>1</v>
      </c>
      <c r="P50" s="1194"/>
      <c r="Q50" s="1315"/>
      <c r="R50" s="1357"/>
      <c r="S50" s="828"/>
      <c r="T50" s="828"/>
      <c r="U50" s="828"/>
      <c r="V50" s="828"/>
      <c r="W50" s="828"/>
      <c r="X50" s="828"/>
      <c r="Y50" s="828"/>
      <c r="Z50" s="828"/>
      <c r="AA50" s="828"/>
    </row>
    <row r="51" spans="1:27" s="829" customFormat="1" ht="34.9"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4187</v>
      </c>
      <c r="O51" s="1356">
        <f t="shared" si="0"/>
        <v>1</v>
      </c>
      <c r="P51" s="1194"/>
      <c r="Q51" s="1315"/>
      <c r="R51" s="1357"/>
      <c r="S51" s="828"/>
      <c r="T51" s="828"/>
      <c r="U51" s="828"/>
      <c r="V51" s="828"/>
      <c r="W51" s="828"/>
      <c r="X51" s="828"/>
      <c r="Y51" s="828"/>
      <c r="Z51" s="828"/>
      <c r="AA51" s="828"/>
    </row>
    <row r="52" spans="1:27" s="829" customFormat="1" ht="34.9"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4187</v>
      </c>
      <c r="O52" s="1356">
        <f t="shared" si="0"/>
        <v>1</v>
      </c>
      <c r="P52" s="1194"/>
      <c r="Q52" s="1315"/>
      <c r="R52" s="1357"/>
      <c r="S52" s="828"/>
      <c r="T52" s="828"/>
      <c r="U52" s="828"/>
      <c r="V52" s="828"/>
      <c r="W52" s="828"/>
      <c r="X52" s="828"/>
      <c r="Y52" s="828"/>
      <c r="Z52" s="828"/>
      <c r="AA52" s="828"/>
    </row>
    <row r="53" spans="1:27" s="829" customFormat="1" ht="34.9"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4187</v>
      </c>
      <c r="O53" s="1356">
        <f t="shared" si="0"/>
        <v>1</v>
      </c>
      <c r="P53" s="1194"/>
      <c r="Q53" s="1315"/>
      <c r="R53" s="1357"/>
      <c r="S53" s="828"/>
      <c r="T53" s="828"/>
      <c r="U53" s="828"/>
      <c r="V53" s="828"/>
      <c r="W53" s="828"/>
      <c r="X53" s="828"/>
      <c r="Y53" s="828"/>
      <c r="Z53" s="828"/>
      <c r="AA53" s="828"/>
    </row>
    <row r="54" spans="1:27" s="829" customFormat="1" ht="34.9"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4187</v>
      </c>
      <c r="O54" s="1356">
        <f t="shared" si="0"/>
        <v>1</v>
      </c>
      <c r="P54" s="1194"/>
      <c r="Q54" s="1315"/>
      <c r="R54" s="1357"/>
      <c r="S54" s="828"/>
      <c r="T54" s="828"/>
      <c r="U54" s="828"/>
      <c r="V54" s="828"/>
      <c r="W54" s="828"/>
      <c r="X54" s="828"/>
      <c r="Y54" s="828"/>
      <c r="Z54" s="828"/>
      <c r="AA54" s="828"/>
    </row>
    <row r="55" spans="1:27" s="829" customFormat="1" ht="34.9"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4187</v>
      </c>
      <c r="O55" s="1356">
        <f t="shared" si="0"/>
        <v>1</v>
      </c>
      <c r="P55" s="1194"/>
      <c r="Q55" s="1315"/>
      <c r="R55" s="1357"/>
      <c r="S55" s="828"/>
      <c r="T55" s="828"/>
      <c r="U55" s="828"/>
      <c r="V55" s="828"/>
      <c r="W55" s="828"/>
      <c r="X55" s="828"/>
      <c r="Y55" s="828"/>
      <c r="Z55" s="828"/>
      <c r="AA55" s="828"/>
    </row>
    <row r="56" spans="1:27" s="829" customFormat="1" ht="34.9"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4187</v>
      </c>
      <c r="O56" s="1356">
        <f t="shared" si="0"/>
        <v>1</v>
      </c>
      <c r="P56" s="1194"/>
      <c r="Q56" s="1315"/>
      <c r="R56" s="1357"/>
      <c r="S56" s="828"/>
      <c r="T56" s="828"/>
      <c r="U56" s="828"/>
      <c r="V56" s="828"/>
      <c r="W56" s="828"/>
      <c r="X56" s="828"/>
      <c r="Y56" s="828"/>
      <c r="Z56" s="828"/>
      <c r="AA56" s="828"/>
    </row>
    <row r="57" spans="1:27" s="829" customFormat="1" ht="34.9"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4187</v>
      </c>
      <c r="O57" s="1356">
        <f t="shared" si="0"/>
        <v>1</v>
      </c>
      <c r="P57" s="1194"/>
      <c r="Q57" s="1315"/>
      <c r="R57" s="1357"/>
      <c r="S57" s="828"/>
      <c r="T57" s="828"/>
      <c r="U57" s="828"/>
      <c r="V57" s="828"/>
      <c r="W57" s="828"/>
      <c r="X57" s="828"/>
      <c r="Y57" s="828"/>
      <c r="Z57" s="828"/>
      <c r="AA57" s="828"/>
    </row>
    <row r="58" spans="1:27" s="829" customFormat="1" ht="34.9"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4187</v>
      </c>
      <c r="O58" s="1356">
        <f t="shared" si="0"/>
        <v>1</v>
      </c>
      <c r="P58" s="1194"/>
      <c r="Q58" s="1315"/>
      <c r="R58" s="1357"/>
      <c r="S58" s="828"/>
      <c r="T58" s="828"/>
      <c r="U58" s="828"/>
      <c r="V58" s="828"/>
      <c r="W58" s="828"/>
      <c r="X58" s="828"/>
      <c r="Y58" s="828"/>
      <c r="Z58" s="828"/>
      <c r="AA58" s="828"/>
    </row>
    <row r="59" spans="1:27" s="829" customFormat="1" ht="34.9"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4187</v>
      </c>
      <c r="O59" s="1356">
        <f t="shared" si="0"/>
        <v>1</v>
      </c>
      <c r="P59" s="1194"/>
      <c r="Q59" s="1315"/>
      <c r="R59" s="1357"/>
      <c r="S59" s="828"/>
      <c r="T59" s="828"/>
      <c r="U59" s="828"/>
      <c r="V59" s="828"/>
      <c r="W59" s="828"/>
      <c r="X59" s="828"/>
      <c r="Y59" s="828"/>
      <c r="Z59" s="828"/>
      <c r="AA59" s="828"/>
    </row>
    <row r="60" spans="1:27" s="829" customFormat="1" ht="34.9"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4187</v>
      </c>
      <c r="O60" s="1356">
        <f t="shared" si="0"/>
        <v>1</v>
      </c>
      <c r="P60" s="1194"/>
      <c r="Q60" s="1315"/>
      <c r="R60" s="1357"/>
      <c r="S60" s="828"/>
      <c r="T60" s="828"/>
      <c r="U60" s="828"/>
      <c r="V60" s="828"/>
      <c r="W60" s="828"/>
      <c r="X60" s="828"/>
      <c r="Y60" s="828"/>
      <c r="Z60" s="828"/>
      <c r="AA60" s="828"/>
    </row>
    <row r="61" spans="1:27" s="829" customFormat="1" ht="34.9"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4187</v>
      </c>
      <c r="O61" s="1356">
        <f t="shared" si="0"/>
        <v>1</v>
      </c>
      <c r="P61" s="1194"/>
      <c r="Q61" s="1315"/>
      <c r="R61" s="1357"/>
      <c r="S61" s="828"/>
      <c r="T61" s="828"/>
      <c r="U61" s="828"/>
      <c r="V61" s="828"/>
      <c r="W61" s="828"/>
      <c r="X61" s="828"/>
      <c r="Y61" s="828"/>
      <c r="Z61" s="828"/>
      <c r="AA61" s="828"/>
    </row>
    <row r="62" spans="1:27" s="829" customFormat="1" ht="34.9"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4187</v>
      </c>
      <c r="O62" s="1356">
        <f t="shared" si="0"/>
        <v>1</v>
      </c>
      <c r="P62" s="1194"/>
      <c r="Q62" s="1315"/>
      <c r="R62" s="1357"/>
      <c r="S62" s="828"/>
      <c r="T62" s="828"/>
      <c r="U62" s="828"/>
      <c r="V62" s="828"/>
      <c r="W62" s="828"/>
      <c r="X62" s="828"/>
      <c r="Y62" s="828"/>
      <c r="Z62" s="828"/>
      <c r="AA62" s="828"/>
    </row>
    <row r="63" spans="1:27" s="829" customFormat="1" ht="34.9"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4187</v>
      </c>
      <c r="O63" s="1356">
        <f t="shared" si="0"/>
        <v>1</v>
      </c>
      <c r="P63" s="1194"/>
      <c r="Q63" s="1315"/>
      <c r="R63" s="1357"/>
      <c r="S63" s="828"/>
      <c r="T63" s="828"/>
      <c r="U63" s="828"/>
      <c r="V63" s="828"/>
      <c r="W63" s="828"/>
      <c r="X63" s="828"/>
      <c r="Y63" s="828"/>
      <c r="Z63" s="828"/>
      <c r="AA63" s="828"/>
    </row>
    <row r="64" spans="1:27" s="829" customFormat="1" ht="34.9"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4187</v>
      </c>
      <c r="O64" s="1356">
        <f t="shared" si="0"/>
        <v>1</v>
      </c>
      <c r="P64" s="1194"/>
      <c r="Q64" s="1315"/>
      <c r="R64" s="1357"/>
      <c r="S64" s="828"/>
      <c r="T64" s="828"/>
      <c r="U64" s="828"/>
      <c r="V64" s="828"/>
      <c r="W64" s="828"/>
      <c r="X64" s="828"/>
      <c r="Y64" s="828"/>
      <c r="Z64" s="828"/>
      <c r="AA64" s="828"/>
    </row>
    <row r="65" spans="1:27" s="829" customFormat="1" ht="34.9"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4187</v>
      </c>
      <c r="O65" s="1356">
        <f t="shared" si="0"/>
        <v>1</v>
      </c>
      <c r="P65" s="1194"/>
      <c r="Q65" s="1315"/>
      <c r="R65" s="1357"/>
      <c r="S65" s="828"/>
      <c r="T65" s="828"/>
      <c r="U65" s="828"/>
      <c r="V65" s="828"/>
      <c r="W65" s="828"/>
      <c r="X65" s="828"/>
      <c r="Y65" s="828"/>
      <c r="Z65" s="828"/>
      <c r="AA65" s="828"/>
    </row>
    <row r="66" spans="1:27" s="829" customFormat="1" ht="34.9"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4187</v>
      </c>
      <c r="O66" s="1356">
        <f t="shared" si="0"/>
        <v>1</v>
      </c>
      <c r="P66" s="1194"/>
      <c r="Q66" s="1315"/>
      <c r="R66" s="1357"/>
      <c r="S66" s="828"/>
      <c r="T66" s="828"/>
      <c r="U66" s="828"/>
      <c r="V66" s="828"/>
      <c r="W66" s="828"/>
      <c r="X66" s="828"/>
      <c r="Y66" s="828"/>
      <c r="Z66" s="828"/>
      <c r="AA66" s="828"/>
    </row>
    <row r="67" spans="1:27" s="829" customFormat="1" ht="34.9"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4187</v>
      </c>
      <c r="O67" s="1356">
        <f t="shared" si="0"/>
        <v>1</v>
      </c>
      <c r="P67" s="1194"/>
      <c r="Q67" s="1315"/>
      <c r="R67" s="1357"/>
      <c r="S67" s="828"/>
      <c r="T67" s="828"/>
      <c r="U67" s="828"/>
      <c r="V67" s="828"/>
      <c r="W67" s="828"/>
      <c r="X67" s="828"/>
      <c r="Y67" s="828"/>
      <c r="Z67" s="828"/>
      <c r="AA67" s="828"/>
    </row>
    <row r="68" spans="1:27" s="829" customFormat="1" ht="34.9"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4187</v>
      </c>
      <c r="O68" s="1356">
        <f t="shared" si="0"/>
        <v>1</v>
      </c>
      <c r="P68" s="1194"/>
      <c r="Q68" s="1315"/>
      <c r="R68" s="1357"/>
      <c r="S68" s="828"/>
      <c r="T68" s="828"/>
      <c r="U68" s="828"/>
      <c r="V68" s="828"/>
      <c r="W68" s="828"/>
      <c r="X68" s="828"/>
      <c r="Y68" s="828"/>
      <c r="Z68" s="828"/>
      <c r="AA68" s="828"/>
    </row>
    <row r="69" spans="1:27" s="829" customFormat="1" ht="34.9"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4187</v>
      </c>
      <c r="O69" s="1356" t="str">
        <f t="shared" si="0"/>
        <v/>
      </c>
      <c r="P69" s="1194"/>
      <c r="Q69" s="1315"/>
      <c r="R69" s="1357"/>
      <c r="S69" s="828"/>
      <c r="T69" s="828"/>
      <c r="U69" s="828"/>
      <c r="V69" s="828"/>
      <c r="W69" s="828"/>
      <c r="X69" s="828"/>
      <c r="Y69" s="828"/>
      <c r="Z69" s="828"/>
      <c r="AA69" s="828"/>
    </row>
    <row r="70" spans="1:27" s="829" customFormat="1" ht="34.9"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4187</v>
      </c>
      <c r="O70" s="1356" t="str">
        <f t="shared" si="0"/>
        <v/>
      </c>
      <c r="P70" s="1194"/>
      <c r="Q70" s="1315"/>
      <c r="R70" s="1357"/>
      <c r="S70" s="828"/>
      <c r="T70" s="828"/>
      <c r="U70" s="828"/>
      <c r="V70" s="828"/>
      <c r="W70" s="828"/>
      <c r="X70" s="828"/>
      <c r="Y70" s="828"/>
      <c r="Z70" s="828"/>
      <c r="AA70" s="828"/>
    </row>
    <row r="71" spans="1:27" s="829" customFormat="1" ht="34.9"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4187</v>
      </c>
      <c r="O71" s="1356" t="str">
        <f t="shared" ref="O71:O127" si="1">IF(ISERROR(C71),"",1)</f>
        <v/>
      </c>
      <c r="P71" s="1194"/>
      <c r="Q71" s="1315"/>
      <c r="R71" s="1357"/>
      <c r="S71" s="828"/>
      <c r="T71" s="828"/>
      <c r="U71" s="828"/>
      <c r="V71" s="828"/>
      <c r="W71" s="828"/>
      <c r="X71" s="828"/>
      <c r="Y71" s="828"/>
      <c r="Z71" s="828"/>
      <c r="AA71" s="828"/>
    </row>
    <row r="72" spans="1:27" s="829" customFormat="1" ht="34.9"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4187</v>
      </c>
      <c r="O72" s="1356" t="str">
        <f t="shared" si="1"/>
        <v/>
      </c>
      <c r="P72" s="1194"/>
      <c r="Q72" s="1315"/>
      <c r="R72" s="1357"/>
      <c r="S72" s="828"/>
      <c r="T72" s="828"/>
      <c r="U72" s="828"/>
      <c r="V72" s="828"/>
      <c r="W72" s="828"/>
      <c r="X72" s="828"/>
      <c r="Y72" s="828"/>
      <c r="Z72" s="828"/>
      <c r="AA72" s="828"/>
    </row>
    <row r="73" spans="1:27" s="829" customFormat="1" ht="34.9"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4187</v>
      </c>
      <c r="O73" s="1356" t="str">
        <f t="shared" si="1"/>
        <v/>
      </c>
      <c r="P73" s="1194"/>
      <c r="Q73" s="1315"/>
      <c r="R73" s="1357"/>
      <c r="S73" s="828"/>
      <c r="T73" s="828"/>
      <c r="U73" s="828"/>
      <c r="V73" s="828"/>
      <c r="W73" s="828"/>
      <c r="X73" s="828"/>
      <c r="Y73" s="828"/>
      <c r="Z73" s="828"/>
      <c r="AA73" s="828"/>
    </row>
    <row r="74" spans="1:27" s="829" customFormat="1" ht="34.9"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4187</v>
      </c>
      <c r="O74" s="1356" t="str">
        <f t="shared" si="1"/>
        <v/>
      </c>
      <c r="P74" s="1194"/>
      <c r="Q74" s="1315"/>
      <c r="R74" s="1357"/>
      <c r="S74" s="828"/>
      <c r="T74" s="828"/>
      <c r="U74" s="828"/>
      <c r="V74" s="828"/>
      <c r="W74" s="828"/>
      <c r="X74" s="828"/>
      <c r="Y74" s="828"/>
      <c r="Z74" s="828"/>
      <c r="AA74" s="828"/>
    </row>
    <row r="75" spans="1:27" s="829" customFormat="1" ht="34.9"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4187</v>
      </c>
      <c r="O75" s="1356" t="str">
        <f t="shared" si="1"/>
        <v/>
      </c>
      <c r="P75" s="1194"/>
      <c r="Q75" s="1315"/>
      <c r="R75" s="1357"/>
      <c r="S75" s="828"/>
      <c r="T75" s="828"/>
      <c r="U75" s="828"/>
      <c r="V75" s="828"/>
      <c r="W75" s="828"/>
      <c r="X75" s="828"/>
      <c r="Y75" s="828"/>
      <c r="Z75" s="828"/>
      <c r="AA75" s="828"/>
    </row>
    <row r="76" spans="1:27" s="829" customFormat="1" ht="34.9"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4187</v>
      </c>
      <c r="O76" s="1356" t="str">
        <f t="shared" si="1"/>
        <v/>
      </c>
      <c r="P76" s="1194"/>
      <c r="Q76" s="1315"/>
      <c r="R76" s="1357"/>
      <c r="S76" s="828"/>
      <c r="T76" s="828"/>
      <c r="U76" s="828"/>
      <c r="V76" s="828"/>
      <c r="W76" s="828"/>
      <c r="X76" s="828"/>
      <c r="Y76" s="828"/>
      <c r="Z76" s="828"/>
      <c r="AA76" s="828"/>
    </row>
    <row r="77" spans="1:27" s="829" customFormat="1" ht="34.9"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4187</v>
      </c>
      <c r="O77" s="1356" t="str">
        <f t="shared" si="1"/>
        <v/>
      </c>
      <c r="P77" s="1194"/>
      <c r="Q77" s="1315"/>
      <c r="R77" s="1358"/>
    </row>
    <row r="78" spans="1:27" s="829" customFormat="1" ht="34.9"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4187</v>
      </c>
      <c r="O78" s="1356" t="str">
        <f t="shared" si="1"/>
        <v/>
      </c>
      <c r="P78" s="1194"/>
      <c r="Q78" s="1315"/>
      <c r="R78" s="1358"/>
    </row>
    <row r="79" spans="1:27" s="829" customFormat="1" ht="34.9"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4187</v>
      </c>
      <c r="O79" s="1356" t="str">
        <f t="shared" si="1"/>
        <v/>
      </c>
      <c r="P79" s="1194"/>
      <c r="Q79" s="1315"/>
      <c r="R79" s="1358"/>
    </row>
    <row r="80" spans="1:27" s="829" customFormat="1" ht="34.9"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4187</v>
      </c>
      <c r="O80" s="1356" t="str">
        <f t="shared" si="1"/>
        <v/>
      </c>
      <c r="P80" s="1194"/>
      <c r="Q80" s="1315"/>
      <c r="R80" s="1358"/>
    </row>
    <row r="81" spans="1:18" s="829" customFormat="1" ht="34.9"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4187</v>
      </c>
      <c r="O81" s="1356" t="str">
        <f t="shared" si="1"/>
        <v/>
      </c>
      <c r="P81" s="1194"/>
      <c r="Q81" s="1315"/>
      <c r="R81" s="1358"/>
    </row>
    <row r="82" spans="1:18" s="829" customFormat="1" ht="34.9"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4187</v>
      </c>
      <c r="O82" s="1356" t="str">
        <f t="shared" si="1"/>
        <v/>
      </c>
      <c r="P82" s="1194"/>
      <c r="Q82" s="1354"/>
      <c r="R82" s="1358"/>
    </row>
    <row r="83" spans="1:18" s="829" customFormat="1" ht="34.9"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4187</v>
      </c>
      <c r="O83" s="1356" t="str">
        <f t="shared" si="1"/>
        <v/>
      </c>
      <c r="P83" s="1194"/>
      <c r="Q83" s="1354"/>
      <c r="R83" s="1358"/>
    </row>
    <row r="84" spans="1:18" s="829" customFormat="1" ht="34.9"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4187</v>
      </c>
      <c r="O84" s="1356" t="str">
        <f t="shared" si="1"/>
        <v/>
      </c>
      <c r="P84" s="1194"/>
      <c r="Q84" s="1354"/>
      <c r="R84" s="1358"/>
    </row>
    <row r="85" spans="1:18" s="829" customFormat="1" ht="34.9"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4187</v>
      </c>
      <c r="O85" s="1356" t="str">
        <f t="shared" si="1"/>
        <v/>
      </c>
      <c r="P85" s="1194"/>
      <c r="Q85" s="1354"/>
      <c r="R85" s="1358"/>
    </row>
    <row r="86" spans="1:18" s="829" customFormat="1" ht="34.9"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4187</v>
      </c>
      <c r="O86" s="1356" t="str">
        <f t="shared" si="1"/>
        <v/>
      </c>
      <c r="P86" s="1194"/>
      <c r="Q86" s="1354"/>
      <c r="R86" s="1358"/>
    </row>
    <row r="87" spans="1:18" s="829" customFormat="1" ht="34.9"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4187</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4187</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4187</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4187</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4187</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4187</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4187</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4187</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4187</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4187</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4187</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4187</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4187</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4187</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4187</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4187</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4187</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4187</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4187</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4187</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4187</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4187</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4187</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4187</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4187</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4187</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4187</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4187</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4187</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4187</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4187</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4187</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4187</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4187</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4187</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4187</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4187</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4187</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4187</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4187</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4187</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5"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5" customHeight="1">
      <c r="A130" s="822"/>
      <c r="B130" s="835"/>
      <c r="C130" s="1211"/>
      <c r="D130" s="1209"/>
      <c r="E130" s="1210"/>
      <c r="F130"/>
      <c r="G130"/>
      <c r="H130"/>
      <c r="I130" s="836"/>
      <c r="J130" s="832"/>
      <c r="L130" s="834"/>
      <c r="M130" s="839"/>
      <c r="N130" s="838"/>
      <c r="O130" s="835"/>
      <c r="P130" s="841"/>
      <c r="Q130" s="1314"/>
    </row>
    <row r="131" spans="1:27" s="827" customFormat="1" ht="24.95" customHeight="1">
      <c r="A131" s="822"/>
      <c r="B131" s="835"/>
      <c r="C131" s="1211"/>
      <c r="D131" s="1209"/>
      <c r="E131" s="1210"/>
      <c r="F131"/>
      <c r="G131"/>
      <c r="H131"/>
      <c r="I131" s="836"/>
      <c r="J131" s="832"/>
      <c r="L131" s="834"/>
      <c r="M131" s="839"/>
      <c r="N131" s="838"/>
      <c r="O131" s="835"/>
      <c r="P131" s="841"/>
      <c r="Q131" s="1314"/>
    </row>
    <row r="132" spans="1:27" s="827" customFormat="1" ht="24.95" customHeight="1">
      <c r="A132" s="822"/>
      <c r="B132" s="835"/>
      <c r="C132" s="1211"/>
      <c r="D132" s="1209"/>
      <c r="E132" s="1210"/>
      <c r="F132"/>
      <c r="G132"/>
      <c r="H132"/>
      <c r="I132" s="836"/>
      <c r="J132" s="832"/>
      <c r="L132" s="834"/>
      <c r="M132" s="839"/>
      <c r="N132" s="838"/>
      <c r="O132" s="835"/>
      <c r="P132" s="841"/>
      <c r="Q132" s="1314"/>
    </row>
    <row r="133" spans="1:27" s="827" customFormat="1" ht="24.95" customHeight="1">
      <c r="A133" s="822"/>
      <c r="B133" s="826"/>
      <c r="C133" s="944"/>
      <c r="D133" s="1212"/>
      <c r="E133" s="1210"/>
      <c r="F133"/>
      <c r="G133"/>
      <c r="H133"/>
      <c r="I133" s="836"/>
      <c r="J133" s="833"/>
      <c r="L133" s="842"/>
      <c r="M133" s="839"/>
      <c r="N133" s="843"/>
      <c r="O133" s="826"/>
      <c r="P133" s="841"/>
      <c r="Q133" s="1314"/>
    </row>
    <row r="134" spans="1:27" s="827" customFormat="1" ht="24.95" customHeight="1">
      <c r="A134" s="822"/>
      <c r="B134" s="826"/>
      <c r="C134" s="840"/>
      <c r="D134" s="840"/>
      <c r="E134"/>
      <c r="F134"/>
      <c r="G134"/>
      <c r="H134"/>
      <c r="I134" s="841"/>
      <c r="J134" s="832"/>
      <c r="K134" s="834"/>
      <c r="L134" s="833"/>
      <c r="M134" s="839"/>
      <c r="N134" s="826"/>
      <c r="O134" s="826"/>
      <c r="P134" s="841"/>
      <c r="Q134" s="1314"/>
    </row>
    <row r="135" spans="1:27" s="827" customFormat="1" ht="24.95"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5"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5"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5"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5"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5"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abSelected="1" workbookViewId="0">
      <selection activeCell="J5" sqref="J5"/>
    </sheetView>
  </sheetViews>
  <sheetFormatPr defaultColWidth="8.88671875" defaultRowHeight="30" customHeight="1"/>
  <cols>
    <col min="1" max="1" width="5" style="821" customWidth="1"/>
    <col min="2" max="2" width="19.21875" style="821" customWidth="1"/>
    <col min="3" max="3" width="6.109375" style="825" customWidth="1"/>
    <col min="4" max="4" width="6" style="825" customWidth="1"/>
    <col min="5" max="5" width="23.33203125" style="821" customWidth="1"/>
    <col min="6" max="6" width="22.5546875" style="821" customWidth="1"/>
    <col min="7" max="7" width="5.21875" style="847" bestFit="1" customWidth="1"/>
    <col min="8" max="9" width="8.88671875" style="847"/>
    <col min="10" max="16384" width="8.88671875" style="814"/>
  </cols>
  <sheetData>
    <row r="1" spans="1:9" ht="36" customHeight="1">
      <c r="A1" s="3253" t="s">
        <v>4623</v>
      </c>
      <c r="B1" s="3253"/>
      <c r="C1" s="3253"/>
      <c r="D1" s="3253"/>
      <c r="E1" s="3253"/>
      <c r="F1" s="3253"/>
      <c r="G1" s="2683"/>
      <c r="H1" s="1215"/>
    </row>
    <row r="2" spans="1:9" s="815" customFormat="1" ht="31.5">
      <c r="A2" s="1308" t="s">
        <v>4197</v>
      </c>
      <c r="B2" s="1308" t="s">
        <v>4176</v>
      </c>
      <c r="C2" s="1308" t="s">
        <v>4177</v>
      </c>
      <c r="D2" s="1308" t="s">
        <v>4178</v>
      </c>
      <c r="E2" s="1308" t="s">
        <v>4179</v>
      </c>
      <c r="F2" s="1308" t="s">
        <v>4180</v>
      </c>
      <c r="G2" s="1350" t="s">
        <v>1956</v>
      </c>
      <c r="H2" s="838"/>
      <c r="I2" s="848"/>
    </row>
    <row r="3" spans="1:9" ht="31.5">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5">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17.25">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5">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75">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5">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5">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5">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7.25">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7.25">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7.25">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7.25">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7.25">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7.25">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7.25">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7.25">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75">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5">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5">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75">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75">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75">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5">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75">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15.75">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5">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75">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25">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75">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75">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5">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5">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15.75">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5">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75">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5">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25">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25">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75">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5">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15.75">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15.75">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75">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75">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75">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75">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75">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75">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75">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75">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75">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75">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5">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5">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75">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15.75">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75">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75">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75">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5">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5">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7.25">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5">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75" hidden="1">
      <c r="A66" s="1309">
        <f>SUM($G$3:G66)</f>
        <v>63</v>
      </c>
      <c r="B66" s="1310" t="e">
        <f>'NT-VT'!C69</f>
        <v>#N/A</v>
      </c>
      <c r="C66" s="1311">
        <f>'NT-VT'!D69</f>
        <v>0</v>
      </c>
      <c r="D66" s="1312">
        <f>'NT-VT'!E69</f>
        <v>0</v>
      </c>
      <c r="E66" s="1309" t="str">
        <f>'NT-VT'!F69</f>
        <v/>
      </c>
      <c r="F66" s="1309" t="str">
        <f>'NT-VT'!G69</f>
        <v/>
      </c>
      <c r="G66" s="841" t="str">
        <f t="shared" si="0"/>
        <v/>
      </c>
      <c r="H66" s="849"/>
      <c r="I66" s="825"/>
    </row>
    <row r="67" spans="1:9" ht="15.75"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75" hidden="1">
      <c r="A68" s="1309">
        <f>SUM($G$3:G68)</f>
        <v>63</v>
      </c>
      <c r="B68" s="1310" t="e">
        <f>'NT-VT'!C71</f>
        <v>#N/A</v>
      </c>
      <c r="C68" s="1311">
        <f>'NT-VT'!D71</f>
        <v>0</v>
      </c>
      <c r="D68" s="1312">
        <f>'NT-VT'!E71</f>
        <v>0</v>
      </c>
      <c r="E68" s="1309" t="str">
        <f>'NT-VT'!F71</f>
        <v/>
      </c>
      <c r="F68" s="1309" t="str">
        <f>'NT-VT'!G71</f>
        <v/>
      </c>
      <c r="G68" s="841" t="str">
        <f t="shared" si="1"/>
        <v/>
      </c>
      <c r="H68" s="849"/>
      <c r="I68" s="825"/>
    </row>
    <row r="69" spans="1:9" ht="15.75" hidden="1">
      <c r="A69" s="1309">
        <f>SUM($G$3:G69)</f>
        <v>63</v>
      </c>
      <c r="B69" s="1310" t="e">
        <f>'NT-VT'!C72</f>
        <v>#N/A</v>
      </c>
      <c r="C69" s="1311">
        <f>'NT-VT'!D72</f>
        <v>0</v>
      </c>
      <c r="D69" s="1312">
        <f>'NT-VT'!E72</f>
        <v>0</v>
      </c>
      <c r="E69" s="1309" t="str">
        <f>'NT-VT'!F72</f>
        <v/>
      </c>
      <c r="F69" s="1309" t="str">
        <f>'NT-VT'!G72</f>
        <v/>
      </c>
      <c r="G69" s="841" t="str">
        <f t="shared" si="1"/>
        <v/>
      </c>
      <c r="H69" s="849"/>
      <c r="I69" s="825"/>
    </row>
    <row r="70" spans="1:9" ht="15.75" hidden="1">
      <c r="A70" s="1309">
        <f>SUM($G$3:G70)</f>
        <v>63</v>
      </c>
      <c r="B70" s="1310" t="e">
        <f>'NT-VT'!C73</f>
        <v>#N/A</v>
      </c>
      <c r="C70" s="1311">
        <f>'NT-VT'!D73</f>
        <v>0</v>
      </c>
      <c r="D70" s="1312">
        <f>'NT-VT'!E73</f>
        <v>0</v>
      </c>
      <c r="E70" s="1309" t="str">
        <f>'NT-VT'!F73</f>
        <v/>
      </c>
      <c r="F70" s="1309" t="str">
        <f>'NT-VT'!G73</f>
        <v/>
      </c>
      <c r="G70" s="841" t="str">
        <f t="shared" si="1"/>
        <v/>
      </c>
      <c r="H70" s="849"/>
      <c r="I70" s="825"/>
    </row>
    <row r="71" spans="1:9" ht="15.75" hidden="1">
      <c r="A71" s="1309">
        <f>SUM($G$3:G71)</f>
        <v>63</v>
      </c>
      <c r="B71" s="1310" t="e">
        <f>'NT-VT'!C74</f>
        <v>#N/A</v>
      </c>
      <c r="C71" s="1311">
        <f>'NT-VT'!D74</f>
        <v>0</v>
      </c>
      <c r="D71" s="1312">
        <f>'NT-VT'!E74</f>
        <v>0</v>
      </c>
      <c r="E71" s="1309" t="str">
        <f>'NT-VT'!F74</f>
        <v/>
      </c>
      <c r="F71" s="1309" t="str">
        <f>'NT-VT'!G74</f>
        <v/>
      </c>
      <c r="G71" s="841" t="str">
        <f t="shared" si="1"/>
        <v/>
      </c>
      <c r="H71" s="849"/>
      <c r="I71" s="825"/>
    </row>
    <row r="72" spans="1:9" ht="15.75" hidden="1">
      <c r="A72" s="1309">
        <f>SUM($G$3:G72)</f>
        <v>63</v>
      </c>
      <c r="B72" s="1310" t="e">
        <f>'NT-VT'!C75</f>
        <v>#N/A</v>
      </c>
      <c r="C72" s="1311">
        <f>'NT-VT'!D75</f>
        <v>0</v>
      </c>
      <c r="D72" s="1312">
        <f>'NT-VT'!E75</f>
        <v>0</v>
      </c>
      <c r="E72" s="1309" t="str">
        <f>'NT-VT'!F75</f>
        <v/>
      </c>
      <c r="F72" s="1309" t="str">
        <f>'NT-VT'!G75</f>
        <v/>
      </c>
      <c r="G72" s="841" t="str">
        <f t="shared" si="1"/>
        <v/>
      </c>
      <c r="H72" s="849"/>
      <c r="I72" s="825"/>
    </row>
    <row r="73" spans="1:9" ht="15.75" hidden="1">
      <c r="A73" s="1309">
        <f>SUM($G$3:G73)</f>
        <v>63</v>
      </c>
      <c r="B73" s="1310" t="e">
        <f>'NT-VT'!C76</f>
        <v>#N/A</v>
      </c>
      <c r="C73" s="1311">
        <f>'NT-VT'!D76</f>
        <v>0</v>
      </c>
      <c r="D73" s="1312">
        <f>'NT-VT'!E76</f>
        <v>0</v>
      </c>
      <c r="E73" s="1309" t="str">
        <f>'NT-VT'!F76</f>
        <v/>
      </c>
      <c r="F73" s="1309" t="str">
        <f>'NT-VT'!G76</f>
        <v/>
      </c>
      <c r="G73" s="841" t="str">
        <f t="shared" si="1"/>
        <v/>
      </c>
      <c r="H73" s="849"/>
      <c r="I73" s="825"/>
    </row>
    <row r="74" spans="1:9" ht="15.75" hidden="1">
      <c r="A74" s="1309">
        <f>SUM($G$3:G74)</f>
        <v>63</v>
      </c>
      <c r="B74" s="1310" t="e">
        <f>'NT-VT'!C77</f>
        <v>#N/A</v>
      </c>
      <c r="C74" s="1311">
        <f>'NT-VT'!D77</f>
        <v>0</v>
      </c>
      <c r="D74" s="1312">
        <f>'NT-VT'!E77</f>
        <v>0</v>
      </c>
      <c r="E74" s="1309" t="str">
        <f>'NT-VT'!F77</f>
        <v/>
      </c>
      <c r="F74" s="1309" t="str">
        <f>'NT-VT'!G77</f>
        <v/>
      </c>
      <c r="G74" s="841" t="str">
        <f t="shared" si="1"/>
        <v/>
      </c>
      <c r="H74" s="849"/>
      <c r="I74" s="825"/>
    </row>
    <row r="75" spans="1:9" ht="15.75" hidden="1">
      <c r="A75" s="1309">
        <f>SUM($G$3:G75)</f>
        <v>63</v>
      </c>
      <c r="B75" s="1310" t="e">
        <f>'NT-VT'!C78</f>
        <v>#N/A</v>
      </c>
      <c r="C75" s="1311">
        <f>'NT-VT'!D78</f>
        <v>0</v>
      </c>
      <c r="D75" s="1312">
        <f>'NT-VT'!E78</f>
        <v>0</v>
      </c>
      <c r="E75" s="1309" t="str">
        <f>'NT-VT'!F78</f>
        <v/>
      </c>
      <c r="F75" s="1309" t="str">
        <f>'NT-VT'!G78</f>
        <v/>
      </c>
      <c r="G75" s="841" t="str">
        <f t="shared" si="1"/>
        <v/>
      </c>
      <c r="H75" s="849"/>
      <c r="I75" s="825"/>
    </row>
    <row r="76" spans="1:9" ht="15.75" hidden="1">
      <c r="A76" s="1309">
        <f>SUM($G$3:G76)</f>
        <v>63</v>
      </c>
      <c r="B76" s="1310" t="e">
        <f>'NT-VT'!C79</f>
        <v>#N/A</v>
      </c>
      <c r="C76" s="1311">
        <f>'NT-VT'!D79</f>
        <v>0</v>
      </c>
      <c r="D76" s="1312">
        <f>'NT-VT'!E79</f>
        <v>0</v>
      </c>
      <c r="E76" s="1309" t="str">
        <f>'NT-VT'!F79</f>
        <v/>
      </c>
      <c r="F76" s="1309" t="str">
        <f>'NT-VT'!G79</f>
        <v/>
      </c>
      <c r="G76" s="841" t="str">
        <f t="shared" si="1"/>
        <v/>
      </c>
      <c r="H76" s="849"/>
      <c r="I76" s="825"/>
    </row>
    <row r="77" spans="1:9" ht="15.75" hidden="1">
      <c r="A77" s="1309">
        <f>SUM($G$3:G77)</f>
        <v>63</v>
      </c>
      <c r="B77" s="1310" t="e">
        <f>'NT-VT'!C80</f>
        <v>#N/A</v>
      </c>
      <c r="C77" s="1311">
        <f>'NT-VT'!D80</f>
        <v>0</v>
      </c>
      <c r="D77" s="1312">
        <f>'NT-VT'!E80</f>
        <v>0</v>
      </c>
      <c r="E77" s="1309" t="str">
        <f>'NT-VT'!F80</f>
        <v/>
      </c>
      <c r="F77" s="1309" t="str">
        <f>'NT-VT'!G80</f>
        <v/>
      </c>
      <c r="G77" s="841" t="str">
        <f t="shared" si="1"/>
        <v/>
      </c>
      <c r="H77" s="849"/>
      <c r="I77" s="825"/>
    </row>
    <row r="78" spans="1:9" ht="15.75" hidden="1">
      <c r="A78" s="1309">
        <f>SUM($G$3:G78)</f>
        <v>63</v>
      </c>
      <c r="B78" s="1310" t="e">
        <f>'NT-VT'!C81</f>
        <v>#N/A</v>
      </c>
      <c r="C78" s="1311">
        <f>'NT-VT'!D81</f>
        <v>0</v>
      </c>
      <c r="D78" s="1312">
        <f>'NT-VT'!E81</f>
        <v>0</v>
      </c>
      <c r="E78" s="1309" t="str">
        <f>'NT-VT'!F81</f>
        <v/>
      </c>
      <c r="F78" s="1309" t="str">
        <f>'NT-VT'!G81</f>
        <v/>
      </c>
      <c r="G78" s="841" t="str">
        <f t="shared" si="1"/>
        <v/>
      </c>
      <c r="H78" s="849"/>
      <c r="I78" s="825"/>
    </row>
    <row r="79" spans="1:9" ht="15.75" hidden="1">
      <c r="A79" s="1309">
        <f>SUM($G$3:G79)</f>
        <v>63</v>
      </c>
      <c r="B79" s="1310" t="e">
        <f>'NT-VT'!C82</f>
        <v>#N/A</v>
      </c>
      <c r="C79" s="1311">
        <f>'NT-VT'!D82</f>
        <v>0</v>
      </c>
      <c r="D79" s="1312">
        <f>'NT-VT'!E82</f>
        <v>0</v>
      </c>
      <c r="E79" s="1309" t="str">
        <f>'NT-VT'!F82</f>
        <v/>
      </c>
      <c r="F79" s="1309" t="str">
        <f>'NT-VT'!G82</f>
        <v/>
      </c>
      <c r="G79" s="841" t="str">
        <f t="shared" si="1"/>
        <v/>
      </c>
      <c r="H79" s="849"/>
      <c r="I79" s="825"/>
    </row>
    <row r="80" spans="1:9" ht="15.75" hidden="1">
      <c r="A80" s="1309">
        <f>SUM($G$3:G80)</f>
        <v>63</v>
      </c>
      <c r="B80" s="1310" t="e">
        <f>'NT-VT'!C83</f>
        <v>#N/A</v>
      </c>
      <c r="C80" s="1311">
        <f>'NT-VT'!D83</f>
        <v>0</v>
      </c>
      <c r="D80" s="1312">
        <f>'NT-VT'!E83</f>
        <v>0</v>
      </c>
      <c r="E80" s="1309" t="str">
        <f>'NT-VT'!F83</f>
        <v/>
      </c>
      <c r="F80" s="1309" t="str">
        <f>'NT-VT'!G83</f>
        <v/>
      </c>
      <c r="G80" s="841" t="str">
        <f t="shared" si="1"/>
        <v/>
      </c>
      <c r="H80" s="849"/>
      <c r="I80" s="825"/>
    </row>
    <row r="81" spans="1:9" ht="15.75" hidden="1">
      <c r="A81" s="1309">
        <f>SUM($G$3:G81)</f>
        <v>63</v>
      </c>
      <c r="B81" s="1310" t="e">
        <f>'NT-VT'!C84</f>
        <v>#N/A</v>
      </c>
      <c r="C81" s="1311">
        <f>'NT-VT'!D84</f>
        <v>0</v>
      </c>
      <c r="D81" s="1312">
        <f>'NT-VT'!E84</f>
        <v>0</v>
      </c>
      <c r="E81" s="1309" t="str">
        <f>'NT-VT'!F84</f>
        <v/>
      </c>
      <c r="F81" s="1309" t="str">
        <f>'NT-VT'!G84</f>
        <v/>
      </c>
      <c r="G81" s="841" t="str">
        <f t="shared" si="1"/>
        <v/>
      </c>
      <c r="H81" s="849"/>
      <c r="I81" s="825"/>
    </row>
    <row r="82" spans="1:9" ht="15.75" hidden="1">
      <c r="A82" s="1309">
        <f>SUM($G$3:G82)</f>
        <v>63</v>
      </c>
      <c r="B82" s="1310" t="e">
        <f>'NT-VT'!C85</f>
        <v>#N/A</v>
      </c>
      <c r="C82" s="1311">
        <f>'NT-VT'!D85</f>
        <v>0</v>
      </c>
      <c r="D82" s="1312">
        <f>'NT-VT'!E85</f>
        <v>0</v>
      </c>
      <c r="E82" s="1309" t="str">
        <f>'NT-VT'!F85</f>
        <v/>
      </c>
      <c r="F82" s="1309" t="str">
        <f>'NT-VT'!G85</f>
        <v/>
      </c>
      <c r="G82" s="841" t="str">
        <f t="shared" si="1"/>
        <v/>
      </c>
      <c r="H82" s="849"/>
      <c r="I82" s="825"/>
    </row>
    <row r="83" spans="1:9" ht="15.75" hidden="1">
      <c r="A83" s="1309">
        <f>SUM($G$3:G83)</f>
        <v>63</v>
      </c>
      <c r="B83" s="1310" t="e">
        <f>'NT-VT'!C86</f>
        <v>#N/A</v>
      </c>
      <c r="C83" s="1311">
        <f>'NT-VT'!D86</f>
        <v>0</v>
      </c>
      <c r="D83" s="1312">
        <f>'NT-VT'!E86</f>
        <v>0</v>
      </c>
      <c r="E83" s="1309" t="str">
        <f>'NT-VT'!F86</f>
        <v/>
      </c>
      <c r="F83" s="1309" t="str">
        <f>'NT-VT'!G86</f>
        <v/>
      </c>
      <c r="G83" s="841" t="str">
        <f t="shared" si="1"/>
        <v/>
      </c>
      <c r="H83" s="849"/>
      <c r="I83" s="825"/>
    </row>
    <row r="84" spans="1:9" ht="15.75" hidden="1">
      <c r="A84" s="1309">
        <f>SUM($G$3:G84)</f>
        <v>63</v>
      </c>
      <c r="B84" s="1310" t="e">
        <f>'NT-VT'!C87</f>
        <v>#N/A</v>
      </c>
      <c r="C84" s="1311">
        <f>'NT-VT'!D87</f>
        <v>0</v>
      </c>
      <c r="D84" s="1312">
        <f>'NT-VT'!E87</f>
        <v>0</v>
      </c>
      <c r="E84" s="1309" t="str">
        <f>'NT-VT'!F87</f>
        <v/>
      </c>
      <c r="F84" s="1309" t="str">
        <f>'NT-VT'!G87</f>
        <v/>
      </c>
      <c r="G84" s="841" t="str">
        <f t="shared" si="1"/>
        <v/>
      </c>
      <c r="H84" s="849"/>
      <c r="I84" s="825"/>
    </row>
    <row r="85" spans="1:9" ht="15.75" hidden="1">
      <c r="A85" s="1309">
        <f>SUM($G$3:G85)</f>
        <v>63</v>
      </c>
      <c r="B85" s="1310" t="e">
        <f>'NT-VT'!C88</f>
        <v>#N/A</v>
      </c>
      <c r="C85" s="1311">
        <f>'NT-VT'!D88</f>
        <v>0</v>
      </c>
      <c r="D85" s="1312">
        <f>'NT-VT'!E88</f>
        <v>0</v>
      </c>
      <c r="E85" s="1309" t="str">
        <f>'NT-VT'!F88</f>
        <v/>
      </c>
      <c r="F85" s="1309" t="str">
        <f>'NT-VT'!G88</f>
        <v/>
      </c>
      <c r="G85" s="841" t="str">
        <f t="shared" si="1"/>
        <v/>
      </c>
      <c r="H85" s="849"/>
      <c r="I85" s="825"/>
    </row>
    <row r="86" spans="1:9" ht="15.75" hidden="1">
      <c r="A86" s="1309">
        <f>SUM($G$3:G86)</f>
        <v>63</v>
      </c>
      <c r="B86" s="1310" t="e">
        <f>'NT-VT'!C89</f>
        <v>#N/A</v>
      </c>
      <c r="C86" s="1311">
        <f>'NT-VT'!D89</f>
        <v>0</v>
      </c>
      <c r="D86" s="1312">
        <f>'NT-VT'!E89</f>
        <v>0</v>
      </c>
      <c r="E86" s="1309" t="str">
        <f>'NT-VT'!F89</f>
        <v/>
      </c>
      <c r="F86" s="1309" t="str">
        <f>'NT-VT'!G89</f>
        <v/>
      </c>
      <c r="G86" s="841" t="str">
        <f t="shared" si="1"/>
        <v/>
      </c>
      <c r="H86" s="849"/>
      <c r="I86" s="825"/>
    </row>
    <row r="87" spans="1:9" ht="15.75" hidden="1">
      <c r="A87" s="1309">
        <f>SUM($G$3:G87)</f>
        <v>63</v>
      </c>
      <c r="B87" s="1310" t="e">
        <f>'NT-VT'!C90</f>
        <v>#N/A</v>
      </c>
      <c r="C87" s="1311">
        <f>'NT-VT'!D90</f>
        <v>0</v>
      </c>
      <c r="D87" s="1312">
        <f>'NT-VT'!E90</f>
        <v>0</v>
      </c>
      <c r="E87" s="1309" t="str">
        <f>'NT-VT'!F90</f>
        <v/>
      </c>
      <c r="F87" s="1309" t="str">
        <f>'NT-VT'!G90</f>
        <v/>
      </c>
      <c r="G87" s="841" t="str">
        <f t="shared" si="1"/>
        <v/>
      </c>
      <c r="H87" s="849"/>
      <c r="I87" s="825"/>
    </row>
    <row r="88" spans="1:9" ht="15.75" hidden="1">
      <c r="A88" s="1309">
        <f>SUM($G$3:G88)</f>
        <v>63</v>
      </c>
      <c r="B88" s="1310" t="e">
        <f>'NT-VT'!C91</f>
        <v>#N/A</v>
      </c>
      <c r="C88" s="1311">
        <f>'NT-VT'!D91</f>
        <v>0</v>
      </c>
      <c r="D88" s="1312">
        <f>'NT-VT'!E91</f>
        <v>0</v>
      </c>
      <c r="E88" s="1309" t="str">
        <f>'NT-VT'!F91</f>
        <v/>
      </c>
      <c r="F88" s="1309" t="str">
        <f>'NT-VT'!G91</f>
        <v/>
      </c>
      <c r="G88" s="841" t="str">
        <f t="shared" si="1"/>
        <v/>
      </c>
      <c r="H88" s="849"/>
      <c r="I88" s="825"/>
    </row>
    <row r="89" spans="1:9" ht="15.75" hidden="1">
      <c r="A89" s="1309">
        <f>SUM($G$3:G89)</f>
        <v>63</v>
      </c>
      <c r="B89" s="1310" t="e">
        <f>'NT-VT'!C92</f>
        <v>#N/A</v>
      </c>
      <c r="C89" s="1311">
        <f>'NT-VT'!D92</f>
        <v>0</v>
      </c>
      <c r="D89" s="1312">
        <f>'NT-VT'!E92</f>
        <v>0</v>
      </c>
      <c r="E89" s="1309" t="str">
        <f>'NT-VT'!F92</f>
        <v/>
      </c>
      <c r="F89" s="1309" t="str">
        <f>'NT-VT'!G92</f>
        <v/>
      </c>
      <c r="G89" s="841" t="str">
        <f t="shared" si="1"/>
        <v/>
      </c>
      <c r="H89" s="849"/>
      <c r="I89" s="825"/>
    </row>
    <row r="90" spans="1:9" ht="15.75" hidden="1">
      <c r="A90" s="1309">
        <f>SUM($G$3:G90)</f>
        <v>63</v>
      </c>
      <c r="B90" s="1310" t="e">
        <f>'NT-VT'!C93</f>
        <v>#N/A</v>
      </c>
      <c r="C90" s="1311">
        <f>'NT-VT'!D93</f>
        <v>0</v>
      </c>
      <c r="D90" s="1312">
        <f>'NT-VT'!E93</f>
        <v>0</v>
      </c>
      <c r="E90" s="1309" t="str">
        <f>'NT-VT'!F93</f>
        <v/>
      </c>
      <c r="F90" s="1309" t="str">
        <f>'NT-VT'!G93</f>
        <v/>
      </c>
      <c r="G90" s="841" t="str">
        <f t="shared" si="1"/>
        <v/>
      </c>
      <c r="H90" s="849"/>
      <c r="I90" s="825"/>
    </row>
    <row r="91" spans="1:9" ht="15.75" hidden="1">
      <c r="A91" s="1309">
        <f>SUM($G$3:G91)</f>
        <v>63</v>
      </c>
      <c r="B91" s="1310" t="e">
        <f>'NT-VT'!C94</f>
        <v>#N/A</v>
      </c>
      <c r="C91" s="1311">
        <f>'NT-VT'!D94</f>
        <v>0</v>
      </c>
      <c r="D91" s="1312">
        <f>'NT-VT'!E94</f>
        <v>0</v>
      </c>
      <c r="E91" s="1309" t="str">
        <f>'NT-VT'!F94</f>
        <v/>
      </c>
      <c r="F91" s="1309" t="str">
        <f>'NT-VT'!G94</f>
        <v/>
      </c>
      <c r="G91" s="841" t="str">
        <f t="shared" si="1"/>
        <v/>
      </c>
      <c r="H91" s="849"/>
      <c r="I91" s="825"/>
    </row>
    <row r="92" spans="1:9" ht="15.75" hidden="1">
      <c r="A92" s="1309">
        <f>SUM($G$3:G92)</f>
        <v>63</v>
      </c>
      <c r="B92" s="1310" t="e">
        <f>'NT-VT'!C95</f>
        <v>#N/A</v>
      </c>
      <c r="C92" s="1311">
        <f>'NT-VT'!D95</f>
        <v>0</v>
      </c>
      <c r="D92" s="2684">
        <f>'NT-VT'!E95</f>
        <v>0</v>
      </c>
      <c r="E92" s="1309" t="str">
        <f>'NT-VT'!F95</f>
        <v/>
      </c>
      <c r="F92" s="1309" t="str">
        <f>'NT-VT'!G95</f>
        <v/>
      </c>
      <c r="G92" s="841" t="str">
        <f t="shared" si="1"/>
        <v/>
      </c>
      <c r="H92" s="849"/>
      <c r="I92" s="825"/>
    </row>
    <row r="93" spans="1:9" ht="15.75" hidden="1">
      <c r="A93" s="1309">
        <f>SUM($G$3:G93)</f>
        <v>63</v>
      </c>
      <c r="B93" s="1310" t="e">
        <f>'NT-VT'!C96</f>
        <v>#N/A</v>
      </c>
      <c r="C93" s="1311">
        <f>'NT-VT'!D96</f>
        <v>0</v>
      </c>
      <c r="D93" s="2684">
        <f>'NT-VT'!E96</f>
        <v>0</v>
      </c>
      <c r="E93" s="1309" t="str">
        <f>'NT-VT'!F96</f>
        <v/>
      </c>
      <c r="F93" s="1309" t="str">
        <f>'NT-VT'!G96</f>
        <v/>
      </c>
      <c r="G93" s="841" t="str">
        <f t="shared" si="1"/>
        <v/>
      </c>
      <c r="H93" s="849"/>
      <c r="I93" s="825"/>
    </row>
    <row r="94" spans="1:9" ht="15.75"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75" hidden="1">
      <c r="A95" s="1309">
        <f>SUM($G$3:G95)</f>
        <v>63</v>
      </c>
      <c r="B95" s="1310" t="e">
        <f>'NT-VT'!C98</f>
        <v>#N/A</v>
      </c>
      <c r="C95" s="1311">
        <f>'NT-VT'!D98</f>
        <v>0</v>
      </c>
      <c r="D95" s="2079">
        <f>'NT-VT'!E98</f>
        <v>0</v>
      </c>
      <c r="E95" s="1309" t="str">
        <f>'NT-VT'!F98</f>
        <v/>
      </c>
      <c r="F95" s="1309" t="str">
        <f>'NT-VT'!G98</f>
        <v/>
      </c>
      <c r="G95" s="841" t="str">
        <f t="shared" si="2"/>
        <v/>
      </c>
      <c r="H95" s="849"/>
      <c r="I95" s="825"/>
    </row>
    <row r="96" spans="1:9" ht="15.75" hidden="1">
      <c r="A96" s="1309">
        <f>SUM($G$3:G96)</f>
        <v>63</v>
      </c>
      <c r="B96" s="1310" t="e">
        <f>'NT-VT'!C99</f>
        <v>#N/A</v>
      </c>
      <c r="C96" s="1311">
        <f>'NT-VT'!D99</f>
        <v>0</v>
      </c>
      <c r="D96" s="2079">
        <f>'NT-VT'!E99</f>
        <v>0</v>
      </c>
      <c r="E96" s="1309" t="str">
        <f>'NT-VT'!F99</f>
        <v/>
      </c>
      <c r="F96" s="1309" t="str">
        <f>'NT-VT'!G99</f>
        <v/>
      </c>
      <c r="G96" s="841" t="str">
        <f t="shared" si="2"/>
        <v/>
      </c>
      <c r="H96" s="849"/>
      <c r="I96" s="825"/>
    </row>
    <row r="97" spans="1:9" ht="15.75"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75"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75"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75"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75"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75"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75"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75"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75"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75"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75"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75"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75"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75"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75"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75"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75"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75"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75"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75"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75"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75"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75"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75"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75"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75"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75"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4" customWidth="1"/>
    <col min="4" max="4" width="28.109375" style="1328" customWidth="1"/>
  </cols>
  <sheetData>
    <row r="1" spans="3:8" s="2677" customFormat="1" ht="34.5" customHeight="1">
      <c r="C1" s="2678" t="s">
        <v>1708</v>
      </c>
      <c r="D1" s="2678" t="s">
        <v>2281</v>
      </c>
      <c r="E1" s="2678" t="s">
        <v>2593</v>
      </c>
      <c r="F1" s="2678" t="s">
        <v>4284</v>
      </c>
      <c r="G1" s="2678" t="s">
        <v>4281</v>
      </c>
      <c r="H1" s="2678" t="s">
        <v>2599</v>
      </c>
    </row>
    <row r="2" spans="3:8" ht="24" customHeight="1">
      <c r="C2" s="1776" t="s">
        <v>501</v>
      </c>
      <c r="D2" s="1773" t="s">
        <v>6592</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6593</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5"/>
    <col min="3" max="3" width="16.44140625" style="967" customWidth="1"/>
    <col min="4" max="4" width="6.77734375" customWidth="1"/>
    <col min="5" max="5" width="32.21875" customWidth="1"/>
    <col min="6" max="6" width="8.109375" style="1215" customWidth="1"/>
    <col min="7" max="8" width="6.77734375" customWidth="1"/>
    <col min="9" max="9" width="10.5546875" hidden="1" customWidth="1"/>
    <col min="10" max="10" width="6.33203125" customWidth="1"/>
  </cols>
  <sheetData>
    <row r="1" spans="1:15" ht="22.5" customHeight="1">
      <c r="E1" s="897"/>
      <c r="F1" s="897"/>
    </row>
    <row r="3" spans="1:15" ht="33">
      <c r="D3" s="1802" t="s">
        <v>1708</v>
      </c>
      <c r="E3" s="1802" t="s">
        <v>4199</v>
      </c>
      <c r="F3" s="1802" t="s">
        <v>4202</v>
      </c>
      <c r="G3" s="1802" t="s">
        <v>4900</v>
      </c>
      <c r="H3" s="1802" t="s">
        <v>4171</v>
      </c>
      <c r="I3" s="1387" t="s">
        <v>4203</v>
      </c>
      <c r="J3" s="1802" t="s">
        <v>4170</v>
      </c>
      <c r="K3" s="1325">
        <v>2</v>
      </c>
    </row>
    <row r="4" spans="1:15" ht="20.45"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45"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45"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45"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45"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45"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45"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45"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45"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45"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45"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45"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45"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45"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45"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45"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45"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45"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45"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45"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45"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45"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45"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45"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45"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45"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45"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45"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45"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45"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45"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45"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45"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45"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45"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45"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45"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45"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45"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45"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45"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45"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45"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45"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45"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45"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45"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45"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45"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45"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45"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45"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45"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45"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45"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45"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45"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45"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45"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45"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45" hidden="1" customHeight="1">
      <c r="C64" s="967" t="s">
        <v>4996</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4233</v>
      </c>
      <c r="F65" s="1802"/>
      <c r="G65" s="1327">
        <f ca="1">SUM(G4:G64)</f>
        <v>0</v>
      </c>
      <c r="H65" s="1327">
        <f ca="1">SUM(H4:H64)</f>
        <v>0</v>
      </c>
      <c r="I65" s="1801"/>
      <c r="J65" s="1801"/>
      <c r="K65" s="1215"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5"/>
    <col min="2" max="2" width="14.44140625" style="1329" customWidth="1"/>
    <col min="3" max="3" width="4.88671875" style="1215" customWidth="1"/>
    <col min="4" max="4" width="32.109375" style="1215" customWidth="1"/>
    <col min="5" max="5" width="7.21875" style="1215" customWidth="1"/>
    <col min="6" max="7" width="8.21875" style="1215" customWidth="1"/>
    <col min="8" max="8" width="10.5546875" style="1215" hidden="1" customWidth="1"/>
    <col min="9" max="9" width="9.33203125" style="1215" customWidth="1"/>
    <col min="10" max="16384" width="8.88671875" style="1215"/>
  </cols>
  <sheetData>
    <row r="1" spans="2:12">
      <c r="D1" s="897" t="s">
        <v>2831</v>
      </c>
      <c r="E1" s="897"/>
    </row>
    <row r="3" spans="2:12" s="1614" customFormat="1" ht="36.6" customHeight="1">
      <c r="B3" s="1218"/>
      <c r="C3" s="1802" t="s">
        <v>1708</v>
      </c>
      <c r="D3" s="1802" t="s">
        <v>3974</v>
      </c>
      <c r="E3" s="1387" t="s">
        <v>4202</v>
      </c>
      <c r="F3" s="1387" t="s">
        <v>4900</v>
      </c>
      <c r="G3" s="1387" t="s">
        <v>4171</v>
      </c>
      <c r="H3" s="1387" t="s">
        <v>4203</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4961</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15"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15"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4997</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4233</v>
      </c>
      <c r="E16" s="1802"/>
      <c r="F16" s="1327">
        <f ca="1">SUM(F4:F15)</f>
        <v>0</v>
      </c>
      <c r="G16" s="1327">
        <f ca="1">SUM(G4:G15)</f>
        <v>0</v>
      </c>
      <c r="H16" s="1801"/>
      <c r="I16" s="1801"/>
      <c r="J16" s="1215"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5"/>
    <col min="2" max="2" width="14.44140625" style="1384" customWidth="1"/>
    <col min="3" max="3" width="5.33203125" style="1215" customWidth="1"/>
    <col min="4" max="4" width="33.6640625" style="1215" customWidth="1"/>
    <col min="5" max="6" width="11" style="1215" customWidth="1"/>
    <col min="7" max="7" width="11" style="1215" hidden="1" customWidth="1"/>
    <col min="8" max="8" width="11" style="1215" customWidth="1"/>
    <col min="9" max="16384" width="8.88671875" style="1215"/>
  </cols>
  <sheetData>
    <row r="1" spans="2:10">
      <c r="D1" s="897" t="s">
        <v>4474</v>
      </c>
    </row>
    <row r="3" spans="2:10" ht="33">
      <c r="C3" s="1802" t="s">
        <v>1708</v>
      </c>
      <c r="D3" s="1802" t="s">
        <v>4392</v>
      </c>
      <c r="E3" s="1802" t="s">
        <v>4206</v>
      </c>
      <c r="F3" s="1802" t="s">
        <v>4171</v>
      </c>
      <c r="G3" s="1802" t="s">
        <v>4200</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4233</v>
      </c>
      <c r="E33" s="1327">
        <f>SUM(E4:E32)</f>
        <v>0</v>
      </c>
      <c r="F33" s="1327">
        <f>SUM(F4:F32)</f>
        <v>0</v>
      </c>
      <c r="G33" s="1801"/>
      <c r="H33" s="1323"/>
      <c r="I33" s="1215">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5"/>
    <col min="2" max="2" width="14.44140625" style="1348" customWidth="1"/>
    <col min="3" max="3" width="5.6640625" style="1215" customWidth="1"/>
    <col min="4" max="4" width="28.77734375" style="1215" customWidth="1"/>
    <col min="5" max="5" width="7" style="1215" customWidth="1"/>
    <col min="6" max="7" width="8.6640625" style="1215" customWidth="1"/>
    <col min="8" max="8" width="10.5546875" style="1215" hidden="1" customWidth="1"/>
    <col min="9" max="9" width="10.109375" style="1215" customWidth="1"/>
    <col min="10" max="10" width="8.88671875" style="1215"/>
    <col min="11" max="11" width="0" style="1215" hidden="1" customWidth="1"/>
    <col min="12" max="12" width="9.88671875" style="1215" customWidth="1"/>
    <col min="13" max="16384" width="8.88671875" style="1215"/>
  </cols>
  <sheetData>
    <row r="3" spans="2:11" ht="31.5">
      <c r="C3" s="1802" t="s">
        <v>1708</v>
      </c>
      <c r="D3" s="1802" t="s">
        <v>4295</v>
      </c>
      <c r="E3" s="1387" t="s">
        <v>4202</v>
      </c>
      <c r="F3" s="1387" t="s">
        <v>4900</v>
      </c>
      <c r="G3" s="1387" t="s">
        <v>4171</v>
      </c>
      <c r="H3" s="1387" t="s">
        <v>4203</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4472</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4472</v>
      </c>
    </row>
    <row r="6" spans="2:11" ht="26.45"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4472</v>
      </c>
    </row>
    <row r="7" spans="2:11" ht="26.45"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4472</v>
      </c>
    </row>
    <row r="8" spans="2:11" ht="25.15"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4472</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4472</v>
      </c>
    </row>
    <row r="10" spans="2:11" ht="25.15"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4472</v>
      </c>
    </row>
    <row r="11" spans="2:11" ht="24" hidden="1" customHeight="1">
      <c r="B11" s="1329" t="s">
        <v>6439</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4472</v>
      </c>
    </row>
    <row r="12" spans="2:11" ht="25.15" customHeight="1">
      <c r="B12" s="1329" t="s">
        <v>6474</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4472</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4472</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4472</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4472</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4472</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4472</v>
      </c>
    </row>
    <row r="18" spans="2:11" ht="24" customHeight="1">
      <c r="B18" s="1329"/>
      <c r="C18" s="1801"/>
      <c r="D18" s="1802" t="s">
        <v>4233</v>
      </c>
      <c r="E18" s="1802"/>
      <c r="F18" s="1327">
        <f>SUM(F4:F17)</f>
        <v>1</v>
      </c>
      <c r="G18" s="1327">
        <f>SUM(G4:G17)</f>
        <v>1</v>
      </c>
      <c r="H18" s="1801"/>
      <c r="I18" s="1801"/>
      <c r="J18" s="1215">
        <v>1</v>
      </c>
    </row>
    <row r="19" spans="2:11" hidden="1">
      <c r="B19" s="1348" t="s">
        <v>2305</v>
      </c>
    </row>
    <row r="20" spans="2:11" hidden="1">
      <c r="B20" s="1348"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8" customWidth="1"/>
    <col min="2" max="2" width="17.33203125" style="1385" bestFit="1" customWidth="1"/>
    <col min="3" max="3" width="5.109375" style="1215" customWidth="1"/>
    <col min="4" max="4" width="34.44140625" style="1215" customWidth="1"/>
    <col min="5" max="5" width="8.77734375" style="1215" customWidth="1"/>
    <col min="6" max="7" width="7.109375" style="1215" customWidth="1"/>
    <col min="8" max="8" width="11.88671875" style="1215" hidden="1" customWidth="1"/>
    <col min="9" max="9" width="9" style="1215" customWidth="1"/>
    <col min="10" max="10" width="8.88671875" style="1215"/>
    <col min="11" max="11" width="8.88671875" style="1348"/>
    <col min="12" max="16384" width="8.88671875" style="1215"/>
  </cols>
  <sheetData>
    <row r="1" spans="1:20">
      <c r="A1" s="2665"/>
      <c r="C1" s="1329"/>
      <c r="D1" s="1329" t="s">
        <v>4475</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
      <c r="A3" s="2665"/>
      <c r="C3" s="1802" t="s">
        <v>1708</v>
      </c>
      <c r="D3" s="1802" t="s">
        <v>4201</v>
      </c>
      <c r="E3" s="1802" t="s">
        <v>4202</v>
      </c>
      <c r="F3" s="1802" t="s">
        <v>4900</v>
      </c>
      <c r="G3" s="1802" t="s">
        <v>4171</v>
      </c>
      <c r="H3" s="1387" t="s">
        <v>4203</v>
      </c>
      <c r="I3" s="1802" t="s">
        <v>4170</v>
      </c>
      <c r="J3" s="2044">
        <v>1</v>
      </c>
      <c r="L3" s="1329">
        <v>1</v>
      </c>
      <c r="M3" s="1329">
        <v>2</v>
      </c>
      <c r="N3" s="1329"/>
      <c r="O3" s="1329"/>
      <c r="P3" s="1329"/>
      <c r="Q3" s="1329"/>
      <c r="R3" s="1329"/>
      <c r="S3" s="1329"/>
      <c r="T3" s="1329"/>
    </row>
    <row r="4" spans="1:20" ht="34.5" customHeight="1">
      <c r="A4" s="2665"/>
      <c r="B4" s="1385" t="s">
        <v>4327</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4810</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4811</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6413</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6414</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6415</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4903</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4494</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4989</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4828</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4829</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4830</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4831</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4832</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4833</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4834</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5633</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5635</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5637</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5640</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5642</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5644</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5646</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5648</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5650</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5652</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5653</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5656</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5659</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6453</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6413</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6415</v>
      </c>
      <c r="C124" s="1801">
        <f ca="1">SUM($J$4:J124)</f>
        <v>5</v>
      </c>
      <c r="D124" s="1324" t="e">
        <f t="shared" si="23"/>
        <v>#N/A</v>
      </c>
      <c r="E124" s="1326" t="e">
        <f t="shared" si="24"/>
        <v>#N/A</v>
      </c>
      <c r="F124" s="1326">
        <f t="shared" ca="1" si="25"/>
        <v>0</v>
      </c>
      <c r="G124" s="1326">
        <f t="shared" ca="1" si="26"/>
        <v>0</v>
      </c>
    </row>
    <row r="125" spans="2:10">
      <c r="B125" s="1385"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5"/>
    <col min="2" max="2" width="14.44140625" style="1215" customWidth="1"/>
    <col min="3" max="3" width="5.33203125" style="1215" customWidth="1"/>
    <col min="4" max="4" width="16.5546875" style="1215" customWidth="1"/>
    <col min="5" max="5" width="24.6640625" style="1215" customWidth="1"/>
    <col min="6" max="7" width="8.109375" style="1215" customWidth="1"/>
    <col min="8" max="8" width="5.88671875" style="1215" customWidth="1"/>
    <col min="9" max="9" width="8.88671875" style="1215"/>
    <col min="10" max="10" width="15.44140625" style="1215" customWidth="1"/>
    <col min="11" max="11" width="17.5546875" style="1215" customWidth="1"/>
    <col min="12" max="16384" width="8.88671875" style="1215"/>
  </cols>
  <sheetData>
    <row r="3" spans="1:11">
      <c r="C3" s="3254" t="s">
        <v>1708</v>
      </c>
      <c r="D3" s="1344" t="s">
        <v>4476</v>
      </c>
      <c r="E3" s="3255" t="s">
        <v>4205</v>
      </c>
      <c r="F3" s="3256" t="s">
        <v>4478</v>
      </c>
      <c r="G3" s="3256"/>
      <c r="H3" s="3257" t="s">
        <v>4170</v>
      </c>
      <c r="I3" s="1336" t="s">
        <v>512</v>
      </c>
    </row>
    <row r="4" spans="1:11">
      <c r="C4" s="3254"/>
      <c r="D4" s="1345" t="s">
        <v>4477</v>
      </c>
      <c r="E4" s="3255"/>
      <c r="F4" s="1343" t="s">
        <v>4206</v>
      </c>
      <c r="G4" s="1343" t="s">
        <v>4171</v>
      </c>
      <c r="H4" s="3258"/>
      <c r="I4" s="1215">
        <f>IF(OR(E4&gt;0,F4&gt;0),1,"")</f>
        <v>1</v>
      </c>
      <c r="J4" s="897" t="s">
        <v>4603</v>
      </c>
      <c r="K4" s="1215" t="s">
        <v>4604</v>
      </c>
    </row>
    <row r="5" spans="1:11" ht="52.5" customHeight="1">
      <c r="A5" s="1883" t="s">
        <v>1239</v>
      </c>
      <c r="B5" s="1215" t="s">
        <v>6566</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6595</v>
      </c>
    </row>
    <row r="6" spans="1:11" ht="58.15" customHeight="1">
      <c r="A6" s="1883" t="s">
        <v>88</v>
      </c>
      <c r="B6" s="1215" t="s">
        <v>6567</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6595</v>
      </c>
      <c r="K6" s="1757" t="s">
        <v>6597</v>
      </c>
    </row>
    <row r="7" spans="1:11" ht="49.5">
      <c r="A7" s="1883" t="s">
        <v>88</v>
      </c>
      <c r="B7" s="1215" t="s">
        <v>6431</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4"/>
    <col min="2" max="2" width="10.21875" style="1614" bestFit="1" customWidth="1"/>
    <col min="3" max="3" width="6.21875" style="1614" customWidth="1"/>
    <col min="4" max="4" width="29.5546875" style="1367" customWidth="1"/>
    <col min="5" max="7" width="8.109375" style="953" customWidth="1"/>
    <col min="8" max="8" width="9.109375" style="1614" customWidth="1"/>
    <col min="9" max="9" width="5.77734375" style="1614" customWidth="1"/>
    <col min="10" max="16384" width="8.88671875" style="1614"/>
  </cols>
  <sheetData>
    <row r="1" spans="1:10" ht="37.5" customHeight="1">
      <c r="A1" s="1614" t="s">
        <v>512</v>
      </c>
      <c r="C1" s="1610" t="s">
        <v>1708</v>
      </c>
      <c r="D1" s="1611" t="s">
        <v>4562</v>
      </c>
      <c r="E1" s="1611" t="s">
        <v>4202</v>
      </c>
      <c r="F1" s="1611" t="s">
        <v>4900</v>
      </c>
      <c r="G1" s="1611" t="s">
        <v>4171</v>
      </c>
      <c r="H1" s="1610" t="s">
        <v>4170</v>
      </c>
      <c r="I1" s="1614" t="s">
        <v>4563</v>
      </c>
    </row>
    <row r="2" spans="1:10" ht="25.15"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15"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15"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15"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15"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15"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15"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15"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15"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filterColumn colId="7">
      <customFilters>
        <customFilter operator="notEqual" val=" "/>
      </customFilters>
    </filterColumn>
    <sortState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9"/>
    <col min="2" max="2" width="14.44140625" style="1218" customWidth="1"/>
    <col min="3" max="3" width="5.33203125" style="1329" customWidth="1"/>
    <col min="4" max="4" width="61.6640625" style="1329" customWidth="1"/>
    <col min="5" max="5" width="11.5546875" style="1329" hidden="1" customWidth="1"/>
    <col min="6" max="6" width="9.5546875" style="1329" hidden="1" customWidth="1"/>
    <col min="7" max="7" width="10.5546875" style="1329" customWidth="1"/>
    <col min="8" max="8" width="35.33203125" style="1329" customWidth="1"/>
    <col min="9" max="9" width="8.88671875" style="1329"/>
    <col min="10" max="11" width="8.88671875" style="2941"/>
    <col min="12" max="16384" width="8.88671875" style="1329"/>
  </cols>
  <sheetData>
    <row r="3" spans="2:11">
      <c r="G3" s="1329" t="s">
        <v>1956</v>
      </c>
    </row>
    <row r="4" spans="2:11">
      <c r="D4" s="3259" t="str">
        <f>"- Tiếp địa TBA tại vị trí trụ số:"&amp;F4&amp;"."</f>
        <v>- Tiếp địa TBA tại vị trí trụ số:015/002.</v>
      </c>
      <c r="E4" s="3259"/>
      <c r="F4" s="1329" t="s">
        <v>4561</v>
      </c>
    </row>
    <row r="5" spans="2:11">
      <c r="D5" s="3259" t="str">
        <f>"- Tiếp địa lặp lại đường dây trung thế tại vị trí trụ số: "&amp;F5&amp;"."</f>
        <v>- Tiếp địa lặp lại đường dây trung thế tại vị trí trụ số: 015.</v>
      </c>
      <c r="E5" s="3259"/>
      <c r="F5" s="1607" t="s">
        <v>4555</v>
      </c>
    </row>
    <row r="6" spans="2:11">
      <c r="D6" s="3259" t="str">
        <f>"- Tiếp địa lặp lại đường dây trung thế tại vị trí trụ số: "&amp;F6&amp;"."</f>
        <v>- Tiếp địa lặp lại đường dây trung thế tại vị trí trụ số: .</v>
      </c>
      <c r="E6" s="3259"/>
      <c r="G6" s="1329" t="s">
        <v>512</v>
      </c>
    </row>
    <row r="8" spans="2:11" ht="36.6" customHeight="1">
      <c r="C8" s="1991" t="s">
        <v>1708</v>
      </c>
      <c r="D8" s="1991" t="s">
        <v>4201</v>
      </c>
      <c r="E8" s="1802" t="s">
        <v>4203</v>
      </c>
      <c r="F8" s="1802" t="s">
        <v>4204</v>
      </c>
      <c r="G8" s="1336" t="s">
        <v>1956</v>
      </c>
    </row>
    <row r="9" spans="2:11" ht="24.95" customHeight="1">
      <c r="C9" s="1877"/>
      <c r="D9" s="1999" t="str">
        <f>H9&amp;": "&amp;ROUND(K9,1)&amp;" "&amp;I9</f>
        <v>Tiếp địa lặp lại trụ 12m: 3 Bộ</v>
      </c>
      <c r="E9" s="1996" t="str">
        <f>Solieu!B1</f>
        <v>Thi công</v>
      </c>
      <c r="F9" s="2040" t="s">
        <v>4187</v>
      </c>
      <c r="G9" s="1329" t="str">
        <f>IF(SUM(G10:G16)&gt;0,1,"")</f>
        <v/>
      </c>
      <c r="H9" s="1775" t="str">
        <f>chitiet!F640</f>
        <v>Tiếp địa lặp lại trụ 12m</v>
      </c>
      <c r="I9" s="1340" t="str">
        <f>chitiet!G640</f>
        <v>Bộ</v>
      </c>
      <c r="J9" s="2942">
        <f>chitiet!H640</f>
        <v>3</v>
      </c>
      <c r="K9" s="2942">
        <f>chitiet!P640</f>
        <v>3</v>
      </c>
    </row>
    <row r="10" spans="2:11" ht="24.95" customHeight="1">
      <c r="C10" s="2000"/>
      <c r="D10" s="2001" t="str">
        <f>" - "&amp;H10&amp;": "&amp;ROUND(J10,1)&amp;" "&amp;I10</f>
        <v xml:space="preserve"> - : 0 </v>
      </c>
      <c r="E10" s="1996"/>
      <c r="F10" s="2040"/>
      <c r="G10" s="1329" t="str">
        <f t="shared" ref="G10:G16" si="0">IF(K10&gt;0,1,"")</f>
        <v/>
      </c>
      <c r="H10" s="1772"/>
      <c r="I10" s="1340"/>
      <c r="J10" s="2942"/>
      <c r="K10" s="2942"/>
    </row>
    <row r="11" spans="2:11" ht="24.95"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5" customHeight="1">
      <c r="C12" s="2000"/>
      <c r="D12" s="2001" t="str">
        <f t="shared" si="1"/>
        <v xml:space="preserve"> - : 0 </v>
      </c>
      <c r="E12" s="1996"/>
      <c r="F12" s="2040"/>
      <c r="G12" s="1329" t="str">
        <f t="shared" si="0"/>
        <v/>
      </c>
      <c r="H12" s="1772"/>
      <c r="I12" s="1340"/>
      <c r="J12" s="2942"/>
      <c r="K12" s="2942"/>
    </row>
    <row r="13" spans="2:11" ht="24.95" customHeight="1">
      <c r="C13" s="2000"/>
      <c r="D13" s="2001" t="str">
        <f t="shared" si="1"/>
        <v xml:space="preserve"> - : 0 </v>
      </c>
      <c r="E13" s="1937"/>
      <c r="F13" s="1884"/>
      <c r="G13" s="1329" t="str">
        <f t="shared" si="0"/>
        <v/>
      </c>
      <c r="H13" s="1772"/>
      <c r="I13" s="1340"/>
      <c r="J13" s="2942"/>
      <c r="K13" s="2942"/>
    </row>
    <row r="14" spans="2:11" ht="24.95" customHeight="1">
      <c r="C14" s="2000"/>
      <c r="D14" s="2001" t="str">
        <f t="shared" si="1"/>
        <v xml:space="preserve"> - : 0 </v>
      </c>
      <c r="E14" s="1937"/>
      <c r="F14" s="1884"/>
      <c r="G14" s="1329" t="str">
        <f t="shared" si="0"/>
        <v/>
      </c>
      <c r="H14" s="1772"/>
      <c r="I14" s="1340"/>
      <c r="J14" s="2942"/>
      <c r="K14" s="2942"/>
    </row>
    <row r="15" spans="2:11" ht="24.95" customHeight="1">
      <c r="C15" s="2000"/>
      <c r="D15" s="2001" t="str">
        <f t="shared" si="1"/>
        <v xml:space="preserve"> - : 0 </v>
      </c>
      <c r="E15" s="1937"/>
      <c r="F15" s="1884"/>
      <c r="G15" s="1329" t="str">
        <f t="shared" si="0"/>
        <v/>
      </c>
      <c r="H15" s="1772"/>
      <c r="I15" s="1340"/>
      <c r="J15" s="2942"/>
      <c r="K15" s="2942"/>
    </row>
    <row r="16" spans="2:11" ht="24.95"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4797</v>
      </c>
      <c r="I17" s="2002" t="s">
        <v>2532</v>
      </c>
      <c r="J17" s="2943">
        <v>0.5</v>
      </c>
      <c r="K17" s="2943"/>
    </row>
    <row r="18" spans="2:11" ht="24.95" customHeight="1">
      <c r="C18" s="1877"/>
      <c r="D18" s="1999" t="str">
        <f>H18&amp;": "&amp;ROUND(J18,1)&amp;" "&amp;I18</f>
        <v>Bộ tiếp địa Trạm 3 pha: 1 Bộ</v>
      </c>
      <c r="E18" s="1996" t="str">
        <f>Solieu!B9</f>
        <v>x</v>
      </c>
      <c r="F18" s="1927" t="s">
        <v>4187</v>
      </c>
      <c r="G18" s="1329">
        <v>1</v>
      </c>
      <c r="H18" s="2081" t="str">
        <f>CT_tram!F2450</f>
        <v>Bộ tiếp địa Trạm 3 pha</v>
      </c>
      <c r="I18" s="1777" t="str">
        <f>CT_tram!G2450</f>
        <v>Bộ</v>
      </c>
      <c r="J18" s="1777">
        <f>CT_tram!H2450</f>
        <v>1</v>
      </c>
      <c r="K18" s="3032">
        <f>CT_tram!I2450</f>
        <v>1</v>
      </c>
    </row>
    <row r="19" spans="2:11" ht="24.95"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5"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5"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5"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5"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5"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5"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5"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5" customHeight="1">
      <c r="C27" s="2000"/>
      <c r="D27" s="2001" t="str">
        <f t="shared" si="3"/>
        <v xml:space="preserve">     - : 0 </v>
      </c>
      <c r="E27" s="1937"/>
      <c r="F27" s="1884"/>
      <c r="G27" s="1329" t="str">
        <f t="shared" si="4"/>
        <v/>
      </c>
      <c r="H27" s="1772"/>
      <c r="I27" s="1340"/>
      <c r="J27" s="2942"/>
      <c r="K27" s="2942"/>
    </row>
    <row r="28" spans="2:11" ht="24.95" customHeight="1">
      <c r="C28" s="2000"/>
      <c r="D28" s="2001" t="str">
        <f t="shared" si="3"/>
        <v xml:space="preserve">     - : 0 </v>
      </c>
      <c r="E28" s="1937"/>
      <c r="F28" s="1884"/>
      <c r="G28" s="1329" t="str">
        <f t="shared" si="4"/>
        <v/>
      </c>
      <c r="H28" s="1772"/>
      <c r="I28" s="1340"/>
      <c r="J28" s="2942"/>
      <c r="K28" s="2942"/>
    </row>
    <row r="29" spans="2:11" ht="24.95" customHeight="1">
      <c r="C29" s="2000"/>
      <c r="D29" s="2001" t="str">
        <f t="shared" si="3"/>
        <v xml:space="preserve">     - : 0 </v>
      </c>
      <c r="E29" s="1937"/>
      <c r="F29" s="1884"/>
      <c r="G29" s="1329" t="str">
        <f t="shared" si="2"/>
        <v/>
      </c>
      <c r="H29" s="1772"/>
      <c r="I29" s="1340"/>
      <c r="J29" s="2942"/>
      <c r="K29" s="2942"/>
    </row>
    <row r="30" spans="2:11" ht="24.95" customHeight="1">
      <c r="C30" s="2000"/>
      <c r="D30" s="2001" t="str">
        <f t="shared" si="3"/>
        <v xml:space="preserve">     - Khoảng cách cọc cách cọc: 3 mét</v>
      </c>
      <c r="E30" s="1937"/>
      <c r="F30" s="1884"/>
      <c r="G30" s="1329" t="str">
        <f t="shared" si="2"/>
        <v/>
      </c>
      <c r="H30" s="1950" t="s">
        <v>4798</v>
      </c>
      <c r="I30" s="2002" t="s">
        <v>2532</v>
      </c>
      <c r="J30" s="2943">
        <v>3</v>
      </c>
      <c r="K30" s="2942"/>
    </row>
    <row r="31" spans="2:11" ht="24.95" customHeight="1">
      <c r="C31" s="1877"/>
      <c r="D31" s="2001" t="str">
        <f t="shared" si="3"/>
        <v xml:space="preserve">     - Độ chôn sâu đầu cọc đến mặt đất: 0,5 mét</v>
      </c>
      <c r="E31" s="1997"/>
      <c r="F31" s="1938"/>
      <c r="G31" s="1329">
        <f>G18</f>
        <v>1</v>
      </c>
      <c r="H31" s="1950" t="s">
        <v>4797</v>
      </c>
      <c r="I31" s="2002" t="s">
        <v>2532</v>
      </c>
      <c r="J31" s="2943">
        <v>0.5</v>
      </c>
      <c r="K31" s="2943"/>
    </row>
    <row r="32" spans="2:11" ht="24.95" customHeight="1">
      <c r="C32" s="1877"/>
      <c r="D32" s="2001" t="str">
        <f t="shared" si="3"/>
        <v xml:space="preserve">     - : 0 </v>
      </c>
      <c r="E32" s="1996" t="str">
        <f>E18</f>
        <v>x</v>
      </c>
      <c r="F32" s="1927" t="s">
        <v>4187</v>
      </c>
      <c r="G32" s="1329" t="str">
        <f>IF(SUM(G33:G36)&gt;0,1,"")</f>
        <v/>
      </c>
      <c r="H32" s="1773"/>
      <c r="I32" s="1776"/>
      <c r="J32" s="2944"/>
      <c r="K32" s="2944"/>
    </row>
    <row r="33" spans="3:11" ht="24.95" customHeight="1">
      <c r="C33" s="1877"/>
      <c r="D33" s="2001" t="str">
        <f t="shared" si="3"/>
        <v xml:space="preserve">     - : 0 </v>
      </c>
      <c r="E33" s="1997"/>
      <c r="F33" s="1938"/>
      <c r="G33" s="1329" t="str">
        <f>IF(K33&gt;0,1,"")</f>
        <v/>
      </c>
      <c r="H33" s="1774"/>
      <c r="I33" s="1777"/>
      <c r="J33" s="2942"/>
      <c r="K33" s="2942"/>
    </row>
    <row r="34" spans="3:11" ht="24.95" customHeight="1">
      <c r="C34" s="1877"/>
      <c r="D34" s="2001" t="str">
        <f t="shared" si="3"/>
        <v xml:space="preserve">     - : 0 </v>
      </c>
      <c r="E34" s="1997"/>
      <c r="F34" s="1938"/>
      <c r="G34" s="1329" t="str">
        <f t="shared" ref="G34:G40" si="5">IF(K34&gt;0,1,"")</f>
        <v/>
      </c>
      <c r="H34" s="1774"/>
      <c r="I34" s="1777"/>
      <c r="J34" s="2942"/>
      <c r="K34" s="2942"/>
    </row>
    <row r="35" spans="3:11" ht="24.95" customHeight="1">
      <c r="C35" s="1877"/>
      <c r="D35" s="2001" t="str">
        <f t="shared" si="3"/>
        <v xml:space="preserve">     - : 0 </v>
      </c>
      <c r="E35" s="1997"/>
      <c r="F35" s="1938"/>
      <c r="G35" s="1329" t="str">
        <f t="shared" si="5"/>
        <v/>
      </c>
      <c r="H35" s="1774"/>
      <c r="I35" s="1777"/>
      <c r="J35" s="2942"/>
      <c r="K35" s="2942"/>
    </row>
    <row r="36" spans="3:11" ht="24.95" customHeight="1">
      <c r="C36" s="1877"/>
      <c r="D36" s="2001" t="str">
        <f t="shared" si="3"/>
        <v xml:space="preserve">     - : 0 </v>
      </c>
      <c r="E36" s="1997"/>
      <c r="F36" s="1938"/>
      <c r="G36" s="1329" t="str">
        <f t="shared" si="5"/>
        <v/>
      </c>
      <c r="H36" s="1774"/>
      <c r="I36" s="1777"/>
      <c r="J36" s="2942"/>
      <c r="K36" s="2942"/>
    </row>
    <row r="37" spans="3:11" ht="24.95" customHeight="1">
      <c r="C37" s="1877"/>
      <c r="D37" s="2001" t="str">
        <f t="shared" si="3"/>
        <v xml:space="preserve">     - : 0 </v>
      </c>
      <c r="E37" s="1996"/>
      <c r="F37" s="1927"/>
      <c r="G37" s="1329" t="str">
        <f t="shared" si="5"/>
        <v/>
      </c>
      <c r="H37" s="1774"/>
      <c r="I37" s="1777"/>
      <c r="J37" s="2942"/>
      <c r="K37" s="2942"/>
    </row>
    <row r="38" spans="3:11" ht="24.95" customHeight="1">
      <c r="C38" s="1877"/>
      <c r="D38" s="2001" t="str">
        <f t="shared" si="3"/>
        <v xml:space="preserve">     - : 0 </v>
      </c>
      <c r="E38" s="1996"/>
      <c r="F38" s="1927"/>
      <c r="G38" s="1329" t="str">
        <f t="shared" si="5"/>
        <v/>
      </c>
      <c r="H38" s="1774"/>
      <c r="I38" s="1777"/>
      <c r="J38" s="2942"/>
      <c r="K38" s="2942"/>
    </row>
    <row r="39" spans="3:11" ht="24.95" customHeight="1">
      <c r="C39" s="1877"/>
      <c r="D39" s="2001" t="str">
        <f t="shared" si="3"/>
        <v xml:space="preserve">     - : 0 </v>
      </c>
      <c r="E39" s="1998"/>
      <c r="F39" s="1800"/>
      <c r="G39" s="1329" t="str">
        <f t="shared" si="5"/>
        <v/>
      </c>
      <c r="H39" s="1772"/>
      <c r="I39" s="1340"/>
      <c r="J39" s="2942"/>
      <c r="K39" s="2942"/>
    </row>
    <row r="40" spans="3:11" ht="24.95" customHeight="1">
      <c r="C40" s="1877"/>
      <c r="D40" s="2001" t="str">
        <f t="shared" si="3"/>
        <v xml:space="preserve">     - : 0 </v>
      </c>
      <c r="E40" s="1998"/>
      <c r="F40" s="1800"/>
      <c r="G40" s="1329" t="str">
        <f t="shared" si="5"/>
        <v/>
      </c>
      <c r="H40" s="1772"/>
      <c r="I40" s="1340"/>
      <c r="J40" s="2942"/>
      <c r="K40" s="2942"/>
    </row>
    <row r="41" spans="3:11" ht="24.95" customHeight="1">
      <c r="C41" s="1877"/>
      <c r="D41" s="2001" t="str">
        <f t="shared" si="3"/>
        <v xml:space="preserve">     - : 0 </v>
      </c>
      <c r="E41" s="1998"/>
      <c r="F41" s="1800"/>
      <c r="G41" s="1329" t="str">
        <f>IF(K41&gt;0,1,"")</f>
        <v/>
      </c>
      <c r="H41" s="1772"/>
      <c r="I41" s="1340"/>
      <c r="J41" s="2942"/>
      <c r="K41" s="2942"/>
    </row>
    <row r="42" spans="3:11" ht="24.95" customHeight="1">
      <c r="C42" s="1877"/>
      <c r="D42" s="2001" t="str">
        <f t="shared" si="3"/>
        <v xml:space="preserve">     - : 0 </v>
      </c>
      <c r="E42" s="1998"/>
      <c r="F42" s="1800"/>
      <c r="G42" s="1329" t="str">
        <f>IF(K42&gt;0,1,"")</f>
        <v/>
      </c>
      <c r="H42" s="1772"/>
      <c r="I42" s="1340"/>
      <c r="J42" s="2942"/>
      <c r="K42" s="2942"/>
    </row>
    <row r="43" spans="3:11" ht="24.95" customHeight="1">
      <c r="C43" s="1877"/>
      <c r="D43" s="2001" t="str">
        <f t="shared" si="3"/>
        <v xml:space="preserve">     - : 0 </v>
      </c>
      <c r="E43" s="1998"/>
      <c r="F43" s="1800"/>
      <c r="G43" s="1329" t="str">
        <f>IF(K43&gt;0,1,"")</f>
        <v/>
      </c>
      <c r="H43" s="1772"/>
      <c r="I43" s="1340"/>
      <c r="J43" s="2942"/>
      <c r="K43" s="2942"/>
    </row>
    <row r="44" spans="3:11" ht="24.95" customHeight="1">
      <c r="C44" s="1877"/>
      <c r="D44" s="2001" t="str">
        <f t="shared" si="3"/>
        <v xml:space="preserve">     - : 0 </v>
      </c>
      <c r="E44" s="1998"/>
      <c r="F44" s="1800"/>
      <c r="G44" s="1329" t="str">
        <f>IF(K44&gt;0,1,"")</f>
        <v/>
      </c>
      <c r="H44" s="1772"/>
      <c r="I44" s="1340"/>
      <c r="J44" s="2942"/>
      <c r="K44" s="2942"/>
    </row>
    <row r="45" spans="3:11" ht="24.95" customHeight="1">
      <c r="C45" s="1877"/>
      <c r="D45" s="2001" t="str">
        <f t="shared" si="3"/>
        <v xml:space="preserve">     - Độ chôn sâu đầu cọc đến mặt đất: 0,5 mét</v>
      </c>
      <c r="E45" s="1997"/>
      <c r="F45" s="1938"/>
      <c r="G45" s="1329" t="str">
        <f>G32</f>
        <v/>
      </c>
      <c r="H45" s="1950" t="s">
        <v>4797</v>
      </c>
      <c r="I45" s="2002" t="s">
        <v>2532</v>
      </c>
      <c r="J45" s="2943">
        <v>0.5</v>
      </c>
      <c r="K45" s="2943"/>
    </row>
    <row r="46" spans="3:11" ht="24.95" customHeight="1">
      <c r="C46" s="1877"/>
      <c r="D46" s="2001" t="str">
        <f t="shared" si="3"/>
        <v xml:space="preserve">     - Khoảng cách cọc cách cọc: 3 mét</v>
      </c>
      <c r="E46" s="1997"/>
      <c r="F46" s="1938"/>
      <c r="G46" s="1329" t="str">
        <f>G32</f>
        <v/>
      </c>
      <c r="H46" s="1950" t="s">
        <v>4798</v>
      </c>
      <c r="I46" s="2002" t="s">
        <v>2532</v>
      </c>
      <c r="J46" s="2943">
        <v>3</v>
      </c>
      <c r="K46" s="294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9"/>
    <col min="3" max="3" width="3.33203125" style="1329" customWidth="1"/>
    <col min="4" max="4" width="60.6640625" style="2057" customWidth="1"/>
    <col min="5" max="6" width="3.44140625" style="1329" customWidth="1"/>
    <col min="7" max="7" width="5.88671875" style="1790" bestFit="1" customWidth="1"/>
    <col min="8" max="8" width="30.77734375" style="2057" customWidth="1"/>
    <col min="9" max="16384" width="8.88671875" style="1329"/>
  </cols>
  <sheetData>
    <row r="1" spans="2:12" ht="16.5"/>
    <row r="2" spans="2:12" ht="16.5">
      <c r="F2" s="2009">
        <f>72/88</f>
        <v>0.81818181818181823</v>
      </c>
      <c r="G2" s="2045">
        <f>62/88</f>
        <v>0.70454545454545459</v>
      </c>
    </row>
    <row r="3" spans="2:12" ht="16.5">
      <c r="C3" s="2058"/>
      <c r="D3" s="2001"/>
      <c r="E3" s="2058"/>
      <c r="F3" s="2058"/>
    </row>
    <row r="4" spans="2:12" ht="16.5">
      <c r="C4" s="2058"/>
      <c r="D4" s="2001"/>
      <c r="E4" s="2058"/>
      <c r="F4" s="2058"/>
    </row>
    <row r="5" spans="2:12" ht="16.5">
      <c r="C5" s="2058"/>
      <c r="D5" s="2001"/>
      <c r="E5" s="2058"/>
      <c r="F5" s="2058"/>
    </row>
    <row r="6" spans="2:12" ht="16.5">
      <c r="C6" s="3260" t="s">
        <v>4201</v>
      </c>
      <c r="D6" s="3260"/>
      <c r="E6" s="2056"/>
      <c r="F6" s="2056"/>
    </row>
    <row r="7" spans="2:12" ht="24" customHeight="1">
      <c r="C7" s="2059"/>
      <c r="D7" s="2060" t="s">
        <v>4208</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5"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5"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5" hidden="1" customHeight="1">
      <c r="C14" s="2059"/>
      <c r="D14" s="2062" t="str">
        <f t="shared" si="2"/>
        <v xml:space="preserve"> - :  .</v>
      </c>
      <c r="E14" s="2005"/>
      <c r="F14" s="2056"/>
      <c r="G14" s="2046" t="str">
        <f t="shared" si="1"/>
        <v/>
      </c>
      <c r="H14" s="2007"/>
      <c r="I14" s="1947"/>
      <c r="J14" s="1947"/>
      <c r="K14" s="1947"/>
      <c r="L14" s="1947"/>
    </row>
    <row r="15" spans="2:12" ht="24.95" hidden="1" customHeight="1">
      <c r="C15" s="2059"/>
      <c r="D15" s="2062" t="str">
        <f t="shared" si="2"/>
        <v xml:space="preserve"> - :  .</v>
      </c>
      <c r="E15" s="2005"/>
      <c r="F15" s="2056"/>
      <c r="G15" s="2046" t="str">
        <f t="shared" si="1"/>
        <v/>
      </c>
    </row>
    <row r="16" spans="2:12" ht="24.95" hidden="1" customHeight="1">
      <c r="C16" s="2059"/>
      <c r="D16" s="2062" t="str">
        <f t="shared" si="2"/>
        <v xml:space="preserve"> - :  .</v>
      </c>
      <c r="E16" s="2005"/>
      <c r="F16" s="2056"/>
      <c r="G16" s="2046" t="str">
        <f t="shared" si="1"/>
        <v/>
      </c>
    </row>
    <row r="17" spans="2:12" ht="24.95" hidden="1" customHeight="1">
      <c r="C17" s="2059"/>
      <c r="D17" s="2062" t="str">
        <f t="shared" si="2"/>
        <v xml:space="preserve"> - :  .</v>
      </c>
      <c r="E17" s="2005"/>
      <c r="F17" s="2056"/>
      <c r="G17" s="2046" t="str">
        <f t="shared" si="1"/>
        <v/>
      </c>
    </row>
    <row r="18" spans="2:12" ht="24.95" hidden="1" customHeight="1">
      <c r="C18" s="2059"/>
      <c r="D18" s="2062"/>
      <c r="E18" s="2005"/>
      <c r="F18" s="2056"/>
      <c r="G18" s="2046" t="str">
        <f t="shared" si="1"/>
        <v/>
      </c>
    </row>
    <row r="19" spans="2:12" ht="24.95" hidden="1" customHeight="1">
      <c r="C19" s="2059"/>
      <c r="D19" s="2062"/>
      <c r="E19" s="2005"/>
      <c r="F19" s="2056"/>
      <c r="G19" s="2046" t="str">
        <f t="shared" si="1"/>
        <v/>
      </c>
    </row>
    <row r="20" spans="2:12" ht="24.95" hidden="1" customHeight="1">
      <c r="B20" s="2064"/>
      <c r="C20" s="2065"/>
      <c r="D20" s="2060" t="s">
        <v>4553</v>
      </c>
      <c r="E20" s="2005"/>
      <c r="F20" s="2006"/>
      <c r="G20" s="2046" t="str">
        <f t="shared" si="1"/>
        <v/>
      </c>
      <c r="H20" s="2066"/>
      <c r="I20" s="2066"/>
      <c r="J20" s="2066"/>
      <c r="K20" s="2066"/>
      <c r="L20" s="2066"/>
    </row>
    <row r="21" spans="2:12" ht="24.95" hidden="1" customHeight="1">
      <c r="B21" s="2064"/>
      <c r="C21" s="2065"/>
      <c r="D21" s="2062" t="str">
        <f t="shared" ref="D21:D34" si="3">" - "&amp;H21&amp;": "&amp;L21&amp;" "&amp;I21&amp;"."</f>
        <v xml:space="preserve"> - :  .</v>
      </c>
      <c r="E21" s="2005"/>
      <c r="F21" s="2006"/>
      <c r="G21" s="2046" t="str">
        <f t="shared" si="1"/>
        <v/>
      </c>
    </row>
    <row r="22" spans="2:12" ht="24.95" hidden="1" customHeight="1">
      <c r="B22" s="2064"/>
      <c r="C22" s="2065"/>
      <c r="D22" s="2062" t="str">
        <f t="shared" si="3"/>
        <v xml:space="preserve"> - :  .</v>
      </c>
      <c r="E22" s="2005"/>
      <c r="F22" s="2006"/>
      <c r="G22" s="2046" t="str">
        <f t="shared" si="1"/>
        <v/>
      </c>
    </row>
    <row r="23" spans="2:12" ht="24.95" hidden="1" customHeight="1">
      <c r="B23" s="2067"/>
      <c r="C23" s="2065"/>
      <c r="D23" s="2062" t="str">
        <f t="shared" si="3"/>
        <v xml:space="preserve"> - :  .</v>
      </c>
      <c r="E23" s="2005"/>
      <c r="F23" s="2006"/>
      <c r="G23" s="2046" t="str">
        <f t="shared" si="1"/>
        <v/>
      </c>
    </row>
    <row r="24" spans="2:12" ht="24.95" hidden="1" customHeight="1">
      <c r="C24" s="2058"/>
      <c r="D24" s="2062" t="str">
        <f t="shared" si="3"/>
        <v xml:space="preserve"> - :  .</v>
      </c>
      <c r="E24" s="2058"/>
      <c r="F24" s="2058"/>
      <c r="G24" s="2046" t="str">
        <f t="shared" si="1"/>
        <v/>
      </c>
    </row>
    <row r="25" spans="2:12" ht="24.95" hidden="1" customHeight="1">
      <c r="C25" s="2058"/>
      <c r="D25" s="2062" t="str">
        <f t="shared" si="3"/>
        <v xml:space="preserve"> - :  .</v>
      </c>
      <c r="E25" s="2058"/>
      <c r="F25" s="2058"/>
      <c r="G25" s="2046" t="str">
        <f t="shared" si="1"/>
        <v/>
      </c>
    </row>
    <row r="26" spans="2:12" ht="24.95" hidden="1" customHeight="1">
      <c r="C26" s="2058"/>
      <c r="D26" s="2062" t="str">
        <f t="shared" si="3"/>
        <v xml:space="preserve"> - :  .</v>
      </c>
      <c r="E26" s="2058"/>
      <c r="F26" s="2058"/>
      <c r="G26" s="2046" t="str">
        <f t="shared" si="1"/>
        <v/>
      </c>
    </row>
    <row r="27" spans="2:12" ht="24.95" hidden="1" customHeight="1">
      <c r="D27" s="2062" t="str">
        <f t="shared" si="3"/>
        <v xml:space="preserve"> - :  .</v>
      </c>
      <c r="G27" s="2046" t="str">
        <f t="shared" si="1"/>
        <v/>
      </c>
    </row>
    <row r="28" spans="2:12" ht="24.95" hidden="1" customHeight="1">
      <c r="D28" s="2062" t="str">
        <f t="shared" si="3"/>
        <v xml:space="preserve"> - :  .</v>
      </c>
      <c r="G28" s="2046" t="str">
        <f t="shared" si="1"/>
        <v/>
      </c>
    </row>
    <row r="29" spans="2:12" ht="24.95" hidden="1" customHeight="1">
      <c r="D29" s="2062" t="str">
        <f t="shared" si="3"/>
        <v xml:space="preserve"> - :  .</v>
      </c>
      <c r="G29" s="2046" t="str">
        <f t="shared" si="1"/>
        <v/>
      </c>
    </row>
    <row r="30" spans="2:12" ht="24.95" hidden="1" customHeight="1">
      <c r="D30" s="2062" t="str">
        <f t="shared" si="3"/>
        <v xml:space="preserve"> - :  .</v>
      </c>
      <c r="G30" s="2046" t="str">
        <f t="shared" si="1"/>
        <v/>
      </c>
    </row>
    <row r="31" spans="2:12" ht="24.95" hidden="1" customHeight="1">
      <c r="D31" s="2062" t="str">
        <f t="shared" si="3"/>
        <v xml:space="preserve"> - :  .</v>
      </c>
      <c r="G31" s="2046" t="str">
        <f t="shared" si="1"/>
        <v/>
      </c>
    </row>
    <row r="32" spans="2:12" ht="24.95" hidden="1" customHeight="1">
      <c r="D32" s="2062" t="str">
        <f t="shared" si="3"/>
        <v xml:space="preserve"> - :  .</v>
      </c>
      <c r="G32" s="2046" t="str">
        <f t="shared" si="1"/>
        <v/>
      </c>
    </row>
    <row r="33" spans="4:7" ht="24.95" hidden="1" customHeight="1">
      <c r="D33" s="2062" t="str">
        <f t="shared" si="3"/>
        <v xml:space="preserve"> - :  .</v>
      </c>
      <c r="G33" s="2046" t="str">
        <f t="shared" si="1"/>
        <v/>
      </c>
    </row>
    <row r="34" spans="4:7" ht="24.95" hidden="1" customHeight="1">
      <c r="D34" s="2062" t="str">
        <f t="shared" si="3"/>
        <v xml:space="preserve"> - :  .</v>
      </c>
      <c r="G34" s="2046"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8" customWidth="1"/>
    <col min="3" max="3" width="48.5546875" style="1367" customWidth="1"/>
    <col min="4" max="4" width="7.77734375" customWidth="1"/>
    <col min="5" max="5" width="8.21875" customWidth="1"/>
    <col min="6" max="6" width="10.44140625" customWidth="1"/>
    <col min="7" max="7" width="50.109375" style="1378" customWidth="1"/>
  </cols>
  <sheetData>
    <row r="2" spans="2:7">
      <c r="B2" s="1388" t="s">
        <v>4184</v>
      </c>
      <c r="C2" s="1389" t="s">
        <v>4487</v>
      </c>
      <c r="D2" s="1390" t="s">
        <v>1411</v>
      </c>
      <c r="E2" s="1391"/>
      <c r="F2" s="1215" t="s">
        <v>4184</v>
      </c>
    </row>
    <row r="3" spans="2:7">
      <c r="B3" s="1392">
        <v>43874</v>
      </c>
      <c r="C3" s="1393" t="s">
        <v>4485</v>
      </c>
      <c r="D3" s="1394" t="s">
        <v>512</v>
      </c>
      <c r="E3" s="1395"/>
      <c r="F3" s="1368"/>
      <c r="G3" s="1383" t="s">
        <v>4142</v>
      </c>
    </row>
    <row r="4" spans="2:7">
      <c r="B4" s="1392"/>
      <c r="C4" s="1393" t="s">
        <v>4486</v>
      </c>
      <c r="D4" s="1394" t="s">
        <v>512</v>
      </c>
      <c r="E4" s="1395"/>
      <c r="F4" s="1368"/>
      <c r="G4" s="1383" t="s">
        <v>4143</v>
      </c>
    </row>
    <row r="5" spans="2:7">
      <c r="B5" s="1392"/>
      <c r="C5" s="1393" t="s">
        <v>4488</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
      <c r="B72" s="1392"/>
      <c r="C72" s="1393" t="s">
        <v>4521</v>
      </c>
      <c r="D72" s="1394" t="s">
        <v>512</v>
      </c>
      <c r="E72" s="1395"/>
    </row>
    <row r="73" spans="2:7" ht="22.5" customHeight="1">
      <c r="B73" s="1392"/>
      <c r="C73" s="1393" t="s">
        <v>4526</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4490</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4489</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4527</v>
      </c>
      <c r="D123" s="1398" t="e">
        <f ca="1">SUM(D74,D85,D93)</f>
        <v>#REF!</v>
      </c>
      <c r="E123" s="1395"/>
      <c r="G123" s="1378"/>
    </row>
    <row r="124" spans="2:7" ht="32.25" hidden="1" customHeight="1">
      <c r="B124" s="1392">
        <f>B3+2</f>
        <v>43876</v>
      </c>
      <c r="C124" s="1393" t="s">
        <v>4522</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 hidden="1">
      <c r="B199" s="1392"/>
      <c r="C199" s="1396" t="str">
        <f ca="1">'7day'!E5&amp;" dài "&amp;'7day'!F5&amp;" mét."</f>
        <v>Cáp 24KV ACXH 95mm2 + Cáp nhôm lõi thép AC-70/11 dài 0 mét.</v>
      </c>
      <c r="D199" s="1394">
        <f ca="1">'7day'!G5</f>
        <v>0</v>
      </c>
      <c r="E199" s="1395"/>
      <c r="G199" s="1378"/>
    </row>
    <row r="200" spans="2:7" s="1215" customFormat="1" ht="33"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 hidden="1">
      <c r="B203" s="1392"/>
      <c r="C203" s="1393" t="s">
        <v>4523</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4524</v>
      </c>
      <c r="D233" s="1394" t="s">
        <v>512</v>
      </c>
      <c r="E233" s="1395"/>
    </row>
    <row r="234" spans="2:7">
      <c r="B234" s="1392"/>
      <c r="C234" s="1396" t="str">
        <f>'9TD'!D18</f>
        <v>Bộ tiếp địa Trạm 3 pha: 1 Bộ</v>
      </c>
      <c r="D234" s="1394">
        <f>'9TD'!J18</f>
        <v>1</v>
      </c>
      <c r="E234" s="1395"/>
    </row>
    <row r="235" spans="2:7" ht="33"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 hidden="1">
      <c r="B257" s="1392"/>
      <c r="C257" s="1393" t="s">
        <v>4528</v>
      </c>
      <c r="D257" s="1394"/>
      <c r="E257" s="1395"/>
      <c r="G257" s="1378"/>
    </row>
    <row r="258" spans="2:7">
      <c r="B258" s="1392">
        <f>B233</f>
        <v>43876</v>
      </c>
      <c r="C258" s="1393" t="s">
        <v>4525</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 hidden="1">
      <c r="B275" s="1400"/>
      <c r="C275" s="1401" t="s">
        <v>4529</v>
      </c>
      <c r="D275" s="1402"/>
      <c r="E275" s="14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21" customWidth="1"/>
    <col min="2" max="2" width="28.77734375" style="821" customWidth="1"/>
    <col min="3" max="3" width="6.33203125" style="825" customWidth="1"/>
    <col min="4" max="4" width="6.109375" style="825" customWidth="1"/>
    <col min="5" max="5" width="36.21875" style="821" customWidth="1"/>
    <col min="6" max="6" width="36.44140625" style="821" customWidth="1"/>
    <col min="7" max="7" width="5.21875" style="847" bestFit="1" customWidth="1"/>
    <col min="8" max="9" width="8.88671875" style="847"/>
    <col min="10" max="16384" width="8.88671875" style="814"/>
  </cols>
  <sheetData>
    <row r="1" spans="1:9" ht="38.25" customHeight="1">
      <c r="A1" s="3261" t="s">
        <v>4602</v>
      </c>
      <c r="B1" s="3261"/>
      <c r="C1" s="3261"/>
      <c r="D1" s="3261"/>
      <c r="E1" s="3261"/>
      <c r="F1" s="3261"/>
      <c r="H1" s="1215"/>
    </row>
    <row r="2" spans="1:9" s="815" customFormat="1" ht="33.75" customHeight="1">
      <c r="A2" s="1308" t="s">
        <v>4197</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4492</v>
      </c>
      <c r="C94" s="1311"/>
      <c r="D94" s="1312"/>
      <c r="E94" s="1309" t="str">
        <f>'NT-VT'!F97</f>
        <v/>
      </c>
      <c r="F94" s="1309" t="str">
        <f>'NT-VT'!G97</f>
        <v/>
      </c>
      <c r="G94" s="835">
        <v>1</v>
      </c>
      <c r="H94" s="849"/>
      <c r="I94" s="82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2020-09-28T14:22:53Z</dcterms:modified>
</cp:coreProperties>
</file>